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xapiens-my.sharepoint.com/personal/risnal_zega_kideco_co_id/Documents/Documents/02 MID/02.02 Project MID/02.02.38 Tableau Automization Report/01. Project Initiation/01. Initial Report/03. Coal Hauling/"/>
    </mc:Choice>
  </mc:AlternateContent>
  <xr:revisionPtr revIDLastSave="575" documentId="8_{12BA88EB-B4C9-4061-89AA-F419E1193FB3}" xr6:coauthVersionLast="47" xr6:coauthVersionMax="47" xr10:uidLastSave="{8181EDBD-A0E5-474D-8D4B-7E01456EF50E}"/>
  <bookViews>
    <workbookView xWindow="-110" yWindow="-110" windowWidth="19420" windowHeight="10560" tabRatio="702" activeTab="1" xr2:uid="{00000000-000D-0000-FFFF-FFFF00000000}"/>
  </bookViews>
  <sheets>
    <sheet name="Report" sheetId="2" r:id="rId1"/>
    <sheet name="2023 06 05" sheetId="98" r:id="rId2"/>
    <sheet name="Jan" sheetId="100" r:id="rId3"/>
    <sheet name="Feb" sheetId="113" r:id="rId4"/>
    <sheet name="Jul" sheetId="107" state="hidden" r:id="rId5"/>
    <sheet name="Aug" sheetId="108" state="hidden" r:id="rId6"/>
    <sheet name="Sep" sheetId="109" state="hidden" r:id="rId7"/>
    <sheet name="Oct" sheetId="110" state="hidden" r:id="rId8"/>
    <sheet name="Nov" sheetId="111" state="hidden" r:id="rId9"/>
    <sheet name="Dec" sheetId="112" state="hidden" r:id="rId10"/>
    <sheet name="Mar" sheetId="103" r:id="rId11"/>
    <sheet name="Apr" sheetId="104" r:id="rId12"/>
    <sheet name="May" sheetId="105" r:id="rId13"/>
    <sheet name="Jun" sheetId="106" r:id="rId14"/>
    <sheet name="Yearly" sheetId="101" r:id="rId15"/>
  </sheets>
  <definedNames>
    <definedName name="_xlnm._FilterDatabase" localSheetId="1" hidden="1">'2023 06 05'!$B$1:$AI$102</definedName>
    <definedName name="_xlnm.Print_Area" localSheetId="1">'2023 06 05'!$B$1:$AF$102</definedName>
    <definedName name="_xlnm.Print_Area" localSheetId="11">Apr!$A$1:$AI$76</definedName>
    <definedName name="_xlnm.Print_Area" localSheetId="5">Aug!$A$1:$AI$76</definedName>
    <definedName name="_xlnm.Print_Area" localSheetId="9">Dec!$A$1:$AI$76</definedName>
    <definedName name="_xlnm.Print_Area" localSheetId="3">Feb!$A$1:$AG$75</definedName>
    <definedName name="_xlnm.Print_Area" localSheetId="2">Jan!$A$1:$AG$75</definedName>
    <definedName name="_xlnm.Print_Area" localSheetId="4">Jul!$A$1:$AI$76</definedName>
    <definedName name="_xlnm.Print_Area" localSheetId="13">Jun!$A$1:$AI$76</definedName>
    <definedName name="_xlnm.Print_Area" localSheetId="10">Mar!$A$1:$AI$76</definedName>
    <definedName name="_xlnm.Print_Area" localSheetId="12">May!$A$1:$AI$76</definedName>
    <definedName name="_xlnm.Print_Area" localSheetId="8">Nov!$A$1:$AI$75</definedName>
    <definedName name="_xlnm.Print_Area" localSheetId="7">Oct!$A$1:$AI$76</definedName>
    <definedName name="_xlnm.Print_Area" localSheetId="0">Report!$A$1:$L$30</definedName>
    <definedName name="_xlnm.Print_Area" localSheetId="6">Sep!$A$1:$AI$75</definedName>
    <definedName name="_xlnm.Print_Area" localSheetId="14">Yearly!$A$1:$AO$69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0" i="98" l="1"/>
  <c r="W62" i="98"/>
  <c r="AD13" i="101"/>
  <c r="AE52" i="98"/>
  <c r="Y52" i="98"/>
  <c r="W52" i="98"/>
  <c r="AE51" i="98"/>
  <c r="AE50" i="98"/>
  <c r="AE44" i="98"/>
  <c r="AE43" i="98"/>
  <c r="Y43" i="98"/>
  <c r="AE42" i="98"/>
  <c r="AE41" i="98"/>
  <c r="AE40" i="98"/>
  <c r="AE38" i="98"/>
  <c r="AE36" i="98"/>
  <c r="AE35" i="98"/>
  <c r="AE34" i="98"/>
  <c r="AE33" i="98"/>
  <c r="B73" i="106"/>
  <c r="B72" i="106"/>
  <c r="W51" i="98" s="1"/>
  <c r="B71" i="106"/>
  <c r="W50" i="98" s="1"/>
  <c r="B57" i="106"/>
  <c r="B64" i="106" s="1"/>
  <c r="B56" i="106"/>
  <c r="W43" i="98" s="1"/>
  <c r="Q19" i="98" s="1"/>
  <c r="B55" i="106"/>
  <c r="W42" i="98" s="1"/>
  <c r="S19" i="98" s="1"/>
  <c r="B54" i="106"/>
  <c r="B65" i="106" s="1"/>
  <c r="B52" i="106"/>
  <c r="B66" i="106" s="1"/>
  <c r="B51" i="106"/>
  <c r="W41" i="98" s="1"/>
  <c r="O19" i="98" s="1"/>
  <c r="B50" i="106"/>
  <c r="W35" i="98" s="1"/>
  <c r="K19" i="98" s="1"/>
  <c r="B49" i="106"/>
  <c r="W34" i="98" s="1"/>
  <c r="J19" i="98" s="1"/>
  <c r="B48" i="106"/>
  <c r="W36" i="98" s="1"/>
  <c r="I19" i="98" s="1"/>
  <c r="B47" i="106"/>
  <c r="W33" i="98" s="1"/>
  <c r="H19" i="98" s="1"/>
  <c r="D43" i="106"/>
  <c r="C43" i="106"/>
  <c r="AE38" i="106"/>
  <c r="Z38" i="106"/>
  <c r="Y38" i="106"/>
  <c r="AD37" i="106"/>
  <c r="C73" i="106" s="1"/>
  <c r="AC37" i="106"/>
  <c r="AC39" i="106" s="1"/>
  <c r="AB37" i="106"/>
  <c r="C71" i="106" s="1"/>
  <c r="Y50" i="98" s="1"/>
  <c r="X37" i="106"/>
  <c r="C52" i="106" s="1"/>
  <c r="Y38" i="98" s="1"/>
  <c r="W37" i="106"/>
  <c r="C57" i="106" s="1"/>
  <c r="Y44" i="98" s="1"/>
  <c r="V37" i="106"/>
  <c r="C56" i="106" s="1"/>
  <c r="U37" i="106"/>
  <c r="C55" i="106" s="1"/>
  <c r="T37" i="106"/>
  <c r="S37" i="106"/>
  <c r="R37" i="106"/>
  <c r="Q37" i="106"/>
  <c r="P37" i="106"/>
  <c r="O37" i="106"/>
  <c r="N37" i="106"/>
  <c r="M37" i="106"/>
  <c r="L37" i="106"/>
  <c r="K37" i="106"/>
  <c r="J37" i="106"/>
  <c r="C13" i="101" s="1"/>
  <c r="I37" i="106"/>
  <c r="C51" i="106" s="1"/>
  <c r="Y41" i="98" s="1"/>
  <c r="AC41" i="98" s="1"/>
  <c r="H37" i="106"/>
  <c r="H39" i="106" s="1"/>
  <c r="D37" i="106"/>
  <c r="C49" i="106" s="1"/>
  <c r="C37" i="106"/>
  <c r="C48" i="106" s="1"/>
  <c r="Y36" i="98" s="1"/>
  <c r="B37" i="106"/>
  <c r="C47" i="106" s="1"/>
  <c r="Y33" i="98" s="1"/>
  <c r="AE36" i="106"/>
  <c r="AA36" i="106"/>
  <c r="Z36" i="106"/>
  <c r="Y36" i="106"/>
  <c r="AE35" i="106"/>
  <c r="AA35" i="106"/>
  <c r="Z35" i="106"/>
  <c r="Y35" i="106"/>
  <c r="AE34" i="106"/>
  <c r="AA34" i="106"/>
  <c r="Z34" i="106"/>
  <c r="Y34" i="106"/>
  <c r="AE33" i="106"/>
  <c r="AA33" i="106"/>
  <c r="Z33" i="106"/>
  <c r="Y33" i="106"/>
  <c r="AE32" i="106"/>
  <c r="AA32" i="106"/>
  <c r="Z32" i="106"/>
  <c r="Y32" i="106"/>
  <c r="AE31" i="106"/>
  <c r="AA31" i="106"/>
  <c r="Z31" i="106"/>
  <c r="Y31" i="106"/>
  <c r="AE30" i="106"/>
  <c r="AA30" i="106"/>
  <c r="Z30" i="106"/>
  <c r="Y30" i="106"/>
  <c r="AE29" i="106"/>
  <c r="AA29" i="106"/>
  <c r="Z29" i="106"/>
  <c r="Y29" i="106"/>
  <c r="AE28" i="106"/>
  <c r="AA28" i="106"/>
  <c r="Z28" i="106"/>
  <c r="Y28" i="106"/>
  <c r="AE27" i="106"/>
  <c r="AA27" i="106"/>
  <c r="Z27" i="106"/>
  <c r="Y27" i="106"/>
  <c r="AE26" i="106"/>
  <c r="AA26" i="106"/>
  <c r="Z26" i="106"/>
  <c r="Y26" i="106"/>
  <c r="AE25" i="106"/>
  <c r="AA25" i="106"/>
  <c r="Z25" i="106"/>
  <c r="Y25" i="106"/>
  <c r="AE24" i="106"/>
  <c r="AA24" i="106"/>
  <c r="Z24" i="106"/>
  <c r="Y24" i="106"/>
  <c r="AE23" i="106"/>
  <c r="AA23" i="106"/>
  <c r="Z23" i="106"/>
  <c r="Y23" i="106"/>
  <c r="AE22" i="106"/>
  <c r="AA22" i="106"/>
  <c r="Z22" i="106"/>
  <c r="Y22" i="106"/>
  <c r="AE21" i="106"/>
  <c r="AA21" i="106"/>
  <c r="Z21" i="106"/>
  <c r="Y21" i="106"/>
  <c r="AE20" i="106"/>
  <c r="AA20" i="106"/>
  <c r="Z20" i="106"/>
  <c r="Y20" i="106"/>
  <c r="AE19" i="106"/>
  <c r="AA19" i="106"/>
  <c r="Z19" i="106"/>
  <c r="Y19" i="106"/>
  <c r="AE18" i="106"/>
  <c r="AA18" i="106"/>
  <c r="Z18" i="106"/>
  <c r="Y18" i="106"/>
  <c r="AE17" i="106"/>
  <c r="AA17" i="106"/>
  <c r="Z17" i="106"/>
  <c r="Y17" i="106"/>
  <c r="AE16" i="106"/>
  <c r="AA16" i="106"/>
  <c r="Z16" i="106"/>
  <c r="Y16" i="106"/>
  <c r="AE15" i="106"/>
  <c r="AA15" i="106"/>
  <c r="Z15" i="106"/>
  <c r="Y15" i="106"/>
  <c r="AE14" i="106"/>
  <c r="AA14" i="106"/>
  <c r="Z14" i="106"/>
  <c r="Y14" i="106"/>
  <c r="AE13" i="106"/>
  <c r="AA13" i="106"/>
  <c r="Z13" i="106"/>
  <c r="Y13" i="106"/>
  <c r="AE12" i="106"/>
  <c r="AA12" i="106"/>
  <c r="Z12" i="106"/>
  <c r="Y12" i="106"/>
  <c r="AE11" i="106"/>
  <c r="AA11" i="106"/>
  <c r="Z11" i="106"/>
  <c r="Y11" i="106"/>
  <c r="AE10" i="106"/>
  <c r="AA10" i="106"/>
  <c r="Z10" i="106"/>
  <c r="Y10" i="106"/>
  <c r="AE9" i="106"/>
  <c r="AA9" i="106"/>
  <c r="Z9" i="106"/>
  <c r="Y9" i="106"/>
  <c r="AE8" i="106"/>
  <c r="AA8" i="106"/>
  <c r="Z8" i="106"/>
  <c r="Y8" i="106"/>
  <c r="AE7" i="106"/>
  <c r="AA7" i="106"/>
  <c r="Z7" i="106"/>
  <c r="Y7" i="106"/>
  <c r="A7" i="106"/>
  <c r="A8" i="106" s="1"/>
  <c r="A9" i="106" s="1"/>
  <c r="A10" i="106" s="1"/>
  <c r="A11" i="106" s="1"/>
  <c r="A12" i="106" s="1"/>
  <c r="A13" i="106" s="1"/>
  <c r="A14" i="106" s="1"/>
  <c r="A15" i="106" s="1"/>
  <c r="A16" i="106" s="1"/>
  <c r="A17" i="106" s="1"/>
  <c r="A18" i="106" s="1"/>
  <c r="A19" i="106" s="1"/>
  <c r="A20" i="106" s="1"/>
  <c r="A21" i="106" s="1"/>
  <c r="A22" i="106" s="1"/>
  <c r="A23" i="106" s="1"/>
  <c r="A24" i="106" s="1"/>
  <c r="A25" i="106" s="1"/>
  <c r="A26" i="106" s="1"/>
  <c r="A27" i="106" s="1"/>
  <c r="A28" i="106" s="1"/>
  <c r="A29" i="106" s="1"/>
  <c r="A30" i="106" s="1"/>
  <c r="A31" i="106" s="1"/>
  <c r="A32" i="106" s="1"/>
  <c r="A33" i="106" s="1"/>
  <c r="A34" i="106" s="1"/>
  <c r="A35" i="106" s="1"/>
  <c r="AE6" i="106"/>
  <c r="AA6" i="106"/>
  <c r="Z6" i="106"/>
  <c r="Y6" i="106"/>
  <c r="A1" i="106"/>
  <c r="A36" i="105"/>
  <c r="T14" i="98"/>
  <c r="AC44" i="98" l="1"/>
  <c r="D49" i="106"/>
  <c r="AC36" i="98"/>
  <c r="W38" i="98"/>
  <c r="T19" i="98" s="1"/>
  <c r="AC43" i="98"/>
  <c r="AC38" i="98"/>
  <c r="W40" i="98"/>
  <c r="L19" i="98" s="1"/>
  <c r="W44" i="98"/>
  <c r="R19" i="98" s="1"/>
  <c r="AC33" i="98"/>
  <c r="D55" i="106"/>
  <c r="AG13" i="101"/>
  <c r="L13" i="101"/>
  <c r="I13" i="101"/>
  <c r="Y34" i="98"/>
  <c r="AC34" i="98" s="1"/>
  <c r="Y42" i="98"/>
  <c r="AC42" i="98" s="1"/>
  <c r="AA13" i="101"/>
  <c r="U13" i="101"/>
  <c r="O13" i="101"/>
  <c r="R13" i="101"/>
  <c r="AJ13" i="101"/>
  <c r="AC52" i="98"/>
  <c r="AC50" i="98"/>
  <c r="Z37" i="106"/>
  <c r="Z39" i="106" s="1"/>
  <c r="D51" i="106"/>
  <c r="AA38" i="106"/>
  <c r="AA37" i="106"/>
  <c r="J39" i="106"/>
  <c r="AE37" i="106"/>
  <c r="AE39" i="106" s="1"/>
  <c r="D73" i="106"/>
  <c r="B53" i="106"/>
  <c r="B63" i="106"/>
  <c r="B67" i="106" s="1"/>
  <c r="C54" i="106"/>
  <c r="B58" i="106"/>
  <c r="D48" i="106"/>
  <c r="B74" i="106"/>
  <c r="C39" i="106"/>
  <c r="Y37" i="106"/>
  <c r="Y39" i="106" s="1"/>
  <c r="I39" i="106"/>
  <c r="D71" i="106"/>
  <c r="D47" i="106"/>
  <c r="D56" i="106"/>
  <c r="D57" i="106"/>
  <c r="C64" i="106"/>
  <c r="D64" i="106" s="1"/>
  <c r="C66" i="106"/>
  <c r="D66" i="106" s="1"/>
  <c r="D52" i="106"/>
  <c r="AB39" i="106"/>
  <c r="C50" i="106"/>
  <c r="C72" i="106"/>
  <c r="U39" i="106"/>
  <c r="V39" i="106"/>
  <c r="AD39" i="106"/>
  <c r="B39" i="106"/>
  <c r="W39" i="106"/>
  <c r="X39" i="106"/>
  <c r="D39" i="106"/>
  <c r="AA39" i="106" l="1"/>
  <c r="C58" i="106"/>
  <c r="D58" i="106" s="1"/>
  <c r="Y40" i="98"/>
  <c r="AC40" i="98" s="1"/>
  <c r="D50" i="106"/>
  <c r="Y35" i="98"/>
  <c r="AC35" i="98" s="1"/>
  <c r="D72" i="106"/>
  <c r="Y51" i="98"/>
  <c r="AC51" i="98" s="1"/>
  <c r="D54" i="106"/>
  <c r="C63" i="106"/>
  <c r="C65" i="106"/>
  <c r="D65" i="106" s="1"/>
  <c r="B59" i="106"/>
  <c r="C53" i="106"/>
  <c r="C74" i="106"/>
  <c r="D74" i="106" s="1"/>
  <c r="C56" i="105"/>
  <c r="B56" i="105"/>
  <c r="D56" i="105" s="1"/>
  <c r="AD12" i="101"/>
  <c r="AA53" i="101"/>
  <c r="X53" i="101"/>
  <c r="U53" i="101"/>
  <c r="AA51" i="101"/>
  <c r="X51" i="101"/>
  <c r="U51" i="101"/>
  <c r="AA49" i="101"/>
  <c r="X49" i="101"/>
  <c r="U49" i="101"/>
  <c r="AA48" i="101"/>
  <c r="X48" i="101"/>
  <c r="U48" i="101"/>
  <c r="AA47" i="101"/>
  <c r="X47" i="101"/>
  <c r="U47" i="101"/>
  <c r="C67" i="106" l="1"/>
  <c r="D67" i="106" s="1"/>
  <c r="D63" i="106"/>
  <c r="C59" i="106"/>
  <c r="D59" i="106" s="1"/>
  <c r="D53" i="106"/>
  <c r="W79" i="98"/>
  <c r="W61" i="98"/>
  <c r="AE45" i="98"/>
  <c r="B73" i="105"/>
  <c r="B72" i="105"/>
  <c r="B71" i="105"/>
  <c r="B57" i="105"/>
  <c r="B55" i="105"/>
  <c r="B54" i="105"/>
  <c r="B65" i="105" s="1"/>
  <c r="B52" i="105"/>
  <c r="B66" i="105" s="1"/>
  <c r="B51" i="105"/>
  <c r="B50" i="105"/>
  <c r="B49" i="105"/>
  <c r="B48" i="105"/>
  <c r="B47" i="105"/>
  <c r="D43" i="105"/>
  <c r="C43" i="105"/>
  <c r="AE38" i="105"/>
  <c r="Z38" i="105"/>
  <c r="Y38" i="105"/>
  <c r="AD37" i="105"/>
  <c r="AC37" i="105"/>
  <c r="AB37" i="105"/>
  <c r="X37" i="105"/>
  <c r="W37" i="105"/>
  <c r="V37" i="105"/>
  <c r="V39" i="105" s="1"/>
  <c r="U37" i="105"/>
  <c r="U39" i="105" s="1"/>
  <c r="T37" i="105"/>
  <c r="S37" i="105"/>
  <c r="R37" i="105"/>
  <c r="Q37" i="105"/>
  <c r="P37" i="105"/>
  <c r="O37" i="105"/>
  <c r="N37" i="105"/>
  <c r="M37" i="105"/>
  <c r="L37" i="105"/>
  <c r="K37" i="105"/>
  <c r="J37" i="105"/>
  <c r="C12" i="101" s="1"/>
  <c r="I37" i="105"/>
  <c r="H37" i="105"/>
  <c r="D37" i="105"/>
  <c r="C37" i="105"/>
  <c r="C39" i="105" s="1"/>
  <c r="B37" i="105"/>
  <c r="AE36" i="105"/>
  <c r="AA36" i="105"/>
  <c r="Z36" i="105"/>
  <c r="Y36" i="105"/>
  <c r="AE35" i="105"/>
  <c r="AA35" i="105"/>
  <c r="Z35" i="105"/>
  <c r="Y35" i="105"/>
  <c r="AE34" i="105"/>
  <c r="AA34" i="105"/>
  <c r="Z34" i="105"/>
  <c r="Y34" i="105"/>
  <c r="AE33" i="105"/>
  <c r="AA33" i="105"/>
  <c r="Z33" i="105"/>
  <c r="Y33" i="105"/>
  <c r="AE32" i="105"/>
  <c r="AA32" i="105"/>
  <c r="Z32" i="105"/>
  <c r="Y32" i="105"/>
  <c r="AE31" i="105"/>
  <c r="AA31" i="105"/>
  <c r="Z31" i="105"/>
  <c r="Y31" i="105"/>
  <c r="AE30" i="105"/>
  <c r="AA30" i="105"/>
  <c r="Z30" i="105"/>
  <c r="Y30" i="105"/>
  <c r="AE29" i="105"/>
  <c r="AA29" i="105"/>
  <c r="Z29" i="105"/>
  <c r="Y29" i="105"/>
  <c r="AE28" i="105"/>
  <c r="AA28" i="105"/>
  <c r="Z28" i="105"/>
  <c r="Y28" i="105"/>
  <c r="AE27" i="105"/>
  <c r="AA27" i="105"/>
  <c r="Z27" i="105"/>
  <c r="Y27" i="105"/>
  <c r="AE26" i="105"/>
  <c r="AA26" i="105"/>
  <c r="Z26" i="105"/>
  <c r="Y26" i="105"/>
  <c r="AE25" i="105"/>
  <c r="AA25" i="105"/>
  <c r="Z25" i="105"/>
  <c r="Y25" i="105"/>
  <c r="AE24" i="105"/>
  <c r="AA24" i="105"/>
  <c r="Z24" i="105"/>
  <c r="Y24" i="105"/>
  <c r="AE23" i="105"/>
  <c r="AA23" i="105"/>
  <c r="Z23" i="105"/>
  <c r="Y23" i="105"/>
  <c r="AE22" i="105"/>
  <c r="AA22" i="105"/>
  <c r="Z22" i="105"/>
  <c r="Y22" i="105"/>
  <c r="AE21" i="105"/>
  <c r="AA21" i="105"/>
  <c r="Z21" i="105"/>
  <c r="Y21" i="105"/>
  <c r="AE20" i="105"/>
  <c r="AA20" i="105"/>
  <c r="Z20" i="105"/>
  <c r="Y20" i="105"/>
  <c r="AE19" i="105"/>
  <c r="AA19" i="105"/>
  <c r="Z19" i="105"/>
  <c r="Y19" i="105"/>
  <c r="AE18" i="105"/>
  <c r="AA18" i="105"/>
  <c r="Z18" i="105"/>
  <c r="Y18" i="105"/>
  <c r="AE17" i="105"/>
  <c r="AA17" i="105"/>
  <c r="Z17" i="105"/>
  <c r="Y17" i="105"/>
  <c r="AE16" i="105"/>
  <c r="AA16" i="105"/>
  <c r="Z16" i="105"/>
  <c r="Y16" i="105"/>
  <c r="AE15" i="105"/>
  <c r="AA15" i="105"/>
  <c r="Z15" i="105"/>
  <c r="Y15" i="105"/>
  <c r="AE14" i="105"/>
  <c r="AA14" i="105"/>
  <c r="Z14" i="105"/>
  <c r="Y14" i="105"/>
  <c r="AE13" i="105"/>
  <c r="AA13" i="105"/>
  <c r="Z13" i="105"/>
  <c r="Y13" i="105"/>
  <c r="AE12" i="105"/>
  <c r="AA12" i="105"/>
  <c r="Z12" i="105"/>
  <c r="Y12" i="105"/>
  <c r="AE11" i="105"/>
  <c r="AA11" i="105"/>
  <c r="Z11" i="105"/>
  <c r="Y11" i="105"/>
  <c r="AE10" i="105"/>
  <c r="AA10" i="105"/>
  <c r="Z10" i="105"/>
  <c r="Y10" i="105"/>
  <c r="AE9" i="105"/>
  <c r="AA9" i="105"/>
  <c r="Z9" i="105"/>
  <c r="Y9" i="105"/>
  <c r="AE8" i="105"/>
  <c r="AA8" i="105"/>
  <c r="Z8" i="105"/>
  <c r="Y8" i="105"/>
  <c r="A8" i="105"/>
  <c r="A9" i="105" s="1"/>
  <c r="A10" i="105" s="1"/>
  <c r="A11" i="105" s="1"/>
  <c r="A12" i="105" s="1"/>
  <c r="A13" i="105" s="1"/>
  <c r="A14" i="105" s="1"/>
  <c r="A15" i="105" s="1"/>
  <c r="A16" i="105" s="1"/>
  <c r="A17" i="105" s="1"/>
  <c r="A18" i="105" s="1"/>
  <c r="A19" i="105" s="1"/>
  <c r="A20" i="105" s="1"/>
  <c r="A21" i="105" s="1"/>
  <c r="A22" i="105" s="1"/>
  <c r="A23" i="105" s="1"/>
  <c r="A24" i="105" s="1"/>
  <c r="A25" i="105" s="1"/>
  <c r="A26" i="105" s="1"/>
  <c r="A27" i="105" s="1"/>
  <c r="A28" i="105" s="1"/>
  <c r="A29" i="105" s="1"/>
  <c r="A30" i="105" s="1"/>
  <c r="A31" i="105" s="1"/>
  <c r="A32" i="105" s="1"/>
  <c r="A33" i="105" s="1"/>
  <c r="A34" i="105" s="1"/>
  <c r="A35" i="105" s="1"/>
  <c r="AE7" i="105"/>
  <c r="AA7" i="105"/>
  <c r="Z7" i="105"/>
  <c r="Y7" i="105"/>
  <c r="A7" i="105"/>
  <c r="AE6" i="105"/>
  <c r="AA6" i="105"/>
  <c r="Z6" i="105"/>
  <c r="Y6" i="105"/>
  <c r="A1" i="105"/>
  <c r="O10" i="98"/>
  <c r="B63" i="105" l="1"/>
  <c r="B64" i="105"/>
  <c r="AA43" i="98"/>
  <c r="AA38" i="105"/>
  <c r="C48" i="105"/>
  <c r="R12" i="101"/>
  <c r="B39" i="105"/>
  <c r="O12" i="101"/>
  <c r="C51" i="105"/>
  <c r="U12" i="101"/>
  <c r="W39" i="105"/>
  <c r="AG12" i="101"/>
  <c r="C49" i="105"/>
  <c r="I12" i="101"/>
  <c r="C50" i="105"/>
  <c r="L12" i="101"/>
  <c r="C52" i="105"/>
  <c r="AJ12" i="101"/>
  <c r="Y37" i="105"/>
  <c r="Y39" i="105" s="1"/>
  <c r="C71" i="105"/>
  <c r="U46" i="101"/>
  <c r="AD39" i="105"/>
  <c r="AA46" i="101"/>
  <c r="AC39" i="105"/>
  <c r="X46" i="101"/>
  <c r="AA12" i="101"/>
  <c r="B74" i="105"/>
  <c r="Z37" i="105"/>
  <c r="Z39" i="105" s="1"/>
  <c r="X39" i="105"/>
  <c r="AA37" i="105"/>
  <c r="J39" i="105"/>
  <c r="C54" i="105"/>
  <c r="AE37" i="105"/>
  <c r="AE39" i="105" s="1"/>
  <c r="B58" i="105"/>
  <c r="D39" i="105"/>
  <c r="C72" i="105"/>
  <c r="H39" i="105"/>
  <c r="I39" i="105"/>
  <c r="C47" i="105"/>
  <c r="C55" i="105"/>
  <c r="AB39" i="105"/>
  <c r="B53" i="105"/>
  <c r="C73" i="105"/>
  <c r="C57" i="105"/>
  <c r="C64" i="105" s="1"/>
  <c r="A1" i="104"/>
  <c r="D48" i="105" l="1"/>
  <c r="AA39" i="105"/>
  <c r="B67" i="105"/>
  <c r="D71" i="105"/>
  <c r="AA41" i="98"/>
  <c r="C63" i="105"/>
  <c r="C66" i="105"/>
  <c r="D66" i="105" s="1"/>
  <c r="D52" i="105"/>
  <c r="D51" i="105"/>
  <c r="D49" i="105"/>
  <c r="D50" i="105"/>
  <c r="B59" i="105"/>
  <c r="D57" i="105"/>
  <c r="D54" i="105"/>
  <c r="C58" i="105"/>
  <c r="D58" i="105" s="1"/>
  <c r="C65" i="105"/>
  <c r="D65" i="105" s="1"/>
  <c r="D72" i="105"/>
  <c r="D73" i="105"/>
  <c r="C74" i="105"/>
  <c r="D74" i="105" s="1"/>
  <c r="D55" i="105"/>
  <c r="D64" i="105"/>
  <c r="C53" i="105"/>
  <c r="D47" i="105"/>
  <c r="AD11" i="101"/>
  <c r="AC45" i="98" l="1"/>
  <c r="D53" i="105"/>
  <c r="C59" i="105"/>
  <c r="D59" i="105" s="1"/>
  <c r="D63" i="105"/>
  <c r="C67" i="105"/>
  <c r="D67" i="105" s="1"/>
  <c r="W78" i="98"/>
  <c r="W60" i="98"/>
  <c r="O30" i="98"/>
  <c r="L30" i="98"/>
  <c r="I30" i="98"/>
  <c r="B73" i="104"/>
  <c r="B72" i="104"/>
  <c r="B71" i="104"/>
  <c r="B57" i="104"/>
  <c r="B55" i="104"/>
  <c r="B54" i="104"/>
  <c r="B52" i="104"/>
  <c r="B66" i="104" s="1"/>
  <c r="B51" i="104"/>
  <c r="B50" i="104"/>
  <c r="B49" i="104"/>
  <c r="B48" i="104"/>
  <c r="B47" i="104"/>
  <c r="D43" i="104"/>
  <c r="C43" i="104"/>
  <c r="AE38" i="104"/>
  <c r="Z38" i="104"/>
  <c r="Y38" i="104"/>
  <c r="AD37" i="104"/>
  <c r="AA45" i="101" s="1"/>
  <c r="AC37" i="104"/>
  <c r="X45" i="101" s="1"/>
  <c r="AB37" i="104"/>
  <c r="U45" i="101" s="1"/>
  <c r="X37" i="104"/>
  <c r="W37" i="104"/>
  <c r="V37" i="104"/>
  <c r="V39" i="104" s="1"/>
  <c r="U37" i="104"/>
  <c r="T37" i="104"/>
  <c r="S37" i="104"/>
  <c r="R37" i="104"/>
  <c r="Q37" i="104"/>
  <c r="P37" i="104"/>
  <c r="O37" i="104"/>
  <c r="N37" i="104"/>
  <c r="M37" i="104"/>
  <c r="L37" i="104"/>
  <c r="K37" i="104"/>
  <c r="J37" i="104"/>
  <c r="C11" i="101" s="1"/>
  <c r="I37" i="104"/>
  <c r="H37" i="104"/>
  <c r="D37" i="104"/>
  <c r="C37" i="104"/>
  <c r="B37" i="104"/>
  <c r="AE36" i="104"/>
  <c r="AA36" i="104"/>
  <c r="Z36" i="104"/>
  <c r="Y36" i="104"/>
  <c r="AE35" i="104"/>
  <c r="AA35" i="104"/>
  <c r="Z35" i="104"/>
  <c r="Y35" i="104"/>
  <c r="AE34" i="104"/>
  <c r="AA34" i="104"/>
  <c r="Z34" i="104"/>
  <c r="Y34" i="104"/>
  <c r="AE33" i="104"/>
  <c r="AA33" i="104"/>
  <c r="Z33" i="104"/>
  <c r="Y33" i="104"/>
  <c r="AE32" i="104"/>
  <c r="AA32" i="104"/>
  <c r="Z32" i="104"/>
  <c r="Y32" i="104"/>
  <c r="AE31" i="104"/>
  <c r="AA31" i="104"/>
  <c r="Z31" i="104"/>
  <c r="Y31" i="104"/>
  <c r="AE30" i="104"/>
  <c r="AA30" i="104"/>
  <c r="Z30" i="104"/>
  <c r="Y30" i="104"/>
  <c r="AE29" i="104"/>
  <c r="AA29" i="104"/>
  <c r="Z29" i="104"/>
  <c r="Y29" i="104"/>
  <c r="AE28" i="104"/>
  <c r="AA28" i="104"/>
  <c r="Z28" i="104"/>
  <c r="Y28" i="104"/>
  <c r="AE27" i="104"/>
  <c r="AA27" i="104"/>
  <c r="Z27" i="104"/>
  <c r="Y27" i="104"/>
  <c r="AE26" i="104"/>
  <c r="AA26" i="104"/>
  <c r="Z26" i="104"/>
  <c r="Y26" i="104"/>
  <c r="AE25" i="104"/>
  <c r="AA25" i="104"/>
  <c r="Z25" i="104"/>
  <c r="Y25" i="104"/>
  <c r="AE24" i="104"/>
  <c r="AA24" i="104"/>
  <c r="Z24" i="104"/>
  <c r="Y24" i="104"/>
  <c r="AE23" i="104"/>
  <c r="AA23" i="104"/>
  <c r="Z23" i="104"/>
  <c r="Y23" i="104"/>
  <c r="AE22" i="104"/>
  <c r="AA22" i="104"/>
  <c r="Z22" i="104"/>
  <c r="Y22" i="104"/>
  <c r="AE21" i="104"/>
  <c r="AA21" i="104"/>
  <c r="Z21" i="104"/>
  <c r="Y21" i="104"/>
  <c r="AE20" i="104"/>
  <c r="AA20" i="104"/>
  <c r="Z20" i="104"/>
  <c r="Y20" i="104"/>
  <c r="AE19" i="104"/>
  <c r="AA19" i="104"/>
  <c r="Z19" i="104"/>
  <c r="Y19" i="104"/>
  <c r="AE18" i="104"/>
  <c r="AA18" i="104"/>
  <c r="Z18" i="104"/>
  <c r="Y18" i="104"/>
  <c r="AE17" i="104"/>
  <c r="AA17" i="104"/>
  <c r="Z17" i="104"/>
  <c r="Y17" i="104"/>
  <c r="AE16" i="104"/>
  <c r="AA16" i="104"/>
  <c r="Z16" i="104"/>
  <c r="Y16" i="104"/>
  <c r="AE15" i="104"/>
  <c r="AA15" i="104"/>
  <c r="Z15" i="104"/>
  <c r="Y15" i="104"/>
  <c r="AE14" i="104"/>
  <c r="AA14" i="104"/>
  <c r="Z14" i="104"/>
  <c r="Y14" i="104"/>
  <c r="AE13" i="104"/>
  <c r="AA13" i="104"/>
  <c r="Z13" i="104"/>
  <c r="Y13" i="104"/>
  <c r="AE12" i="104"/>
  <c r="AA12" i="104"/>
  <c r="Z12" i="104"/>
  <c r="Y12" i="104"/>
  <c r="AE11" i="104"/>
  <c r="AA11" i="104"/>
  <c r="Z11" i="104"/>
  <c r="Y11" i="104"/>
  <c r="AE10" i="104"/>
  <c r="AA10" i="104"/>
  <c r="Z10" i="104"/>
  <c r="Y10" i="104"/>
  <c r="AE9" i="104"/>
  <c r="AA9" i="104"/>
  <c r="Z9" i="104"/>
  <c r="Y9" i="104"/>
  <c r="AE8" i="104"/>
  <c r="AA8" i="104"/>
  <c r="Z8" i="104"/>
  <c r="Y8" i="104"/>
  <c r="AE7" i="104"/>
  <c r="AA7" i="104"/>
  <c r="Z7" i="104"/>
  <c r="Y7" i="104"/>
  <c r="A7" i="104"/>
  <c r="A8" i="104" s="1"/>
  <c r="A9" i="104" s="1"/>
  <c r="A10" i="104" s="1"/>
  <c r="A11" i="104" s="1"/>
  <c r="A12" i="104" s="1"/>
  <c r="A13" i="104" s="1"/>
  <c r="A14" i="104" s="1"/>
  <c r="A15" i="104" s="1"/>
  <c r="A16" i="104" s="1"/>
  <c r="A17" i="104" s="1"/>
  <c r="A18" i="104" s="1"/>
  <c r="A19" i="104" s="1"/>
  <c r="A20" i="104" s="1"/>
  <c r="A21" i="104" s="1"/>
  <c r="A22" i="104" s="1"/>
  <c r="A23" i="104" s="1"/>
  <c r="A24" i="104" s="1"/>
  <c r="A25" i="104" s="1"/>
  <c r="A26" i="104" s="1"/>
  <c r="A27" i="104" s="1"/>
  <c r="A28" i="104" s="1"/>
  <c r="A29" i="104" s="1"/>
  <c r="A30" i="104" s="1"/>
  <c r="A31" i="104" s="1"/>
  <c r="A32" i="104" s="1"/>
  <c r="A33" i="104" s="1"/>
  <c r="A34" i="104" s="1"/>
  <c r="A35" i="104" s="1"/>
  <c r="AE6" i="104"/>
  <c r="AA6" i="104"/>
  <c r="Z6" i="104"/>
  <c r="Y6" i="104"/>
  <c r="Y27" i="100"/>
  <c r="Y26" i="100"/>
  <c r="Y25" i="100"/>
  <c r="Y24" i="100"/>
  <c r="J37" i="100"/>
  <c r="J39" i="100" s="1"/>
  <c r="H10" i="98"/>
  <c r="I10" i="98"/>
  <c r="J10" i="98"/>
  <c r="L10" i="98"/>
  <c r="M10" i="98"/>
  <c r="N10" i="98"/>
  <c r="P10" i="98"/>
  <c r="R10" i="98"/>
  <c r="S10" i="98"/>
  <c r="T10" i="98"/>
  <c r="U10" i="98"/>
  <c r="Z24" i="98"/>
  <c r="Z25" i="98"/>
  <c r="Z26" i="98"/>
  <c r="F27" i="98"/>
  <c r="AA38" i="104" l="1"/>
  <c r="B74" i="104"/>
  <c r="AD39" i="104"/>
  <c r="AC39" i="104"/>
  <c r="C71" i="104"/>
  <c r="AE37" i="104"/>
  <c r="AE39" i="104" s="1"/>
  <c r="C52" i="104"/>
  <c r="AJ11" i="101"/>
  <c r="C39" i="104"/>
  <c r="R11" i="101"/>
  <c r="B39" i="104"/>
  <c r="O11" i="101"/>
  <c r="C49" i="104"/>
  <c r="I11" i="101"/>
  <c r="H39" i="104"/>
  <c r="L11" i="101"/>
  <c r="W39" i="104"/>
  <c r="AG11" i="101"/>
  <c r="C51" i="104"/>
  <c r="D51" i="104" s="1"/>
  <c r="U11" i="101"/>
  <c r="U39" i="104"/>
  <c r="AA11" i="101"/>
  <c r="B64" i="104"/>
  <c r="C72" i="104"/>
  <c r="C50" i="104"/>
  <c r="AB39" i="104"/>
  <c r="D39" i="104"/>
  <c r="Y37" i="104"/>
  <c r="Y39" i="104" s="1"/>
  <c r="X39" i="104"/>
  <c r="AA37" i="104"/>
  <c r="AA39" i="104" s="1"/>
  <c r="Z37" i="104"/>
  <c r="Z39" i="104" s="1"/>
  <c r="C54" i="104"/>
  <c r="D54" i="104" s="1"/>
  <c r="B58" i="104"/>
  <c r="B65" i="104"/>
  <c r="B53" i="104"/>
  <c r="B63" i="104"/>
  <c r="I39" i="104"/>
  <c r="C47" i="104"/>
  <c r="C55" i="104"/>
  <c r="J39" i="104"/>
  <c r="C73" i="104"/>
  <c r="C48" i="104"/>
  <c r="C57" i="104"/>
  <c r="O17" i="98"/>
  <c r="D52" i="104" l="1"/>
  <c r="C66" i="104"/>
  <c r="D66" i="104" s="1"/>
  <c r="B67" i="104"/>
  <c r="D71" i="104"/>
  <c r="D50" i="104"/>
  <c r="D49" i="104"/>
  <c r="D72" i="104"/>
  <c r="D73" i="104"/>
  <c r="D48" i="104"/>
  <c r="D57" i="104"/>
  <c r="C65" i="104"/>
  <c r="D65" i="104" s="1"/>
  <c r="B59" i="104"/>
  <c r="C74" i="104"/>
  <c r="D74" i="104" s="1"/>
  <c r="D55" i="104"/>
  <c r="C64" i="104"/>
  <c r="D64" i="104" s="1"/>
  <c r="C63" i="104"/>
  <c r="C53" i="104"/>
  <c r="D47" i="104"/>
  <c r="C58" i="104"/>
  <c r="D58" i="104" s="1"/>
  <c r="Z26" i="100"/>
  <c r="Z25" i="100"/>
  <c r="Z24" i="100"/>
  <c r="D53" i="104" l="1"/>
  <c r="C59" i="104"/>
  <c r="D59" i="104" s="1"/>
  <c r="D63" i="104"/>
  <c r="C67" i="104"/>
  <c r="D67" i="104" s="1"/>
  <c r="AE11" i="103" l="1"/>
  <c r="Y29" i="98"/>
  <c r="X29" i="98"/>
  <c r="W26" i="98"/>
  <c r="W25" i="98"/>
  <c r="W24" i="98"/>
  <c r="V29" i="98"/>
  <c r="U29" i="98"/>
  <c r="T29" i="98"/>
  <c r="S29" i="98"/>
  <c r="W29" i="98" l="1"/>
  <c r="Z29" i="98"/>
  <c r="AA43" i="101"/>
  <c r="X43" i="101"/>
  <c r="U43" i="101"/>
  <c r="H29" i="98"/>
  <c r="H13" i="2" s="1"/>
  <c r="G29" i="98"/>
  <c r="H12" i="2" s="1"/>
  <c r="F29" i="98"/>
  <c r="H11" i="2" s="1"/>
  <c r="F24" i="98"/>
  <c r="F25" i="98"/>
  <c r="Q26" i="98"/>
  <c r="P26" i="98"/>
  <c r="O26" i="98"/>
  <c r="N26" i="98"/>
  <c r="M26" i="98"/>
  <c r="L26" i="98"/>
  <c r="K26" i="98"/>
  <c r="J26" i="98"/>
  <c r="I26" i="98"/>
  <c r="AE39" i="98"/>
  <c r="W77" i="98"/>
  <c r="W59" i="98"/>
  <c r="W68" i="98"/>
  <c r="W66" i="98"/>
  <c r="W64" i="98"/>
  <c r="W63" i="98"/>
  <c r="A36" i="103"/>
  <c r="A34" i="103"/>
  <c r="A35" i="103" s="1"/>
  <c r="A1" i="103"/>
  <c r="Y6" i="103"/>
  <c r="Z6" i="103"/>
  <c r="AA6" i="103"/>
  <c r="AE6" i="103"/>
  <c r="A7" i="103"/>
  <c r="A8" i="103" s="1"/>
  <c r="A9" i="103" s="1"/>
  <c r="A10" i="103" s="1"/>
  <c r="A11" i="103" s="1"/>
  <c r="A12" i="103" s="1"/>
  <c r="A13" i="103" s="1"/>
  <c r="A14" i="103" s="1"/>
  <c r="A15" i="103" s="1"/>
  <c r="A16" i="103" s="1"/>
  <c r="A17" i="103" s="1"/>
  <c r="A18" i="103" s="1"/>
  <c r="A19" i="103" s="1"/>
  <c r="A20" i="103" s="1"/>
  <c r="A21" i="103" s="1"/>
  <c r="A22" i="103" s="1"/>
  <c r="A23" i="103" s="1"/>
  <c r="A24" i="103" s="1"/>
  <c r="A25" i="103" s="1"/>
  <c r="A26" i="103" s="1"/>
  <c r="A27" i="103" s="1"/>
  <c r="A28" i="103" s="1"/>
  <c r="A29" i="103" s="1"/>
  <c r="A30" i="103" s="1"/>
  <c r="A31" i="103" s="1"/>
  <c r="A32" i="103" s="1"/>
  <c r="A33" i="103" s="1"/>
  <c r="Y7" i="103"/>
  <c r="Z7" i="103"/>
  <c r="AA7" i="103"/>
  <c r="AE7" i="103"/>
  <c r="Y8" i="103"/>
  <c r="Z8" i="103"/>
  <c r="AA8" i="103"/>
  <c r="AE8" i="103"/>
  <c r="Y9" i="103"/>
  <c r="Z9" i="103"/>
  <c r="AA9" i="103"/>
  <c r="AE9" i="103"/>
  <c r="Y10" i="103"/>
  <c r="Z10" i="103"/>
  <c r="AA10" i="103"/>
  <c r="AE10" i="103"/>
  <c r="Y11" i="103"/>
  <c r="Z11" i="103"/>
  <c r="AA11" i="103"/>
  <c r="Y12" i="103"/>
  <c r="Z12" i="103"/>
  <c r="AA12" i="103"/>
  <c r="AE12" i="103"/>
  <c r="Y13" i="103"/>
  <c r="Z13" i="103"/>
  <c r="AA13" i="103"/>
  <c r="AE13" i="103"/>
  <c r="Y14" i="103"/>
  <c r="Z14" i="103"/>
  <c r="AA14" i="103"/>
  <c r="AE14" i="103"/>
  <c r="Y15" i="103"/>
  <c r="Z15" i="103"/>
  <c r="AA15" i="103"/>
  <c r="AE15" i="103"/>
  <c r="Y16" i="103"/>
  <c r="Z16" i="103"/>
  <c r="AA16" i="103"/>
  <c r="AE16" i="103"/>
  <c r="Y17" i="103"/>
  <c r="Z17" i="103"/>
  <c r="AA17" i="103"/>
  <c r="AE17" i="103"/>
  <c r="Y18" i="103"/>
  <c r="Z18" i="103"/>
  <c r="AA18" i="103"/>
  <c r="AE18" i="103"/>
  <c r="Y19" i="103"/>
  <c r="Z19" i="103"/>
  <c r="AA19" i="103"/>
  <c r="AE19" i="103"/>
  <c r="Y20" i="103"/>
  <c r="Z20" i="103"/>
  <c r="AA20" i="103"/>
  <c r="AE20" i="103"/>
  <c r="Y21" i="103"/>
  <c r="Z21" i="103"/>
  <c r="AA21" i="103"/>
  <c r="AE21" i="103"/>
  <c r="Y22" i="103"/>
  <c r="Z22" i="103"/>
  <c r="AA22" i="103"/>
  <c r="AE22" i="103"/>
  <c r="Y23" i="103"/>
  <c r="Z23" i="103"/>
  <c r="AA23" i="103"/>
  <c r="AE23" i="103"/>
  <c r="Y24" i="103"/>
  <c r="Z24" i="103"/>
  <c r="AA24" i="103"/>
  <c r="AE24" i="103"/>
  <c r="Y25" i="103"/>
  <c r="Z25" i="103"/>
  <c r="AA25" i="103"/>
  <c r="AE25" i="103"/>
  <c r="Y26" i="103"/>
  <c r="Z26" i="103"/>
  <c r="AA26" i="103"/>
  <c r="AE26" i="103"/>
  <c r="Y27" i="103"/>
  <c r="Z27" i="103"/>
  <c r="AA27" i="103"/>
  <c r="AE27" i="103"/>
  <c r="Y28" i="103"/>
  <c r="Z28" i="103"/>
  <c r="AA28" i="103"/>
  <c r="AE28" i="103"/>
  <c r="Y29" i="103"/>
  <c r="Z29" i="103"/>
  <c r="AA29" i="103"/>
  <c r="AE29" i="103"/>
  <c r="Y30" i="103"/>
  <c r="Z30" i="103"/>
  <c r="AA30" i="103"/>
  <c r="AE30" i="103"/>
  <c r="Y31" i="103"/>
  <c r="Z31" i="103"/>
  <c r="AA31" i="103"/>
  <c r="AE31" i="103"/>
  <c r="Y32" i="103"/>
  <c r="Z32" i="103"/>
  <c r="AA32" i="103"/>
  <c r="AE32" i="103"/>
  <c r="Y33" i="103"/>
  <c r="Z33" i="103"/>
  <c r="AA33" i="103"/>
  <c r="AE33" i="103"/>
  <c r="Y34" i="103"/>
  <c r="Z34" i="103"/>
  <c r="AA34" i="103"/>
  <c r="AE34" i="103"/>
  <c r="Y35" i="103"/>
  <c r="Z35" i="103"/>
  <c r="AA35" i="103"/>
  <c r="AE35" i="103"/>
  <c r="Y36" i="103"/>
  <c r="Z36" i="103"/>
  <c r="AA36" i="103"/>
  <c r="AE36" i="103"/>
  <c r="B37" i="103"/>
  <c r="B39" i="103" s="1"/>
  <c r="C37" i="103"/>
  <c r="C39" i="103" s="1"/>
  <c r="D37" i="103"/>
  <c r="D39" i="103" s="1"/>
  <c r="H37" i="103"/>
  <c r="H39" i="103" s="1"/>
  <c r="I37" i="103"/>
  <c r="I39" i="103" s="1"/>
  <c r="J37" i="103"/>
  <c r="C10" i="101" s="1"/>
  <c r="K37" i="103"/>
  <c r="L37" i="103"/>
  <c r="M37" i="103"/>
  <c r="N37" i="103"/>
  <c r="O37" i="103"/>
  <c r="P37" i="103"/>
  <c r="Q37" i="103"/>
  <c r="R37" i="103"/>
  <c r="S37" i="103"/>
  <c r="T37" i="103"/>
  <c r="U37" i="103"/>
  <c r="AA10" i="101" s="1"/>
  <c r="V37" i="103"/>
  <c r="V39" i="103" s="1"/>
  <c r="W37" i="103"/>
  <c r="W39" i="103" s="1"/>
  <c r="X37" i="103"/>
  <c r="X39" i="103" s="1"/>
  <c r="AB37" i="103"/>
  <c r="AB39" i="103" s="1"/>
  <c r="AC37" i="103"/>
  <c r="C72" i="103" s="1"/>
  <c r="AD37" i="103"/>
  <c r="AD39" i="103" s="1"/>
  <c r="Y38" i="103"/>
  <c r="Z38" i="103"/>
  <c r="AE38" i="103"/>
  <c r="C43" i="103"/>
  <c r="D43" i="103"/>
  <c r="B47" i="103"/>
  <c r="B48" i="103"/>
  <c r="B49" i="103"/>
  <c r="B50" i="103"/>
  <c r="B51" i="103"/>
  <c r="B52" i="103"/>
  <c r="B66" i="103" s="1"/>
  <c r="B54" i="103"/>
  <c r="B55" i="103"/>
  <c r="B57" i="103"/>
  <c r="B71" i="103"/>
  <c r="B72" i="103"/>
  <c r="B73" i="103"/>
  <c r="C51" i="103" l="1"/>
  <c r="C55" i="103"/>
  <c r="D55" i="103" s="1"/>
  <c r="B74" i="103"/>
  <c r="U39" i="103"/>
  <c r="C49" i="103"/>
  <c r="U10" i="101"/>
  <c r="AD10" i="101"/>
  <c r="C47" i="103"/>
  <c r="R10" i="101"/>
  <c r="AA44" i="101"/>
  <c r="U44" i="101"/>
  <c r="AC39" i="103"/>
  <c r="X44" i="101"/>
  <c r="O10" i="101"/>
  <c r="AG10" i="101"/>
  <c r="C57" i="103"/>
  <c r="I10" i="101"/>
  <c r="L10" i="101"/>
  <c r="AJ10" i="101"/>
  <c r="B64" i="103"/>
  <c r="AA38" i="103"/>
  <c r="C73" i="103"/>
  <c r="D72" i="103"/>
  <c r="B58" i="103"/>
  <c r="B53" i="103"/>
  <c r="C48" i="103"/>
  <c r="Z37" i="103"/>
  <c r="Z39" i="103" s="1"/>
  <c r="C54" i="103"/>
  <c r="C65" i="103" s="1"/>
  <c r="AA37" i="103"/>
  <c r="Y37" i="103"/>
  <c r="Y39" i="103" s="1"/>
  <c r="AE37" i="103"/>
  <c r="AE39" i="103" s="1"/>
  <c r="B63" i="103"/>
  <c r="C71" i="103"/>
  <c r="B65" i="103"/>
  <c r="C50" i="103"/>
  <c r="J39" i="103"/>
  <c r="C52" i="103"/>
  <c r="H17" i="98"/>
  <c r="I17" i="98"/>
  <c r="J17" i="98"/>
  <c r="K17" i="98"/>
  <c r="L17" i="98"/>
  <c r="M17" i="98"/>
  <c r="N17" i="98"/>
  <c r="Q17" i="98"/>
  <c r="R17" i="98"/>
  <c r="S17" i="98"/>
  <c r="T17" i="98"/>
  <c r="U17" i="98"/>
  <c r="L20" i="98"/>
  <c r="D51" i="103" l="1"/>
  <c r="D49" i="103"/>
  <c r="D47" i="103"/>
  <c r="D57" i="103"/>
  <c r="C64" i="103"/>
  <c r="D64" i="103" s="1"/>
  <c r="D73" i="103"/>
  <c r="D54" i="103"/>
  <c r="D48" i="103"/>
  <c r="AA39" i="103"/>
  <c r="C53" i="103"/>
  <c r="C58" i="103"/>
  <c r="D58" i="103" s="1"/>
  <c r="B59" i="103"/>
  <c r="C74" i="103"/>
  <c r="D74" i="103" s="1"/>
  <c r="D71" i="103"/>
  <c r="D65" i="103"/>
  <c r="D50" i="103"/>
  <c r="C63" i="103"/>
  <c r="B67" i="103"/>
  <c r="C66" i="103"/>
  <c r="D66" i="103" s="1"/>
  <c r="D52" i="103"/>
  <c r="D43" i="113"/>
  <c r="C59" i="103" l="1"/>
  <c r="D59" i="103" s="1"/>
  <c r="D53" i="103"/>
  <c r="D63" i="103"/>
  <c r="C67" i="103"/>
  <c r="D67" i="103" s="1"/>
  <c r="O16" i="98"/>
  <c r="W76" i="98" l="1"/>
  <c r="W58" i="98"/>
  <c r="B73" i="113"/>
  <c r="B72" i="113"/>
  <c r="B71" i="113"/>
  <c r="B57" i="113"/>
  <c r="B55" i="113"/>
  <c r="B54" i="113"/>
  <c r="B52" i="113"/>
  <c r="B66" i="113" s="1"/>
  <c r="B51" i="113"/>
  <c r="B50" i="113"/>
  <c r="B49" i="113"/>
  <c r="B48" i="113"/>
  <c r="B47" i="113"/>
  <c r="C43" i="113"/>
  <c r="AE38" i="113"/>
  <c r="Z38" i="113"/>
  <c r="Y38" i="113"/>
  <c r="AA38" i="113" s="1"/>
  <c r="AD37" i="113"/>
  <c r="AC37" i="113"/>
  <c r="AB37" i="113"/>
  <c r="X37" i="113"/>
  <c r="W37" i="113"/>
  <c r="V37" i="113"/>
  <c r="U37" i="113"/>
  <c r="T37" i="113"/>
  <c r="S37" i="113"/>
  <c r="R37" i="113"/>
  <c r="Q37" i="113"/>
  <c r="P37" i="113"/>
  <c r="O37" i="113"/>
  <c r="N37" i="113"/>
  <c r="M37" i="113"/>
  <c r="L37" i="113"/>
  <c r="K37" i="113"/>
  <c r="J37" i="113"/>
  <c r="C9" i="101" s="1"/>
  <c r="I37" i="113"/>
  <c r="H37" i="113"/>
  <c r="D37" i="113"/>
  <c r="C37" i="113"/>
  <c r="B37" i="113"/>
  <c r="AE36" i="113"/>
  <c r="AA36" i="113"/>
  <c r="Z36" i="113"/>
  <c r="Y36" i="113"/>
  <c r="AE35" i="113"/>
  <c r="AA35" i="113"/>
  <c r="Z35" i="113"/>
  <c r="Y35" i="113"/>
  <c r="AE34" i="113"/>
  <c r="AA34" i="113"/>
  <c r="Z34" i="113"/>
  <c r="Y34" i="113"/>
  <c r="AE33" i="113"/>
  <c r="AA33" i="113"/>
  <c r="Z33" i="113"/>
  <c r="Y33" i="113"/>
  <c r="AE32" i="113"/>
  <c r="AA32" i="113"/>
  <c r="Z32" i="113"/>
  <c r="Y32" i="113"/>
  <c r="AE31" i="113"/>
  <c r="AA31" i="113"/>
  <c r="Z31" i="113"/>
  <c r="Y31" i="113"/>
  <c r="AE30" i="113"/>
  <c r="AA30" i="113"/>
  <c r="Z30" i="113"/>
  <c r="Y30" i="113"/>
  <c r="AE29" i="113"/>
  <c r="AA29" i="113"/>
  <c r="Z29" i="113"/>
  <c r="Y29" i="113"/>
  <c r="AE28" i="113"/>
  <c r="AA28" i="113"/>
  <c r="Z28" i="113"/>
  <c r="Y28" i="113"/>
  <c r="AE27" i="113"/>
  <c r="AA27" i="113"/>
  <c r="Z27" i="113"/>
  <c r="Y27" i="113"/>
  <c r="AE26" i="113"/>
  <c r="AA26" i="113"/>
  <c r="Z26" i="113"/>
  <c r="Y26" i="113"/>
  <c r="AE25" i="113"/>
  <c r="AA25" i="113"/>
  <c r="Z25" i="113"/>
  <c r="Y25" i="113"/>
  <c r="AE24" i="113"/>
  <c r="AA24" i="113"/>
  <c r="Z24" i="113"/>
  <c r="Y24" i="113"/>
  <c r="AE23" i="113"/>
  <c r="AA23" i="113"/>
  <c r="Z23" i="113"/>
  <c r="Y23" i="113"/>
  <c r="AE22" i="113"/>
  <c r="AA22" i="113"/>
  <c r="Z22" i="113"/>
  <c r="Y22" i="113"/>
  <c r="AE21" i="113"/>
  <c r="AA21" i="113"/>
  <c r="Z21" i="113"/>
  <c r="Y21" i="113"/>
  <c r="AE20" i="113"/>
  <c r="AA20" i="113"/>
  <c r="Z20" i="113"/>
  <c r="Y20" i="113"/>
  <c r="AE19" i="113"/>
  <c r="Z19" i="113"/>
  <c r="AA19" i="113"/>
  <c r="AE18" i="113"/>
  <c r="AA18" i="113"/>
  <c r="Z18" i="113"/>
  <c r="Y18" i="113"/>
  <c r="AE17" i="113"/>
  <c r="AA17" i="113"/>
  <c r="Z17" i="113"/>
  <c r="Y17" i="113"/>
  <c r="AE16" i="113"/>
  <c r="AA16" i="113"/>
  <c r="Z16" i="113"/>
  <c r="Y16" i="113"/>
  <c r="AE15" i="113"/>
  <c r="AA15" i="113"/>
  <c r="Z15" i="113"/>
  <c r="Y15" i="113"/>
  <c r="AE14" i="113"/>
  <c r="AA14" i="113"/>
  <c r="Z14" i="113"/>
  <c r="Y14" i="113"/>
  <c r="AE13" i="113"/>
  <c r="AA13" i="113"/>
  <c r="Z13" i="113"/>
  <c r="Y13" i="113"/>
  <c r="AE12" i="113"/>
  <c r="AA12" i="113"/>
  <c r="Z12" i="113"/>
  <c r="Y12" i="113"/>
  <c r="AE11" i="113"/>
  <c r="AA11" i="113"/>
  <c r="Z11" i="113"/>
  <c r="Y11" i="113"/>
  <c r="AE10" i="113"/>
  <c r="AA10" i="113"/>
  <c r="Z10" i="113"/>
  <c r="Y10" i="113"/>
  <c r="AE9" i="113"/>
  <c r="AA9" i="113"/>
  <c r="Z9" i="113"/>
  <c r="Y9" i="113"/>
  <c r="AE8" i="113"/>
  <c r="AA8" i="113"/>
  <c r="Z8" i="113"/>
  <c r="Y8" i="113"/>
  <c r="AE7" i="113"/>
  <c r="AA7" i="113"/>
  <c r="Z7" i="113"/>
  <c r="Y7" i="113"/>
  <c r="A7" i="113"/>
  <c r="A8" i="113" s="1"/>
  <c r="A9" i="113" s="1"/>
  <c r="A10" i="113" s="1"/>
  <c r="A11" i="113" s="1"/>
  <c r="A12" i="113" s="1"/>
  <c r="A13" i="113" s="1"/>
  <c r="A14" i="113" s="1"/>
  <c r="A15" i="113" s="1"/>
  <c r="A16" i="113" s="1"/>
  <c r="A17" i="113" s="1"/>
  <c r="A18" i="113" s="1"/>
  <c r="A19" i="113" s="1"/>
  <c r="A20" i="113" s="1"/>
  <c r="A21" i="113" s="1"/>
  <c r="A22" i="113" s="1"/>
  <c r="A23" i="113" s="1"/>
  <c r="A24" i="113" s="1"/>
  <c r="A25" i="113" s="1"/>
  <c r="A26" i="113" s="1"/>
  <c r="A27" i="113" s="1"/>
  <c r="A28" i="113" s="1"/>
  <c r="A29" i="113" s="1"/>
  <c r="A30" i="113" s="1"/>
  <c r="A31" i="113" s="1"/>
  <c r="A32" i="113" s="1"/>
  <c r="A33" i="113" s="1"/>
  <c r="AE6" i="113"/>
  <c r="AA6" i="113"/>
  <c r="Z6" i="113"/>
  <c r="Y6" i="113"/>
  <c r="A1" i="113"/>
  <c r="T102" i="98"/>
  <c r="O102" i="98"/>
  <c r="O101" i="98"/>
  <c r="O100" i="98"/>
  <c r="O99" i="98"/>
  <c r="O98" i="98"/>
  <c r="V39" i="113" l="1"/>
  <c r="AD9" i="101"/>
  <c r="C51" i="113"/>
  <c r="U9" i="101"/>
  <c r="C57" i="113"/>
  <c r="D57" i="113" s="1"/>
  <c r="AG9" i="101"/>
  <c r="U39" i="113"/>
  <c r="AA9" i="101"/>
  <c r="C50" i="113"/>
  <c r="L9" i="101"/>
  <c r="I9" i="101"/>
  <c r="B39" i="113"/>
  <c r="O9" i="101"/>
  <c r="C48" i="113"/>
  <c r="R9" i="101"/>
  <c r="X39" i="113"/>
  <c r="AJ9" i="101"/>
  <c r="AD39" i="113"/>
  <c r="C71" i="113"/>
  <c r="AC39" i="113"/>
  <c r="T99" i="98"/>
  <c r="AE37" i="113"/>
  <c r="AE39" i="113" s="1"/>
  <c r="B74" i="113"/>
  <c r="B58" i="113"/>
  <c r="B63" i="113"/>
  <c r="B64" i="113"/>
  <c r="B53" i="113"/>
  <c r="C47" i="113"/>
  <c r="C49" i="113"/>
  <c r="C39" i="113"/>
  <c r="Z37" i="113"/>
  <c r="Z39" i="113" s="1"/>
  <c r="I39" i="113"/>
  <c r="C54" i="113"/>
  <c r="W39" i="113"/>
  <c r="AA37" i="113"/>
  <c r="AA39" i="113" s="1"/>
  <c r="D39" i="113"/>
  <c r="C72" i="113"/>
  <c r="H39" i="113"/>
  <c r="C52" i="113"/>
  <c r="C55" i="113"/>
  <c r="Y19" i="113"/>
  <c r="Y37" i="113" s="1"/>
  <c r="Y39" i="113" s="1"/>
  <c r="J39" i="113"/>
  <c r="AB39" i="113"/>
  <c r="B65" i="113"/>
  <c r="C73" i="113"/>
  <c r="D37" i="100"/>
  <c r="D39" i="100" s="1"/>
  <c r="D51" i="113" l="1"/>
  <c r="D48" i="113"/>
  <c r="D50" i="113"/>
  <c r="D71" i="113"/>
  <c r="D47" i="113"/>
  <c r="C65" i="113"/>
  <c r="D65" i="113" s="1"/>
  <c r="D72" i="113"/>
  <c r="D73" i="113"/>
  <c r="D49" i="113"/>
  <c r="C53" i="113"/>
  <c r="D53" i="113" s="1"/>
  <c r="B67" i="113"/>
  <c r="B59" i="113"/>
  <c r="C63" i="113"/>
  <c r="D63" i="113" s="1"/>
  <c r="D54" i="113"/>
  <c r="C74" i="113"/>
  <c r="D74" i="113" s="1"/>
  <c r="D55" i="113"/>
  <c r="C64" i="113"/>
  <c r="D64" i="113" s="1"/>
  <c r="C66" i="113"/>
  <c r="D66" i="113" s="1"/>
  <c r="D52" i="113"/>
  <c r="C58" i="113"/>
  <c r="D58" i="113" s="1"/>
  <c r="B55" i="100"/>
  <c r="B49" i="100"/>
  <c r="B48" i="100"/>
  <c r="B47" i="100"/>
  <c r="C59" i="113" l="1"/>
  <c r="D59" i="113" s="1"/>
  <c r="C67" i="113"/>
  <c r="D67" i="113" s="1"/>
  <c r="Y8" i="101"/>
  <c r="O20" i="98" l="1"/>
  <c r="O18" i="98"/>
  <c r="O14" i="98"/>
  <c r="N16" i="98"/>
  <c r="N14" i="98"/>
  <c r="M16" i="98"/>
  <c r="M14" i="98"/>
  <c r="M18" i="98" l="1"/>
  <c r="N18" i="98"/>
  <c r="I53" i="101"/>
  <c r="I52" i="101"/>
  <c r="I51" i="101"/>
  <c r="I50" i="101"/>
  <c r="I49" i="101"/>
  <c r="I48" i="101"/>
  <c r="C26" i="101"/>
  <c r="C25" i="101"/>
  <c r="C24" i="101"/>
  <c r="O25" i="101"/>
  <c r="N25" i="101"/>
  <c r="M25" i="101"/>
  <c r="L25" i="101"/>
  <c r="K25" i="101"/>
  <c r="J25" i="101"/>
  <c r="O24" i="101"/>
  <c r="N24" i="101"/>
  <c r="M24" i="101"/>
  <c r="L24" i="101"/>
  <c r="K24" i="101"/>
  <c r="J24" i="101"/>
  <c r="O29" i="101"/>
  <c r="N29" i="101"/>
  <c r="M29" i="101"/>
  <c r="L29" i="101"/>
  <c r="K29" i="101"/>
  <c r="J29" i="101"/>
  <c r="C29" i="101"/>
  <c r="O30" i="101"/>
  <c r="N30" i="101"/>
  <c r="M30" i="101"/>
  <c r="L30" i="101"/>
  <c r="K30" i="101"/>
  <c r="J30" i="101"/>
  <c r="I30" i="101"/>
  <c r="H30" i="101"/>
  <c r="G30" i="101"/>
  <c r="K32" i="101"/>
  <c r="E32" i="101"/>
  <c r="F32" i="101"/>
  <c r="G32" i="101"/>
  <c r="H32" i="101"/>
  <c r="I32" i="101"/>
  <c r="AG14" i="101"/>
  <c r="J32" i="101" s="1"/>
  <c r="AG15" i="101"/>
  <c r="AG16" i="101"/>
  <c r="L32" i="101" s="1"/>
  <c r="AG17" i="101"/>
  <c r="M32" i="101" s="1"/>
  <c r="AG18" i="101"/>
  <c r="N32" i="101" s="1"/>
  <c r="AG19" i="101"/>
  <c r="O32" i="101" s="1"/>
  <c r="B73" i="100" l="1"/>
  <c r="B72" i="100"/>
  <c r="B71" i="100"/>
  <c r="Z38" i="100"/>
  <c r="Y38" i="100"/>
  <c r="Z36" i="100"/>
  <c r="Y36" i="100"/>
  <c r="Z35" i="100"/>
  <c r="Y35" i="100"/>
  <c r="Z34" i="100"/>
  <c r="Y34" i="100"/>
  <c r="Z33" i="100"/>
  <c r="Y33" i="100"/>
  <c r="Z32" i="100"/>
  <c r="Y32" i="100"/>
  <c r="Z31" i="100"/>
  <c r="Y31" i="100"/>
  <c r="Z30" i="100"/>
  <c r="Y30" i="100"/>
  <c r="Z29" i="100"/>
  <c r="Y29" i="100"/>
  <c r="Z28" i="100"/>
  <c r="Y28" i="100"/>
  <c r="Z27" i="100"/>
  <c r="Z23" i="100"/>
  <c r="Y23" i="100"/>
  <c r="Z22" i="100"/>
  <c r="Y22" i="100"/>
  <c r="Z21" i="100"/>
  <c r="Y21" i="100"/>
  <c r="Z20" i="100"/>
  <c r="Y20" i="100"/>
  <c r="Z19" i="100"/>
  <c r="Y19" i="100"/>
  <c r="Z18" i="100"/>
  <c r="Y18" i="100"/>
  <c r="Z17" i="100"/>
  <c r="Y17" i="100"/>
  <c r="Z16" i="100"/>
  <c r="Y16" i="100"/>
  <c r="Z15" i="100"/>
  <c r="Y15" i="100"/>
  <c r="Z14" i="100"/>
  <c r="Y14" i="100"/>
  <c r="Z13" i="100"/>
  <c r="Y13" i="100"/>
  <c r="Z12" i="100"/>
  <c r="Y12" i="100"/>
  <c r="Z11" i="100"/>
  <c r="Y11" i="100"/>
  <c r="Z10" i="100"/>
  <c r="Y10" i="100"/>
  <c r="Z9" i="100"/>
  <c r="Y9" i="100"/>
  <c r="Z8" i="100"/>
  <c r="Y8" i="100"/>
  <c r="Z7" i="100"/>
  <c r="Y7" i="100"/>
  <c r="Z6" i="100"/>
  <c r="Y6" i="100"/>
  <c r="Y39" i="112"/>
  <c r="Y37" i="112"/>
  <c r="Y36" i="112"/>
  <c r="Y35" i="112"/>
  <c r="Y34" i="112"/>
  <c r="Y33" i="112"/>
  <c r="Y32" i="112"/>
  <c r="Y31" i="112"/>
  <c r="Y30" i="112"/>
  <c r="Y29" i="112"/>
  <c r="Y28" i="112"/>
  <c r="Y27" i="112"/>
  <c r="Y26" i="112"/>
  <c r="Y25" i="112"/>
  <c r="Y24" i="112"/>
  <c r="Y23" i="112"/>
  <c r="Y22" i="112"/>
  <c r="Y21" i="112"/>
  <c r="Y20" i="112"/>
  <c r="Y19" i="112"/>
  <c r="Y18" i="112"/>
  <c r="Y17" i="112"/>
  <c r="Y16" i="112"/>
  <c r="Y15" i="112"/>
  <c r="Y14" i="112"/>
  <c r="Y13" i="112"/>
  <c r="Y12" i="112"/>
  <c r="Y11" i="112"/>
  <c r="Y10" i="112"/>
  <c r="Y9" i="112"/>
  <c r="Y8" i="112"/>
  <c r="Y7" i="112"/>
  <c r="P14" i="98" l="1"/>
  <c r="B73" i="112" l="1"/>
  <c r="B72" i="112"/>
  <c r="B71" i="112"/>
  <c r="B57" i="112"/>
  <c r="B56" i="112"/>
  <c r="B55" i="112"/>
  <c r="B53" i="112"/>
  <c r="B52" i="112"/>
  <c r="B51" i="112"/>
  <c r="B50" i="112"/>
  <c r="B49" i="112"/>
  <c r="B48" i="112"/>
  <c r="AA37" i="112"/>
  <c r="Z37" i="112"/>
  <c r="AA36" i="112"/>
  <c r="Z36" i="112"/>
  <c r="AA35" i="112"/>
  <c r="Z35" i="112"/>
  <c r="AA34" i="112"/>
  <c r="Z34" i="112"/>
  <c r="AA33" i="112"/>
  <c r="Z33" i="112"/>
  <c r="AA32" i="112"/>
  <c r="Z32" i="112"/>
  <c r="AA31" i="112"/>
  <c r="Z31" i="112"/>
  <c r="AA30" i="112"/>
  <c r="Z30" i="112"/>
  <c r="AA29" i="112"/>
  <c r="Z29" i="112"/>
  <c r="AA28" i="112"/>
  <c r="Z28" i="112"/>
  <c r="AA27" i="112"/>
  <c r="Z27" i="112"/>
  <c r="AA26" i="112"/>
  <c r="Z26" i="112"/>
  <c r="AA25" i="112"/>
  <c r="Z25" i="112"/>
  <c r="AA24" i="112"/>
  <c r="Z24" i="112"/>
  <c r="AA23" i="112"/>
  <c r="Z23" i="112"/>
  <c r="AA22" i="112"/>
  <c r="Z22" i="112"/>
  <c r="AA21" i="112"/>
  <c r="Z21" i="112"/>
  <c r="AA20" i="112"/>
  <c r="Z20" i="112"/>
  <c r="AA19" i="112"/>
  <c r="Z19" i="112"/>
  <c r="AA18" i="112"/>
  <c r="Z18" i="112"/>
  <c r="AA17" i="112"/>
  <c r="Z17" i="112"/>
  <c r="AA16" i="112"/>
  <c r="Z16" i="112"/>
  <c r="AA15" i="112"/>
  <c r="Z15" i="112"/>
  <c r="AA14" i="112"/>
  <c r="Z14" i="112"/>
  <c r="AA13" i="112"/>
  <c r="Z13" i="112"/>
  <c r="AA12" i="112"/>
  <c r="Z12" i="112"/>
  <c r="AA11" i="112"/>
  <c r="Z11" i="112"/>
  <c r="AA10" i="112"/>
  <c r="Z10" i="112"/>
  <c r="AA9" i="112"/>
  <c r="Z9" i="112"/>
  <c r="AA8" i="112"/>
  <c r="Z8" i="112"/>
  <c r="AA7" i="112"/>
  <c r="Z7" i="112"/>
  <c r="J14" i="98"/>
  <c r="B65" i="112" l="1"/>
  <c r="B66" i="112"/>
  <c r="B64" i="112"/>
  <c r="B63" i="112"/>
  <c r="Z36" i="111"/>
  <c r="Y36" i="111"/>
  <c r="Z35" i="111"/>
  <c r="Y35" i="111"/>
  <c r="Z34" i="111"/>
  <c r="Y34" i="111"/>
  <c r="Z33" i="111"/>
  <c r="Y33" i="111"/>
  <c r="Z32" i="111"/>
  <c r="Y32" i="111"/>
  <c r="Z31" i="111"/>
  <c r="Y31" i="111"/>
  <c r="Z30" i="111"/>
  <c r="Y30" i="111"/>
  <c r="Z29" i="111"/>
  <c r="Y29" i="111"/>
  <c r="Z28" i="111"/>
  <c r="Y28" i="111"/>
  <c r="Z27" i="111"/>
  <c r="Y27" i="111"/>
  <c r="Z26" i="111"/>
  <c r="Y26" i="111"/>
  <c r="Z25" i="111"/>
  <c r="Y25" i="111"/>
  <c r="Z24" i="111"/>
  <c r="Y24" i="111"/>
  <c r="Z23" i="111"/>
  <c r="Y23" i="111"/>
  <c r="Z22" i="111"/>
  <c r="Y22" i="111"/>
  <c r="Z21" i="111"/>
  <c r="Y21" i="111"/>
  <c r="Z20" i="111"/>
  <c r="Y20" i="111"/>
  <c r="Z19" i="111"/>
  <c r="Y19" i="111"/>
  <c r="Z18" i="111"/>
  <c r="Y18" i="111"/>
  <c r="Z17" i="111"/>
  <c r="Y17" i="111"/>
  <c r="Z16" i="111"/>
  <c r="Y16" i="111"/>
  <c r="Z15" i="111"/>
  <c r="Y15" i="111"/>
  <c r="Z14" i="111"/>
  <c r="Y14" i="111"/>
  <c r="Z13" i="111"/>
  <c r="Y13" i="111"/>
  <c r="Z12" i="111"/>
  <c r="Y12" i="111"/>
  <c r="Z11" i="111"/>
  <c r="Y11" i="111"/>
  <c r="Z10" i="111"/>
  <c r="Y10" i="111"/>
  <c r="Z9" i="111"/>
  <c r="Y9" i="111"/>
  <c r="Z8" i="111"/>
  <c r="Y8" i="111"/>
  <c r="Z7" i="111"/>
  <c r="B72" i="111" l="1"/>
  <c r="B71" i="111"/>
  <c r="B70" i="111"/>
  <c r="B56" i="111"/>
  <c r="B55" i="111"/>
  <c r="B54" i="111"/>
  <c r="B52" i="111"/>
  <c r="B51" i="111"/>
  <c r="B50" i="111"/>
  <c r="B49" i="111"/>
  <c r="B48" i="111"/>
  <c r="B47" i="111"/>
  <c r="AA36" i="111"/>
  <c r="AA35" i="111"/>
  <c r="AA34" i="111"/>
  <c r="AA33" i="111"/>
  <c r="AA32" i="111"/>
  <c r="AA31" i="111"/>
  <c r="AA30" i="111"/>
  <c r="AA29" i="111"/>
  <c r="AA28" i="111"/>
  <c r="AA27" i="111"/>
  <c r="AA26" i="111"/>
  <c r="AA25" i="111"/>
  <c r="AA24" i="111"/>
  <c r="AA23" i="111"/>
  <c r="AA22" i="111"/>
  <c r="AA21" i="111"/>
  <c r="AA20" i="111"/>
  <c r="AA19" i="111"/>
  <c r="AA18" i="111"/>
  <c r="AA17" i="111"/>
  <c r="AA16" i="111"/>
  <c r="AA15" i="111"/>
  <c r="AA14" i="111"/>
  <c r="AA13" i="111"/>
  <c r="AA12" i="111"/>
  <c r="AA11" i="111"/>
  <c r="AA10" i="111"/>
  <c r="AA9" i="111"/>
  <c r="AA8" i="111"/>
  <c r="AA7" i="111"/>
  <c r="Y7" i="111"/>
  <c r="AA8" i="110"/>
  <c r="AA7" i="110"/>
  <c r="B64" i="111" l="1"/>
  <c r="B63" i="111"/>
  <c r="B65" i="111"/>
  <c r="B62" i="111"/>
  <c r="O38" i="98"/>
  <c r="O73" i="98" l="1"/>
  <c r="O96" i="98" l="1"/>
  <c r="O95" i="98"/>
  <c r="O94" i="98"/>
  <c r="O93" i="98"/>
  <c r="O92" i="98"/>
  <c r="O91" i="98"/>
  <c r="O90" i="98"/>
  <c r="O89" i="98"/>
  <c r="O88" i="98"/>
  <c r="O87" i="98"/>
  <c r="O86" i="98"/>
  <c r="O85" i="98"/>
  <c r="O84" i="98"/>
  <c r="O83" i="98"/>
  <c r="O82" i="98"/>
  <c r="O81" i="98"/>
  <c r="O80" i="98"/>
  <c r="O79" i="98"/>
  <c r="O78" i="98"/>
  <c r="O77" i="98"/>
  <c r="O76" i="98"/>
  <c r="O75" i="98"/>
  <c r="O74" i="98"/>
  <c r="O72" i="98"/>
  <c r="O71" i="98"/>
  <c r="O70" i="98"/>
  <c r="O69" i="98"/>
  <c r="O68" i="98"/>
  <c r="O67" i="98"/>
  <c r="O66" i="98"/>
  <c r="O65" i="98"/>
  <c r="O64" i="98"/>
  <c r="O63" i="98"/>
  <c r="O62" i="98"/>
  <c r="O61" i="98"/>
  <c r="O60" i="98"/>
  <c r="O59" i="98"/>
  <c r="O58" i="98"/>
  <c r="O57" i="98"/>
  <c r="O56" i="98"/>
  <c r="O55" i="98"/>
  <c r="O54" i="98"/>
  <c r="O53" i="98"/>
  <c r="O52" i="98"/>
  <c r="O51" i="98"/>
  <c r="O50" i="98"/>
  <c r="O49" i="98"/>
  <c r="O48" i="98"/>
  <c r="O47" i="98"/>
  <c r="O46" i="98"/>
  <c r="O45" i="98"/>
  <c r="O44" i="98"/>
  <c r="O43" i="98"/>
  <c r="O42" i="98"/>
  <c r="O41" i="98"/>
  <c r="O40" i="98"/>
  <c r="O39" i="98"/>
  <c r="O37" i="98"/>
  <c r="O36" i="98"/>
  <c r="O35" i="98"/>
  <c r="O34" i="98"/>
  <c r="R20" i="98"/>
  <c r="T39" i="98" l="1"/>
  <c r="T74" i="98"/>
  <c r="T84" i="98"/>
  <c r="T59" i="98"/>
  <c r="T44" i="98"/>
  <c r="T69" i="98"/>
  <c r="T54" i="98"/>
  <c r="T79" i="98"/>
  <c r="T64" i="98"/>
  <c r="T49" i="98"/>
  <c r="T89" i="98"/>
  <c r="AL8" i="101" l="1"/>
  <c r="AL19" i="101"/>
  <c r="AL18" i="101"/>
  <c r="AL17" i="101"/>
  <c r="AL16" i="101"/>
  <c r="AL15" i="101"/>
  <c r="AL14" i="101"/>
  <c r="AL13" i="101"/>
  <c r="AL12" i="101"/>
  <c r="AL11" i="101"/>
  <c r="AL10" i="101"/>
  <c r="AL9" i="101"/>
  <c r="B73" i="110" l="1"/>
  <c r="B72" i="110"/>
  <c r="B71" i="110"/>
  <c r="Y37" i="110"/>
  <c r="Y36" i="110"/>
  <c r="Y35" i="110"/>
  <c r="Y34" i="110"/>
  <c r="Y33" i="110"/>
  <c r="Y32" i="110"/>
  <c r="Y31" i="110"/>
  <c r="Y30" i="110"/>
  <c r="Y29" i="110"/>
  <c r="Y28" i="110"/>
  <c r="Y27" i="110"/>
  <c r="Y26" i="110"/>
  <c r="Y25" i="110"/>
  <c r="Y24" i="110"/>
  <c r="Y23" i="110"/>
  <c r="Y22" i="110"/>
  <c r="Y21" i="110"/>
  <c r="Y20" i="110"/>
  <c r="Y19" i="110"/>
  <c r="Y18" i="110"/>
  <c r="Y17" i="110"/>
  <c r="Y16" i="110"/>
  <c r="Y15" i="110"/>
  <c r="Y14" i="110"/>
  <c r="Y13" i="110"/>
  <c r="Y12" i="110"/>
  <c r="Y11" i="110"/>
  <c r="Y10" i="110"/>
  <c r="Y9" i="110"/>
  <c r="Y8" i="110"/>
  <c r="Y7" i="110"/>
  <c r="B71" i="109" l="1"/>
  <c r="B72" i="109"/>
  <c r="B70" i="109"/>
  <c r="Z36" i="109" l="1"/>
  <c r="Y36" i="109"/>
  <c r="Z35" i="109"/>
  <c r="Y35" i="109"/>
  <c r="Z34" i="109"/>
  <c r="Y34" i="109"/>
  <c r="Z33" i="109"/>
  <c r="Y33" i="109"/>
  <c r="Z32" i="109"/>
  <c r="Y32" i="109"/>
  <c r="Z31" i="109"/>
  <c r="Y31" i="109"/>
  <c r="Z30" i="109"/>
  <c r="Y30" i="109"/>
  <c r="Z29" i="109"/>
  <c r="Y29" i="109"/>
  <c r="Z28" i="109"/>
  <c r="Y28" i="109"/>
  <c r="Z27" i="109"/>
  <c r="Y27" i="109"/>
  <c r="Z26" i="109"/>
  <c r="Y26" i="109"/>
  <c r="Z25" i="109"/>
  <c r="Y25" i="109"/>
  <c r="Z24" i="109"/>
  <c r="Y24" i="109"/>
  <c r="Z23" i="109"/>
  <c r="Y23" i="109"/>
  <c r="Z22" i="109"/>
  <c r="Y22" i="109"/>
  <c r="Z21" i="109"/>
  <c r="Y21" i="109"/>
  <c r="Z20" i="109"/>
  <c r="Y20" i="109"/>
  <c r="Z19" i="109"/>
  <c r="Y19" i="109"/>
  <c r="Z18" i="109"/>
  <c r="Y18" i="109"/>
  <c r="Z17" i="109"/>
  <c r="Y17" i="109"/>
  <c r="Z16" i="109"/>
  <c r="Y16" i="109"/>
  <c r="Z15" i="109"/>
  <c r="Y15" i="109"/>
  <c r="Z14" i="109"/>
  <c r="Y14" i="109"/>
  <c r="Z13" i="109"/>
  <c r="Y13" i="109"/>
  <c r="Z12" i="109"/>
  <c r="Y12" i="109"/>
  <c r="Z11" i="109"/>
  <c r="Y11" i="109"/>
  <c r="Z10" i="109"/>
  <c r="Y10" i="109"/>
  <c r="Z9" i="109"/>
  <c r="Y9" i="109"/>
  <c r="Z8" i="109"/>
  <c r="Y8" i="109"/>
  <c r="Z7" i="109"/>
  <c r="Y7" i="109"/>
  <c r="A1" i="108" l="1"/>
  <c r="B48" i="108" l="1"/>
  <c r="Y8" i="108"/>
  <c r="Y9" i="108"/>
  <c r="Y10" i="108"/>
  <c r="Y11" i="108"/>
  <c r="Y12" i="108"/>
  <c r="Y13" i="108"/>
  <c r="Y14" i="108"/>
  <c r="Y15" i="108"/>
  <c r="Y16" i="108"/>
  <c r="Y17" i="108"/>
  <c r="Y18" i="108"/>
  <c r="Y19" i="108"/>
  <c r="Y20" i="108"/>
  <c r="Y21" i="108"/>
  <c r="Y22" i="108"/>
  <c r="Y23" i="108"/>
  <c r="Y24" i="108"/>
  <c r="Y25" i="108"/>
  <c r="Y26" i="108"/>
  <c r="Y27" i="108"/>
  <c r="Y28" i="108"/>
  <c r="Y29" i="108"/>
  <c r="Y30" i="108"/>
  <c r="Y31" i="108"/>
  <c r="Y32" i="108"/>
  <c r="Y33" i="108"/>
  <c r="Y34" i="108"/>
  <c r="Y35" i="108"/>
  <c r="Y36" i="108"/>
  <c r="Y37" i="108"/>
  <c r="Y39" i="108"/>
  <c r="Y7" i="108"/>
  <c r="B72" i="107"/>
  <c r="Y38" i="108" l="1"/>
  <c r="AA37" i="107" l="1"/>
  <c r="Z37" i="107"/>
  <c r="Y37" i="107"/>
  <c r="AA36" i="107"/>
  <c r="Z36" i="107"/>
  <c r="Y36" i="107"/>
  <c r="AA35" i="107"/>
  <c r="Z35" i="107"/>
  <c r="Y35" i="107"/>
  <c r="AA34" i="107"/>
  <c r="Z34" i="107"/>
  <c r="Y34" i="107"/>
  <c r="AA33" i="107"/>
  <c r="Z33" i="107"/>
  <c r="Y33" i="107"/>
  <c r="AA32" i="107"/>
  <c r="Z32" i="107"/>
  <c r="Y32" i="107"/>
  <c r="AA31" i="107"/>
  <c r="Z31" i="107"/>
  <c r="Y31" i="107"/>
  <c r="AA30" i="107"/>
  <c r="Z30" i="107"/>
  <c r="Y30" i="107"/>
  <c r="AA29" i="107"/>
  <c r="Z29" i="107"/>
  <c r="Y29" i="107"/>
  <c r="AA28" i="107"/>
  <c r="Z28" i="107"/>
  <c r="Y28" i="107"/>
  <c r="AA27" i="107"/>
  <c r="Z27" i="107"/>
  <c r="Y27" i="107"/>
  <c r="AA26" i="107"/>
  <c r="Z26" i="107"/>
  <c r="Y26" i="107"/>
  <c r="AA25" i="107"/>
  <c r="Z25" i="107"/>
  <c r="Y25" i="107"/>
  <c r="AA24" i="107"/>
  <c r="Z24" i="107"/>
  <c r="Y24" i="107"/>
  <c r="AA23" i="107"/>
  <c r="Z23" i="107"/>
  <c r="Y23" i="107"/>
  <c r="AA22" i="107"/>
  <c r="Z22" i="107"/>
  <c r="Y22" i="107"/>
  <c r="AA21" i="107"/>
  <c r="Z21" i="107"/>
  <c r="Y21" i="107"/>
  <c r="AA20" i="107"/>
  <c r="Z20" i="107"/>
  <c r="Y20" i="107"/>
  <c r="AA19" i="107"/>
  <c r="Z19" i="107"/>
  <c r="Y19" i="107"/>
  <c r="AA18" i="107"/>
  <c r="Z18" i="107"/>
  <c r="Y18" i="107"/>
  <c r="AA17" i="107"/>
  <c r="Z17" i="107"/>
  <c r="Y17" i="107"/>
  <c r="AA16" i="107"/>
  <c r="Z16" i="107"/>
  <c r="Y16" i="107"/>
  <c r="AA15" i="107"/>
  <c r="Z15" i="107"/>
  <c r="Y15" i="107"/>
  <c r="AA14" i="107"/>
  <c r="Z14" i="107"/>
  <c r="Y14" i="107"/>
  <c r="AA13" i="107"/>
  <c r="Z13" i="107"/>
  <c r="Y13" i="107"/>
  <c r="AA12" i="107"/>
  <c r="Z12" i="107"/>
  <c r="Y12" i="107"/>
  <c r="AA11" i="107"/>
  <c r="Z11" i="107"/>
  <c r="Y11" i="107"/>
  <c r="AA10" i="107"/>
  <c r="Z10" i="107"/>
  <c r="Y10" i="107"/>
  <c r="AA9" i="107"/>
  <c r="Z9" i="107"/>
  <c r="Y9" i="107"/>
  <c r="AA8" i="107"/>
  <c r="Z8" i="107"/>
  <c r="Y8" i="107"/>
  <c r="AA7" i="107"/>
  <c r="Z7" i="107"/>
  <c r="Y7" i="107"/>
  <c r="F9" i="98" l="1"/>
  <c r="F13" i="98"/>
  <c r="F17" i="98" l="1"/>
  <c r="B73" i="107" l="1"/>
  <c r="B71" i="107"/>
  <c r="B49" i="107"/>
  <c r="B48" i="107"/>
  <c r="D44" i="107"/>
  <c r="B49" i="108"/>
  <c r="B55" i="108"/>
  <c r="B53" i="108"/>
  <c r="B73" i="108"/>
  <c r="B72" i="108"/>
  <c r="B71" i="108"/>
  <c r="B50" i="108"/>
  <c r="B51" i="108"/>
  <c r="D44" i="108"/>
  <c r="B48" i="109"/>
  <c r="B47" i="109"/>
  <c r="D43" i="109"/>
  <c r="D44" i="110"/>
  <c r="B49" i="110"/>
  <c r="B48" i="110"/>
  <c r="D43" i="111"/>
  <c r="D44" i="112"/>
  <c r="B65" i="108" l="1"/>
  <c r="B63" i="108"/>
  <c r="B66" i="108"/>
  <c r="I20" i="98"/>
  <c r="I14" i="98"/>
  <c r="H14" i="98"/>
  <c r="T42" i="98"/>
  <c r="F26" i="98" l="1"/>
  <c r="F30" i="98" l="1"/>
  <c r="T47" i="98"/>
  <c r="O33" i="98" l="1"/>
  <c r="D43" i="100"/>
  <c r="AJ16" i="101" l="1"/>
  <c r="AE35" i="112" l="1"/>
  <c r="AE36" i="112"/>
  <c r="AE37" i="112"/>
  <c r="AE35" i="111"/>
  <c r="AE36" i="111"/>
  <c r="B50" i="110"/>
  <c r="Z35" i="110"/>
  <c r="AA35" i="110"/>
  <c r="AE35" i="110"/>
  <c r="Z36" i="110"/>
  <c r="AA36" i="110"/>
  <c r="AE36" i="110"/>
  <c r="Z37" i="110"/>
  <c r="AA37" i="110"/>
  <c r="AE37" i="110"/>
  <c r="AA8" i="109"/>
  <c r="AE8" i="109"/>
  <c r="AA9" i="109"/>
  <c r="AE9" i="109"/>
  <c r="AA10" i="109"/>
  <c r="AE10" i="109"/>
  <c r="AA11" i="109"/>
  <c r="AE11" i="109"/>
  <c r="AA12" i="109"/>
  <c r="AE12" i="109"/>
  <c r="AA13" i="109"/>
  <c r="AE13" i="109"/>
  <c r="AA14" i="109"/>
  <c r="AE14" i="109"/>
  <c r="AA15" i="109"/>
  <c r="AE15" i="109"/>
  <c r="AA16" i="109"/>
  <c r="AE16" i="109"/>
  <c r="AA17" i="109"/>
  <c r="AE17" i="109"/>
  <c r="AA18" i="109"/>
  <c r="AE18" i="109"/>
  <c r="AA19" i="109"/>
  <c r="AE19" i="109"/>
  <c r="AA20" i="109"/>
  <c r="AE20" i="109"/>
  <c r="AA21" i="109"/>
  <c r="AE21" i="109"/>
  <c r="AA22" i="109"/>
  <c r="AE22" i="109"/>
  <c r="AA23" i="109"/>
  <c r="AE23" i="109"/>
  <c r="AA24" i="109"/>
  <c r="AE24" i="109"/>
  <c r="AA25" i="109"/>
  <c r="AE25" i="109"/>
  <c r="AA26" i="109"/>
  <c r="AE26" i="109"/>
  <c r="AA27" i="109"/>
  <c r="AE27" i="109"/>
  <c r="AA28" i="109"/>
  <c r="AE28" i="109"/>
  <c r="AA29" i="109"/>
  <c r="AE29" i="109"/>
  <c r="AA30" i="109"/>
  <c r="AE30" i="109"/>
  <c r="AA31" i="109"/>
  <c r="AE31" i="109"/>
  <c r="AA32" i="109"/>
  <c r="AE32" i="109"/>
  <c r="AA33" i="109"/>
  <c r="AE33" i="109"/>
  <c r="AA34" i="109"/>
  <c r="AE34" i="109"/>
  <c r="AA35" i="109"/>
  <c r="AE35" i="109"/>
  <c r="AA36" i="109"/>
  <c r="AE36" i="109"/>
  <c r="B49" i="109"/>
  <c r="Z35" i="108"/>
  <c r="AA35" i="108"/>
  <c r="AE35" i="108"/>
  <c r="Z36" i="108"/>
  <c r="AA36" i="108"/>
  <c r="AE36" i="108"/>
  <c r="Z37" i="108"/>
  <c r="AA37" i="108"/>
  <c r="AE37" i="108"/>
  <c r="AE35" i="107"/>
  <c r="AE36" i="107"/>
  <c r="AE37" i="107"/>
  <c r="B50" i="107"/>
  <c r="F67" i="101"/>
  <c r="B50" i="100"/>
  <c r="C44" i="112" l="1"/>
  <c r="AE39" i="112"/>
  <c r="Z39" i="112"/>
  <c r="AD38" i="112"/>
  <c r="AC38" i="112"/>
  <c r="AB38" i="112"/>
  <c r="X38" i="112"/>
  <c r="W38" i="112"/>
  <c r="V38" i="112"/>
  <c r="U38" i="112"/>
  <c r="T38" i="112"/>
  <c r="S38" i="112"/>
  <c r="R38" i="112"/>
  <c r="Q38" i="112"/>
  <c r="P38" i="112"/>
  <c r="O38" i="112"/>
  <c r="N38" i="112"/>
  <c r="M38" i="112"/>
  <c r="L38" i="112"/>
  <c r="K38" i="112"/>
  <c r="J38" i="112"/>
  <c r="I38" i="112"/>
  <c r="C52" i="112" s="1"/>
  <c r="H38" i="112"/>
  <c r="G38" i="112"/>
  <c r="F38" i="112"/>
  <c r="E38" i="112"/>
  <c r="D38" i="112"/>
  <c r="C38" i="112"/>
  <c r="B38" i="112"/>
  <c r="AE34" i="112"/>
  <c r="AE33" i="112"/>
  <c r="AE32" i="112"/>
  <c r="AE31" i="112"/>
  <c r="AE30" i="112"/>
  <c r="AE29" i="112"/>
  <c r="AE28" i="112"/>
  <c r="AE27" i="112"/>
  <c r="AE26" i="112"/>
  <c r="AE25" i="112"/>
  <c r="AE24" i="112"/>
  <c r="AE23" i="112"/>
  <c r="AE22" i="112"/>
  <c r="AE21" i="112"/>
  <c r="AE20" i="112"/>
  <c r="AE19" i="112"/>
  <c r="AE18" i="112"/>
  <c r="AE17" i="112"/>
  <c r="AE16" i="112"/>
  <c r="AE15" i="112"/>
  <c r="AE14" i="112"/>
  <c r="AE13" i="112"/>
  <c r="AE12" i="112"/>
  <c r="AE11" i="112"/>
  <c r="AE10" i="112"/>
  <c r="AE9" i="112"/>
  <c r="AE8" i="112"/>
  <c r="A8" i="112"/>
  <c r="A9" i="112" s="1"/>
  <c r="A10" i="112" s="1"/>
  <c r="A11" i="112" s="1"/>
  <c r="A12" i="112" s="1"/>
  <c r="A13" i="112" s="1"/>
  <c r="A14" i="112" s="1"/>
  <c r="A15" i="112" s="1"/>
  <c r="A16" i="112" s="1"/>
  <c r="A17" i="112" s="1"/>
  <c r="A18" i="112" s="1"/>
  <c r="A19" i="112" s="1"/>
  <c r="A20" i="112" s="1"/>
  <c r="A21" i="112" s="1"/>
  <c r="A22" i="112" s="1"/>
  <c r="A23" i="112" s="1"/>
  <c r="A24" i="112" s="1"/>
  <c r="A25" i="112" s="1"/>
  <c r="A26" i="112" s="1"/>
  <c r="A27" i="112" s="1"/>
  <c r="A28" i="112" s="1"/>
  <c r="A29" i="112" s="1"/>
  <c r="A30" i="112" s="1"/>
  <c r="A31" i="112" s="1"/>
  <c r="A32" i="112" s="1"/>
  <c r="A33" i="112" s="1"/>
  <c r="A34" i="112" s="1"/>
  <c r="A35" i="112" s="1"/>
  <c r="A36" i="112" s="1"/>
  <c r="A37" i="112" s="1"/>
  <c r="AE7" i="112"/>
  <c r="Y38" i="112"/>
  <c r="A1" i="112"/>
  <c r="C43" i="111"/>
  <c r="AE38" i="111"/>
  <c r="Z38" i="111"/>
  <c r="Y38" i="111"/>
  <c r="AD37" i="111"/>
  <c r="C72" i="111" s="1"/>
  <c r="AC37" i="111"/>
  <c r="AB37" i="111"/>
  <c r="C70" i="111" s="1"/>
  <c r="X37" i="111"/>
  <c r="W37" i="111"/>
  <c r="V37" i="111"/>
  <c r="U37" i="111"/>
  <c r="T37" i="111"/>
  <c r="S37" i="111"/>
  <c r="R37" i="111"/>
  <c r="Q37" i="111"/>
  <c r="P37" i="111"/>
  <c r="O37" i="111"/>
  <c r="N37" i="111"/>
  <c r="M37" i="111"/>
  <c r="L37" i="111"/>
  <c r="K37" i="111"/>
  <c r="J37" i="111"/>
  <c r="I37" i="111"/>
  <c r="C51" i="111" s="1"/>
  <c r="H37" i="111"/>
  <c r="C50" i="111" s="1"/>
  <c r="G37" i="111"/>
  <c r="F37" i="111"/>
  <c r="E37" i="111"/>
  <c r="D37" i="111"/>
  <c r="C37" i="111"/>
  <c r="C48" i="111" s="1"/>
  <c r="B37" i="111"/>
  <c r="AE34" i="111"/>
  <c r="AE33" i="111"/>
  <c r="AE32" i="111"/>
  <c r="AE31" i="111"/>
  <c r="AE30" i="111"/>
  <c r="AE29" i="111"/>
  <c r="AE28" i="111"/>
  <c r="AE27" i="111"/>
  <c r="AE26" i="111"/>
  <c r="AE25" i="111"/>
  <c r="AE24" i="111"/>
  <c r="AE23" i="111"/>
  <c r="AE22" i="111"/>
  <c r="AE21" i="111"/>
  <c r="AE20" i="111"/>
  <c r="AE19" i="111"/>
  <c r="AE18" i="111"/>
  <c r="AE17" i="111"/>
  <c r="AE16" i="111"/>
  <c r="AE15" i="111"/>
  <c r="AE14" i="111"/>
  <c r="AE13" i="111"/>
  <c r="AE12" i="111"/>
  <c r="AE11" i="111"/>
  <c r="AE10" i="111"/>
  <c r="AE9" i="111"/>
  <c r="AE8" i="111"/>
  <c r="A8" i="111"/>
  <c r="A9" i="111" s="1"/>
  <c r="A10" i="111" s="1"/>
  <c r="A11" i="111" s="1"/>
  <c r="A12" i="111" s="1"/>
  <c r="A13" i="111" s="1"/>
  <c r="A14" i="111" s="1"/>
  <c r="A15" i="111" s="1"/>
  <c r="A16" i="111" s="1"/>
  <c r="A17" i="111" s="1"/>
  <c r="A18" i="111" s="1"/>
  <c r="A19" i="111" s="1"/>
  <c r="A20" i="111" s="1"/>
  <c r="A21" i="111" s="1"/>
  <c r="A22" i="111" s="1"/>
  <c r="A23" i="111" s="1"/>
  <c r="A24" i="111" s="1"/>
  <c r="A25" i="111" s="1"/>
  <c r="A26" i="111" s="1"/>
  <c r="A27" i="111" s="1"/>
  <c r="A28" i="111" s="1"/>
  <c r="A29" i="111" s="1"/>
  <c r="A30" i="111" s="1"/>
  <c r="A31" i="111" s="1"/>
  <c r="A32" i="111" s="1"/>
  <c r="A33" i="111" s="1"/>
  <c r="A34" i="111" s="1"/>
  <c r="A35" i="111" s="1"/>
  <c r="A36" i="111" s="1"/>
  <c r="AE7" i="111"/>
  <c r="AA37" i="111"/>
  <c r="A1" i="111"/>
  <c r="B57" i="110"/>
  <c r="B56" i="110"/>
  <c r="B55" i="110"/>
  <c r="B53" i="110"/>
  <c r="B52" i="110"/>
  <c r="B51" i="110"/>
  <c r="C44" i="110"/>
  <c r="AE39" i="110"/>
  <c r="Z39" i="110"/>
  <c r="Y39" i="110"/>
  <c r="AD38" i="110"/>
  <c r="AC38" i="110"/>
  <c r="AB38" i="110"/>
  <c r="X38" i="110"/>
  <c r="W38" i="110"/>
  <c r="V38" i="110"/>
  <c r="U38" i="110"/>
  <c r="T38" i="110"/>
  <c r="S38" i="110"/>
  <c r="R38" i="110"/>
  <c r="Q38" i="110"/>
  <c r="P38" i="110"/>
  <c r="O38" i="110"/>
  <c r="N38" i="110"/>
  <c r="M38" i="110"/>
  <c r="L38" i="110"/>
  <c r="K38" i="110"/>
  <c r="J38" i="110"/>
  <c r="I38" i="110"/>
  <c r="H38" i="110"/>
  <c r="G38" i="110"/>
  <c r="F38" i="110"/>
  <c r="E38" i="110"/>
  <c r="D38" i="110"/>
  <c r="C38" i="110"/>
  <c r="C49" i="110" s="1"/>
  <c r="B38" i="110"/>
  <c r="AE34" i="110"/>
  <c r="AA34" i="110"/>
  <c r="Z34" i="110"/>
  <c r="AE33" i="110"/>
  <c r="AA33" i="110"/>
  <c r="Z33" i="110"/>
  <c r="AE32" i="110"/>
  <c r="AA32" i="110"/>
  <c r="Z32" i="110"/>
  <c r="AE31" i="110"/>
  <c r="AA31" i="110"/>
  <c r="Z31" i="110"/>
  <c r="AE30" i="110"/>
  <c r="AA30" i="110"/>
  <c r="Z30" i="110"/>
  <c r="AE29" i="110"/>
  <c r="AA29" i="110"/>
  <c r="Z29" i="110"/>
  <c r="AE28" i="110"/>
  <c r="AA28" i="110"/>
  <c r="Z28" i="110"/>
  <c r="AE27" i="110"/>
  <c r="AA27" i="110"/>
  <c r="Z27" i="110"/>
  <c r="AE26" i="110"/>
  <c r="AA26" i="110"/>
  <c r="Z26" i="110"/>
  <c r="AE25" i="110"/>
  <c r="AA25" i="110"/>
  <c r="Z25" i="110"/>
  <c r="AE24" i="110"/>
  <c r="AA24" i="110"/>
  <c r="Z24" i="110"/>
  <c r="AE23" i="110"/>
  <c r="AA23" i="110"/>
  <c r="Z23" i="110"/>
  <c r="AE22" i="110"/>
  <c r="AA22" i="110"/>
  <c r="Z22" i="110"/>
  <c r="AE21" i="110"/>
  <c r="AA21" i="110"/>
  <c r="Z21" i="110"/>
  <c r="AE20" i="110"/>
  <c r="AA20" i="110"/>
  <c r="Z20" i="110"/>
  <c r="AE19" i="110"/>
  <c r="AA19" i="110"/>
  <c r="Z19" i="110"/>
  <c r="AE18" i="110"/>
  <c r="AA18" i="110"/>
  <c r="Z18" i="110"/>
  <c r="AE17" i="110"/>
  <c r="AA17" i="110"/>
  <c r="Z17" i="110"/>
  <c r="AE16" i="110"/>
  <c r="AA16" i="110"/>
  <c r="Z16" i="110"/>
  <c r="AE15" i="110"/>
  <c r="AA15" i="110"/>
  <c r="Z15" i="110"/>
  <c r="AE14" i="110"/>
  <c r="AA14" i="110"/>
  <c r="Z14" i="110"/>
  <c r="AE13" i="110"/>
  <c r="AA13" i="110"/>
  <c r="Z13" i="110"/>
  <c r="AE12" i="110"/>
  <c r="AA12" i="110"/>
  <c r="Z12" i="110"/>
  <c r="AE11" i="110"/>
  <c r="AA11" i="110"/>
  <c r="Z11" i="110"/>
  <c r="AE10" i="110"/>
  <c r="AA10" i="110"/>
  <c r="Z10" i="110"/>
  <c r="AE9" i="110"/>
  <c r="AA9" i="110"/>
  <c r="Z9" i="110"/>
  <c r="AE8" i="110"/>
  <c r="Z8" i="110"/>
  <c r="A8" i="110"/>
  <c r="A9" i="110" s="1"/>
  <c r="A10" i="110" s="1"/>
  <c r="A11" i="110" s="1"/>
  <c r="A12" i="110" s="1"/>
  <c r="A13" i="110" s="1"/>
  <c r="A14" i="110" s="1"/>
  <c r="A15" i="110" s="1"/>
  <c r="A16" i="110" s="1"/>
  <c r="A17" i="110" s="1"/>
  <c r="A18" i="110" s="1"/>
  <c r="A19" i="110" s="1"/>
  <c r="A20" i="110" s="1"/>
  <c r="A21" i="110" s="1"/>
  <c r="A22" i="110" s="1"/>
  <c r="A23" i="110" s="1"/>
  <c r="A24" i="110" s="1"/>
  <c r="A25" i="110" s="1"/>
  <c r="A26" i="110" s="1"/>
  <c r="A27" i="110" s="1"/>
  <c r="A28" i="110" s="1"/>
  <c r="A29" i="110" s="1"/>
  <c r="A30" i="110" s="1"/>
  <c r="A31" i="110" s="1"/>
  <c r="A32" i="110" s="1"/>
  <c r="A33" i="110" s="1"/>
  <c r="A34" i="110" s="1"/>
  <c r="A35" i="110" s="1"/>
  <c r="A36" i="110" s="1"/>
  <c r="A37" i="110" s="1"/>
  <c r="AE7" i="110"/>
  <c r="Z7" i="110"/>
  <c r="Y38" i="110"/>
  <c r="A1" i="110"/>
  <c r="B56" i="109"/>
  <c r="B55" i="109"/>
  <c r="B54" i="109"/>
  <c r="B52" i="109"/>
  <c r="B51" i="109"/>
  <c r="B50" i="109"/>
  <c r="C43" i="109"/>
  <c r="AE38" i="109"/>
  <c r="Z38" i="109"/>
  <c r="Y38" i="109"/>
  <c r="AD37" i="109"/>
  <c r="AC37" i="109"/>
  <c r="X50" i="101" s="1"/>
  <c r="AB37" i="109"/>
  <c r="X37" i="109"/>
  <c r="X39" i="109" s="1"/>
  <c r="W37" i="109"/>
  <c r="W39" i="109" s="1"/>
  <c r="V37" i="109"/>
  <c r="V39" i="109" s="1"/>
  <c r="U37" i="109"/>
  <c r="T37" i="109"/>
  <c r="S37" i="109"/>
  <c r="R37" i="109"/>
  <c r="Q37" i="109"/>
  <c r="P37" i="109"/>
  <c r="O37" i="109"/>
  <c r="N37" i="109"/>
  <c r="M37" i="109"/>
  <c r="L37" i="109"/>
  <c r="K37" i="109"/>
  <c r="J37" i="109"/>
  <c r="I37" i="109"/>
  <c r="H37" i="109"/>
  <c r="G37" i="109"/>
  <c r="F37" i="109"/>
  <c r="E37" i="109"/>
  <c r="D37" i="109"/>
  <c r="C37" i="109"/>
  <c r="B37" i="109"/>
  <c r="A8" i="109"/>
  <c r="A9" i="109" s="1"/>
  <c r="A10" i="109" s="1"/>
  <c r="A11" i="109" s="1"/>
  <c r="A12" i="109" s="1"/>
  <c r="A13" i="109" s="1"/>
  <c r="A14" i="109" s="1"/>
  <c r="A15" i="109" s="1"/>
  <c r="A16" i="109" s="1"/>
  <c r="A17" i="109" s="1"/>
  <c r="A18" i="109" s="1"/>
  <c r="A19" i="109" s="1"/>
  <c r="A20" i="109" s="1"/>
  <c r="A21" i="109" s="1"/>
  <c r="A22" i="109" s="1"/>
  <c r="A23" i="109" s="1"/>
  <c r="A24" i="109" s="1"/>
  <c r="A25" i="109" s="1"/>
  <c r="A26" i="109" s="1"/>
  <c r="A27" i="109" s="1"/>
  <c r="A28" i="109" s="1"/>
  <c r="A29" i="109" s="1"/>
  <c r="A30" i="109" s="1"/>
  <c r="A31" i="109" s="1"/>
  <c r="A32" i="109" s="1"/>
  <c r="A33" i="109" s="1"/>
  <c r="A34" i="109" s="1"/>
  <c r="A35" i="109" s="1"/>
  <c r="A36" i="109" s="1"/>
  <c r="AE7" i="109"/>
  <c r="AE37" i="109" s="1"/>
  <c r="AA7" i="109"/>
  <c r="AA37" i="109" s="1"/>
  <c r="Z37" i="109"/>
  <c r="A1" i="109"/>
  <c r="B57" i="108"/>
  <c r="B56" i="108"/>
  <c r="B52" i="108"/>
  <c r="C44" i="108"/>
  <c r="AE39" i="108"/>
  <c r="Z39" i="108"/>
  <c r="AD38" i="108"/>
  <c r="AC38" i="108"/>
  <c r="AB38" i="108"/>
  <c r="X38" i="108"/>
  <c r="AJ15" i="101" s="1"/>
  <c r="W38" i="108"/>
  <c r="V38" i="108"/>
  <c r="V40" i="108" s="1"/>
  <c r="U38" i="108"/>
  <c r="T38" i="108"/>
  <c r="S38" i="108"/>
  <c r="R38" i="108"/>
  <c r="Q38" i="108"/>
  <c r="P38" i="108"/>
  <c r="O38" i="108"/>
  <c r="N38" i="108"/>
  <c r="M38" i="108"/>
  <c r="L38" i="108"/>
  <c r="K38" i="108"/>
  <c r="J38" i="108"/>
  <c r="I38" i="108"/>
  <c r="H38" i="108"/>
  <c r="G38" i="108"/>
  <c r="F38" i="108"/>
  <c r="E38" i="108"/>
  <c r="D38" i="108"/>
  <c r="C38" i="108"/>
  <c r="B38" i="108"/>
  <c r="AE34" i="108"/>
  <c r="AA34" i="108"/>
  <c r="Z34" i="108"/>
  <c r="AE33" i="108"/>
  <c r="AA33" i="108"/>
  <c r="Z33" i="108"/>
  <c r="AE32" i="108"/>
  <c r="AA32" i="108"/>
  <c r="Z32" i="108"/>
  <c r="AE31" i="108"/>
  <c r="AA31" i="108"/>
  <c r="Z31" i="108"/>
  <c r="AE30" i="108"/>
  <c r="AA30" i="108"/>
  <c r="Z30" i="108"/>
  <c r="AE29" i="108"/>
  <c r="AA29" i="108"/>
  <c r="Z29" i="108"/>
  <c r="AE28" i="108"/>
  <c r="AA28" i="108"/>
  <c r="Z28" i="108"/>
  <c r="AE27" i="108"/>
  <c r="AA27" i="108"/>
  <c r="Z27" i="108"/>
  <c r="AE26" i="108"/>
  <c r="AA26" i="108"/>
  <c r="Z26" i="108"/>
  <c r="AE25" i="108"/>
  <c r="AA25" i="108"/>
  <c r="Z25" i="108"/>
  <c r="AE24" i="108"/>
  <c r="AA24" i="108"/>
  <c r="Z24" i="108"/>
  <c r="AE23" i="108"/>
  <c r="AA23" i="108"/>
  <c r="Z23" i="108"/>
  <c r="AE22" i="108"/>
  <c r="AA22" i="108"/>
  <c r="Z22" i="108"/>
  <c r="AE21" i="108"/>
  <c r="AA21" i="108"/>
  <c r="Z21" i="108"/>
  <c r="AE20" i="108"/>
  <c r="AA20" i="108"/>
  <c r="Z20" i="108"/>
  <c r="AE19" i="108"/>
  <c r="AA19" i="108"/>
  <c r="Z19" i="108"/>
  <c r="AE18" i="108"/>
  <c r="AA18" i="108"/>
  <c r="Z18" i="108"/>
  <c r="AE17" i="108"/>
  <c r="AA17" i="108"/>
  <c r="Z17" i="108"/>
  <c r="AE16" i="108"/>
  <c r="AA16" i="108"/>
  <c r="Z16" i="108"/>
  <c r="AE15" i="108"/>
  <c r="AA15" i="108"/>
  <c r="Z15" i="108"/>
  <c r="AE14" i="108"/>
  <c r="AA14" i="108"/>
  <c r="Z14" i="108"/>
  <c r="AE13" i="108"/>
  <c r="AA13" i="108"/>
  <c r="Z13" i="108"/>
  <c r="AE12" i="108"/>
  <c r="AA12" i="108"/>
  <c r="Z12" i="108"/>
  <c r="AE11" i="108"/>
  <c r="AA11" i="108"/>
  <c r="Z11" i="108"/>
  <c r="AE10" i="108"/>
  <c r="AA10" i="108"/>
  <c r="Z10" i="108"/>
  <c r="AE9" i="108"/>
  <c r="AA9" i="108"/>
  <c r="Z9" i="108"/>
  <c r="AE8" i="108"/>
  <c r="AA8" i="108"/>
  <c r="Z8" i="108"/>
  <c r="A8" i="108"/>
  <c r="A9" i="108" s="1"/>
  <c r="A10" i="108" s="1"/>
  <c r="A11" i="108" s="1"/>
  <c r="A12" i="108" s="1"/>
  <c r="A13" i="108" s="1"/>
  <c r="A14" i="108" s="1"/>
  <c r="A15" i="108" s="1"/>
  <c r="A16" i="108" s="1"/>
  <c r="A17" i="108" s="1"/>
  <c r="A18" i="108" s="1"/>
  <c r="A19" i="108" s="1"/>
  <c r="A20" i="108" s="1"/>
  <c r="A21" i="108" s="1"/>
  <c r="A22" i="108" s="1"/>
  <c r="A23" i="108" s="1"/>
  <c r="A24" i="108" s="1"/>
  <c r="A25" i="108" s="1"/>
  <c r="A26" i="108" s="1"/>
  <c r="A27" i="108" s="1"/>
  <c r="A28" i="108" s="1"/>
  <c r="A29" i="108" s="1"/>
  <c r="A30" i="108" s="1"/>
  <c r="A31" i="108" s="1"/>
  <c r="A32" i="108" s="1"/>
  <c r="A33" i="108" s="1"/>
  <c r="A34" i="108" s="1"/>
  <c r="A35" i="108" s="1"/>
  <c r="A36" i="108" s="1"/>
  <c r="A37" i="108" s="1"/>
  <c r="AE7" i="108"/>
  <c r="AA7" i="108"/>
  <c r="Z7" i="108"/>
  <c r="B57" i="107"/>
  <c r="B56" i="107"/>
  <c r="B55" i="107"/>
  <c r="B65" i="107" s="1"/>
  <c r="B53" i="107"/>
  <c r="B66" i="107" s="1"/>
  <c r="B52" i="107"/>
  <c r="B51" i="107"/>
  <c r="B63" i="107" s="1"/>
  <c r="C44" i="107"/>
  <c r="AE39" i="107"/>
  <c r="Z39" i="107"/>
  <c r="Y39" i="107"/>
  <c r="AD38" i="107"/>
  <c r="AC38" i="107"/>
  <c r="AB38" i="107"/>
  <c r="X38" i="107"/>
  <c r="W38" i="107"/>
  <c r="W40" i="107" s="1"/>
  <c r="V38" i="107"/>
  <c r="V40" i="107" s="1"/>
  <c r="U38" i="107"/>
  <c r="T38" i="107"/>
  <c r="S38" i="107"/>
  <c r="R38" i="107"/>
  <c r="Q38" i="107"/>
  <c r="P38" i="107"/>
  <c r="O38" i="107"/>
  <c r="N38" i="107"/>
  <c r="M38" i="107"/>
  <c r="L38" i="107"/>
  <c r="K38" i="107"/>
  <c r="J38" i="107"/>
  <c r="C14" i="101" s="1"/>
  <c r="I38" i="107"/>
  <c r="H38" i="107"/>
  <c r="G38" i="107"/>
  <c r="F38" i="107"/>
  <c r="E38" i="107"/>
  <c r="D38" i="107"/>
  <c r="C38" i="107"/>
  <c r="B38" i="107"/>
  <c r="O14" i="101" s="1"/>
  <c r="AE34" i="107"/>
  <c r="AE33" i="107"/>
  <c r="AE32" i="107"/>
  <c r="AE31" i="107"/>
  <c r="AE30" i="107"/>
  <c r="AE29" i="107"/>
  <c r="AE28" i="107"/>
  <c r="AE27" i="107"/>
  <c r="AE26" i="107"/>
  <c r="AE25" i="107"/>
  <c r="AE24" i="107"/>
  <c r="AE23" i="107"/>
  <c r="AE22" i="107"/>
  <c r="AE21" i="107"/>
  <c r="AE20" i="107"/>
  <c r="AE19" i="107"/>
  <c r="AE18" i="107"/>
  <c r="AE17" i="107"/>
  <c r="AE16" i="107"/>
  <c r="AE15" i="107"/>
  <c r="AE14" i="107"/>
  <c r="AE13" i="107"/>
  <c r="AE12" i="107"/>
  <c r="AE11" i="107"/>
  <c r="AE10" i="107"/>
  <c r="AE9" i="107"/>
  <c r="AE8" i="107"/>
  <c r="A8" i="107"/>
  <c r="A9" i="107" s="1"/>
  <c r="A10" i="107" s="1"/>
  <c r="A11" i="107" s="1"/>
  <c r="A12" i="107" s="1"/>
  <c r="A13" i="107" s="1"/>
  <c r="A14" i="107" s="1"/>
  <c r="A15" i="107" s="1"/>
  <c r="A16" i="107" s="1"/>
  <c r="A17" i="107" s="1"/>
  <c r="A18" i="107" s="1"/>
  <c r="A19" i="107" s="1"/>
  <c r="A20" i="107" s="1"/>
  <c r="A21" i="107" s="1"/>
  <c r="A22" i="107" s="1"/>
  <c r="A23" i="107" s="1"/>
  <c r="A24" i="107" s="1"/>
  <c r="A25" i="107" s="1"/>
  <c r="A26" i="107" s="1"/>
  <c r="A27" i="107" s="1"/>
  <c r="A28" i="107" s="1"/>
  <c r="A29" i="107" s="1"/>
  <c r="A30" i="107" s="1"/>
  <c r="A31" i="107" s="1"/>
  <c r="A32" i="107" s="1"/>
  <c r="A33" i="107" s="1"/>
  <c r="A34" i="107" s="1"/>
  <c r="A35" i="107" s="1"/>
  <c r="A36" i="107" s="1"/>
  <c r="A37" i="107" s="1"/>
  <c r="AE7" i="107"/>
  <c r="Y38" i="107"/>
  <c r="Y40" i="107" s="1"/>
  <c r="A1" i="107"/>
  <c r="F29" i="101" l="1"/>
  <c r="F24" i="101"/>
  <c r="F31" i="101"/>
  <c r="B64" i="107"/>
  <c r="W40" i="108"/>
  <c r="C15" i="101"/>
  <c r="Y40" i="110"/>
  <c r="C51" i="112"/>
  <c r="D40" i="112"/>
  <c r="C50" i="112"/>
  <c r="C48" i="112"/>
  <c r="C53" i="112"/>
  <c r="D53" i="112" s="1"/>
  <c r="X40" i="112"/>
  <c r="C49" i="112"/>
  <c r="D49" i="112" s="1"/>
  <c r="C57" i="112"/>
  <c r="W40" i="112"/>
  <c r="C56" i="112"/>
  <c r="D56" i="112" s="1"/>
  <c r="V40" i="112"/>
  <c r="C19" i="101"/>
  <c r="C55" i="112"/>
  <c r="D55" i="112" s="1"/>
  <c r="C73" i="112"/>
  <c r="C71" i="112"/>
  <c r="C72" i="112"/>
  <c r="N66" i="101"/>
  <c r="AA39" i="112"/>
  <c r="D39" i="111"/>
  <c r="C52" i="111"/>
  <c r="AJ18" i="101"/>
  <c r="C56" i="111"/>
  <c r="W39" i="111"/>
  <c r="C55" i="111"/>
  <c r="D55" i="111" s="1"/>
  <c r="V39" i="111"/>
  <c r="C71" i="111"/>
  <c r="X52" i="101"/>
  <c r="M66" i="101" s="1"/>
  <c r="C49" i="111"/>
  <c r="O18" i="101"/>
  <c r="C47" i="111"/>
  <c r="C18" i="101"/>
  <c r="C54" i="111"/>
  <c r="AA38" i="110"/>
  <c r="B66" i="110"/>
  <c r="B63" i="110"/>
  <c r="B64" i="110"/>
  <c r="B65" i="110"/>
  <c r="D40" i="110"/>
  <c r="O17" i="101"/>
  <c r="W40" i="110"/>
  <c r="V40" i="110"/>
  <c r="C17" i="101"/>
  <c r="C73" i="110"/>
  <c r="L67" i="101"/>
  <c r="AB40" i="110"/>
  <c r="L65" i="101"/>
  <c r="AC40" i="110"/>
  <c r="L66" i="101"/>
  <c r="D39" i="109"/>
  <c r="C72" i="109"/>
  <c r="D72" i="109" s="1"/>
  <c r="AA50" i="101"/>
  <c r="K67" i="101" s="1"/>
  <c r="AB39" i="109"/>
  <c r="U50" i="101"/>
  <c r="K65" i="101" s="1"/>
  <c r="AC39" i="109"/>
  <c r="K66" i="101"/>
  <c r="B64" i="109"/>
  <c r="B63" i="109"/>
  <c r="B62" i="109"/>
  <c r="AA38" i="109"/>
  <c r="AA39" i="109" s="1"/>
  <c r="Z39" i="109"/>
  <c r="B65" i="109"/>
  <c r="I16" i="101"/>
  <c r="D40" i="108"/>
  <c r="AD40" i="108"/>
  <c r="J67" i="101"/>
  <c r="AB40" i="108"/>
  <c r="J65" i="101"/>
  <c r="AC40" i="108"/>
  <c r="J66" i="101"/>
  <c r="B64" i="108"/>
  <c r="C53" i="108"/>
  <c r="D40" i="107"/>
  <c r="I14" i="101"/>
  <c r="X40" i="107"/>
  <c r="AJ14" i="101"/>
  <c r="H29" i="101"/>
  <c r="G65" i="101"/>
  <c r="H24" i="101"/>
  <c r="H31" i="101"/>
  <c r="G66" i="101"/>
  <c r="H25" i="101"/>
  <c r="G67" i="101"/>
  <c r="I47" i="101"/>
  <c r="I29" i="101"/>
  <c r="H65" i="101"/>
  <c r="I24" i="101"/>
  <c r="I31" i="101"/>
  <c r="H66" i="101"/>
  <c r="I25" i="101"/>
  <c r="H67" i="101"/>
  <c r="C51" i="107"/>
  <c r="L14" i="101"/>
  <c r="C52" i="107"/>
  <c r="D52" i="107" s="1"/>
  <c r="U14" i="101"/>
  <c r="AB40" i="107"/>
  <c r="I65" i="101"/>
  <c r="C56" i="107"/>
  <c r="D56" i="107" s="1"/>
  <c r="AD14" i="101"/>
  <c r="J31" i="101" s="1"/>
  <c r="AC40" i="107"/>
  <c r="I66" i="101"/>
  <c r="C40" i="107"/>
  <c r="R14" i="101"/>
  <c r="C57" i="107"/>
  <c r="AD40" i="107"/>
  <c r="I67" i="101"/>
  <c r="I15" i="101"/>
  <c r="C51" i="108"/>
  <c r="L15" i="101"/>
  <c r="AA39" i="108"/>
  <c r="Z38" i="108"/>
  <c r="Z40" i="108" s="1"/>
  <c r="C52" i="108"/>
  <c r="U15" i="101"/>
  <c r="AA38" i="108"/>
  <c r="C48" i="108"/>
  <c r="O15" i="101"/>
  <c r="C56" i="108"/>
  <c r="AD15" i="101"/>
  <c r="K31" i="101" s="1"/>
  <c r="AE38" i="108"/>
  <c r="AE40" i="108" s="1"/>
  <c r="C40" i="108"/>
  <c r="R15" i="101"/>
  <c r="C57" i="108"/>
  <c r="B40" i="108"/>
  <c r="C50" i="109"/>
  <c r="L16" i="101"/>
  <c r="B39" i="109"/>
  <c r="O16" i="101"/>
  <c r="C16" i="101"/>
  <c r="C55" i="109"/>
  <c r="AD16" i="101"/>
  <c r="L31" i="101" s="1"/>
  <c r="C39" i="109"/>
  <c r="R16" i="101"/>
  <c r="C56" i="109"/>
  <c r="C51" i="109"/>
  <c r="U16" i="101"/>
  <c r="C52" i="110"/>
  <c r="U17" i="101"/>
  <c r="C56" i="110"/>
  <c r="AD17" i="101"/>
  <c r="M31" i="101" s="1"/>
  <c r="C40" i="110"/>
  <c r="R17" i="101"/>
  <c r="C57" i="110"/>
  <c r="B40" i="110"/>
  <c r="I17" i="101"/>
  <c r="C51" i="110"/>
  <c r="L17" i="101"/>
  <c r="X40" i="110"/>
  <c r="AJ17" i="101"/>
  <c r="C39" i="111"/>
  <c r="R18" i="101"/>
  <c r="AA52" i="101"/>
  <c r="M67" i="101" s="1"/>
  <c r="B39" i="111"/>
  <c r="I18" i="101"/>
  <c r="D50" i="111"/>
  <c r="L18" i="101"/>
  <c r="X39" i="111"/>
  <c r="U18" i="101"/>
  <c r="AB39" i="111"/>
  <c r="U52" i="101"/>
  <c r="M65" i="101" s="1"/>
  <c r="AD18" i="101"/>
  <c r="N31" i="101" s="1"/>
  <c r="AC39" i="111"/>
  <c r="L19" i="101"/>
  <c r="Z38" i="112"/>
  <c r="Z40" i="112" s="1"/>
  <c r="U19" i="101"/>
  <c r="N65" i="101"/>
  <c r="O19" i="101"/>
  <c r="AD19" i="101"/>
  <c r="O31" i="101" s="1"/>
  <c r="AC40" i="112"/>
  <c r="AJ19" i="101"/>
  <c r="AE38" i="112"/>
  <c r="AE40" i="112" s="1"/>
  <c r="C40" i="112"/>
  <c r="R19" i="101"/>
  <c r="N67" i="101"/>
  <c r="G24" i="101"/>
  <c r="G29" i="101"/>
  <c r="G25" i="101"/>
  <c r="G31" i="101"/>
  <c r="F66" i="101"/>
  <c r="F65" i="101"/>
  <c r="F25" i="101"/>
  <c r="F30" i="101"/>
  <c r="E67" i="101"/>
  <c r="E65" i="101"/>
  <c r="E66" i="101"/>
  <c r="I19" i="101"/>
  <c r="AA38" i="112"/>
  <c r="Y40" i="112"/>
  <c r="B40" i="112"/>
  <c r="AE37" i="111"/>
  <c r="AE39" i="111" s="1"/>
  <c r="AA38" i="111"/>
  <c r="AA39" i="111" s="1"/>
  <c r="Z38" i="110"/>
  <c r="Z40" i="110" s="1"/>
  <c r="C48" i="110"/>
  <c r="C50" i="110"/>
  <c r="AA39" i="110"/>
  <c r="C72" i="110"/>
  <c r="AE38" i="110"/>
  <c r="AE40" i="110" s="1"/>
  <c r="C55" i="110"/>
  <c r="D55" i="110" s="1"/>
  <c r="C73" i="108"/>
  <c r="C50" i="108"/>
  <c r="C55" i="108"/>
  <c r="C72" i="108"/>
  <c r="Y40" i="108"/>
  <c r="Z38" i="107"/>
  <c r="Z40" i="107" s="1"/>
  <c r="C48" i="107"/>
  <c r="C73" i="107"/>
  <c r="B74" i="110"/>
  <c r="B54" i="110"/>
  <c r="B54" i="112"/>
  <c r="B67" i="112"/>
  <c r="D52" i="112"/>
  <c r="B74" i="112"/>
  <c r="D50" i="112"/>
  <c r="AB40" i="112"/>
  <c r="H40" i="112"/>
  <c r="I40" i="112"/>
  <c r="AD40" i="112"/>
  <c r="J40" i="112"/>
  <c r="B58" i="112"/>
  <c r="Y37" i="111"/>
  <c r="Y39" i="111" s="1"/>
  <c r="Z37" i="111"/>
  <c r="Z39" i="111" s="1"/>
  <c r="D51" i="111"/>
  <c r="B53" i="111"/>
  <c r="D72" i="111"/>
  <c r="B73" i="111"/>
  <c r="H39" i="111"/>
  <c r="D48" i="111"/>
  <c r="I39" i="111"/>
  <c r="AD39" i="111"/>
  <c r="J39" i="111"/>
  <c r="B57" i="111"/>
  <c r="H40" i="110"/>
  <c r="C53" i="110"/>
  <c r="C71" i="110"/>
  <c r="I40" i="110"/>
  <c r="AD40" i="110"/>
  <c r="J40" i="110"/>
  <c r="B58" i="110"/>
  <c r="D52" i="108"/>
  <c r="D51" i="109"/>
  <c r="AE39" i="109"/>
  <c r="C49" i="109"/>
  <c r="C71" i="109"/>
  <c r="Y37" i="109"/>
  <c r="Y39" i="109" s="1"/>
  <c r="B53" i="109"/>
  <c r="C47" i="109"/>
  <c r="C54" i="109"/>
  <c r="B73" i="109"/>
  <c r="H39" i="109"/>
  <c r="C48" i="109"/>
  <c r="C52" i="109"/>
  <c r="C70" i="109"/>
  <c r="I39" i="109"/>
  <c r="AD39" i="109"/>
  <c r="J39" i="109"/>
  <c r="B57" i="109"/>
  <c r="B58" i="108"/>
  <c r="B54" i="108"/>
  <c r="B74" i="108"/>
  <c r="X40" i="108"/>
  <c r="H40" i="108"/>
  <c r="C49" i="108"/>
  <c r="C71" i="108"/>
  <c r="I40" i="108"/>
  <c r="J40" i="108"/>
  <c r="B58" i="107"/>
  <c r="B54" i="107"/>
  <c r="B74" i="107"/>
  <c r="AA38" i="107"/>
  <c r="C55" i="107"/>
  <c r="B40" i="107"/>
  <c r="AE38" i="107"/>
  <c r="AE40" i="107" s="1"/>
  <c r="C50" i="107"/>
  <c r="AA39" i="107"/>
  <c r="C72" i="107"/>
  <c r="H40" i="107"/>
  <c r="C49" i="107"/>
  <c r="C53" i="107"/>
  <c r="C71" i="107"/>
  <c r="I40" i="107"/>
  <c r="J40" i="107"/>
  <c r="I46" i="101" l="1"/>
  <c r="I45" i="101"/>
  <c r="I44" i="101"/>
  <c r="AA40" i="112"/>
  <c r="L44" i="101"/>
  <c r="L45" i="101"/>
  <c r="L46" i="101"/>
  <c r="L47" i="101"/>
  <c r="L48" i="101"/>
  <c r="AA40" i="108"/>
  <c r="AH15" i="101"/>
  <c r="L49" i="101"/>
  <c r="L50" i="101"/>
  <c r="L51" i="101"/>
  <c r="D48" i="112"/>
  <c r="D51" i="112"/>
  <c r="D57" i="112"/>
  <c r="C58" i="112"/>
  <c r="D58" i="112" s="1"/>
  <c r="D73" i="112"/>
  <c r="D71" i="112"/>
  <c r="C74" i="112"/>
  <c r="D74" i="112" s="1"/>
  <c r="D72" i="112"/>
  <c r="C66" i="112"/>
  <c r="D66" i="112" s="1"/>
  <c r="C63" i="112"/>
  <c r="D63" i="112" s="1"/>
  <c r="L53" i="101"/>
  <c r="C64" i="112"/>
  <c r="D64" i="112" s="1"/>
  <c r="C65" i="112"/>
  <c r="D65" i="112" s="1"/>
  <c r="L52" i="101"/>
  <c r="D47" i="111"/>
  <c r="D71" i="111"/>
  <c r="C62" i="111"/>
  <c r="C65" i="111"/>
  <c r="D65" i="111" s="1"/>
  <c r="D56" i="111"/>
  <c r="C63" i="111"/>
  <c r="D63" i="111" s="1"/>
  <c r="C57" i="111"/>
  <c r="D57" i="111" s="1"/>
  <c r="C64" i="111"/>
  <c r="D64" i="111" s="1"/>
  <c r="D54" i="111"/>
  <c r="D52" i="110"/>
  <c r="B67" i="110"/>
  <c r="AA40" i="110"/>
  <c r="D48" i="110"/>
  <c r="C58" i="110"/>
  <c r="D58" i="110" s="1"/>
  <c r="D73" i="110"/>
  <c r="D51" i="110"/>
  <c r="D50" i="110"/>
  <c r="D56" i="110"/>
  <c r="D49" i="110"/>
  <c r="C63" i="110"/>
  <c r="D63" i="110" s="1"/>
  <c r="D57" i="110"/>
  <c r="C64" i="110"/>
  <c r="D64" i="110" s="1"/>
  <c r="C65" i="110"/>
  <c r="D65" i="110" s="1"/>
  <c r="D72" i="110"/>
  <c r="D47" i="109"/>
  <c r="C62" i="109"/>
  <c r="D62" i="109" s="1"/>
  <c r="C63" i="109"/>
  <c r="D63" i="109" s="1"/>
  <c r="C64" i="109"/>
  <c r="D64" i="109" s="1"/>
  <c r="D50" i="109"/>
  <c r="D48" i="109"/>
  <c r="D56" i="109"/>
  <c r="D55" i="109"/>
  <c r="D54" i="109"/>
  <c r="C57" i="109"/>
  <c r="D71" i="109"/>
  <c r="D51" i="108"/>
  <c r="C66" i="108"/>
  <c r="D66" i="108" s="1"/>
  <c r="D57" i="108"/>
  <c r="D53" i="108"/>
  <c r="D73" i="108"/>
  <c r="D56" i="108"/>
  <c r="D72" i="108"/>
  <c r="C58" i="108"/>
  <c r="D58" i="108" s="1"/>
  <c r="C65" i="108"/>
  <c r="D65" i="108" s="1"/>
  <c r="C63" i="108"/>
  <c r="D63" i="108" s="1"/>
  <c r="D49" i="108"/>
  <c r="D48" i="108"/>
  <c r="B67" i="107"/>
  <c r="C63" i="107"/>
  <c r="D63" i="107" s="1"/>
  <c r="C64" i="107"/>
  <c r="D64" i="107" s="1"/>
  <c r="D51" i="107"/>
  <c r="D48" i="107"/>
  <c r="D49" i="107"/>
  <c r="D57" i="107"/>
  <c r="D73" i="107"/>
  <c r="D72" i="107"/>
  <c r="C65" i="107"/>
  <c r="D65" i="107" s="1"/>
  <c r="B59" i="107"/>
  <c r="AA40" i="107"/>
  <c r="D55" i="107"/>
  <c r="D50" i="108"/>
  <c r="D49" i="109"/>
  <c r="B59" i="112"/>
  <c r="C54" i="112"/>
  <c r="D54" i="112" s="1"/>
  <c r="B66" i="109"/>
  <c r="B67" i="108"/>
  <c r="D55" i="108"/>
  <c r="B59" i="110"/>
  <c r="B58" i="111"/>
  <c r="B66" i="111"/>
  <c r="C73" i="111"/>
  <c r="D73" i="111" s="1"/>
  <c r="D70" i="111"/>
  <c r="D52" i="111"/>
  <c r="C53" i="111"/>
  <c r="D49" i="111"/>
  <c r="C74" i="110"/>
  <c r="D74" i="110" s="1"/>
  <c r="D71" i="110"/>
  <c r="C54" i="110"/>
  <c r="C66" i="110"/>
  <c r="D66" i="110" s="1"/>
  <c r="D53" i="110"/>
  <c r="B58" i="109"/>
  <c r="C73" i="109"/>
  <c r="D70" i="109"/>
  <c r="C53" i="109"/>
  <c r="C65" i="109"/>
  <c r="D65" i="109" s="1"/>
  <c r="D52" i="109"/>
  <c r="B59" i="108"/>
  <c r="C74" i="108"/>
  <c r="D74" i="108" s="1"/>
  <c r="D71" i="108"/>
  <c r="C54" i="108"/>
  <c r="C64" i="108"/>
  <c r="D64" i="108" s="1"/>
  <c r="C58" i="107"/>
  <c r="D58" i="107" s="1"/>
  <c r="D50" i="107"/>
  <c r="C74" i="107"/>
  <c r="D74" i="107" s="1"/>
  <c r="D71" i="107"/>
  <c r="C54" i="107"/>
  <c r="C66" i="107"/>
  <c r="D66" i="107" s="1"/>
  <c r="D53" i="107"/>
  <c r="D57" i="109" l="1"/>
  <c r="D73" i="109"/>
  <c r="C59" i="112"/>
  <c r="D59" i="112" s="1"/>
  <c r="C67" i="112"/>
  <c r="D67" i="112" s="1"/>
  <c r="D62" i="111"/>
  <c r="C66" i="111"/>
  <c r="D66" i="111" s="1"/>
  <c r="C58" i="111"/>
  <c r="D58" i="111" s="1"/>
  <c r="D53" i="111"/>
  <c r="C59" i="110"/>
  <c r="D59" i="110" s="1"/>
  <c r="D54" i="110"/>
  <c r="C67" i="110"/>
  <c r="D67" i="110" s="1"/>
  <c r="C66" i="109"/>
  <c r="D66" i="109" s="1"/>
  <c r="C58" i="109"/>
  <c r="D58" i="109" s="1"/>
  <c r="D53" i="109"/>
  <c r="C59" i="108"/>
  <c r="D59" i="108" s="1"/>
  <c r="D54" i="108"/>
  <c r="C67" i="108"/>
  <c r="D67" i="108" s="1"/>
  <c r="C67" i="107"/>
  <c r="D67" i="107" s="1"/>
  <c r="C59" i="107"/>
  <c r="D59" i="107" s="1"/>
  <c r="D54" i="107"/>
  <c r="K53" i="101" l="1"/>
  <c r="K52" i="101"/>
  <c r="K51" i="101"/>
  <c r="K50" i="101"/>
  <c r="K49" i="101"/>
  <c r="K48" i="101"/>
  <c r="K47" i="101"/>
  <c r="K46" i="101"/>
  <c r="K45" i="101"/>
  <c r="K44" i="101"/>
  <c r="K43" i="101"/>
  <c r="K42" i="101"/>
  <c r="AC20" i="101"/>
  <c r="C31" i="101" s="1"/>
  <c r="AE19" i="101"/>
  <c r="W67" i="98"/>
  <c r="AE18" i="101"/>
  <c r="AE17" i="101"/>
  <c r="W65" i="98"/>
  <c r="AE16" i="101"/>
  <c r="AE15" i="101"/>
  <c r="AE14" i="101"/>
  <c r="AE13" i="101"/>
  <c r="AE12" i="101"/>
  <c r="AE11" i="101"/>
  <c r="AE10" i="101"/>
  <c r="W57" i="98"/>
  <c r="E24" i="101"/>
  <c r="AL7" i="101"/>
  <c r="AI7" i="101"/>
  <c r="AF7" i="101"/>
  <c r="AC7" i="101"/>
  <c r="Z7" i="101"/>
  <c r="W7" i="101"/>
  <c r="T7" i="101"/>
  <c r="Q7" i="101"/>
  <c r="N7" i="101"/>
  <c r="K7" i="101"/>
  <c r="H7" i="101"/>
  <c r="C23" i="101"/>
  <c r="AC41" i="101"/>
  <c r="Z41" i="101"/>
  <c r="W41" i="101"/>
  <c r="T41" i="101"/>
  <c r="Q41" i="101"/>
  <c r="N41" i="101"/>
  <c r="K41" i="101"/>
  <c r="H41" i="101"/>
  <c r="B41" i="101"/>
  <c r="B57" i="101"/>
  <c r="B64" i="101" s="1"/>
  <c r="N42" i="101"/>
  <c r="H53" i="101"/>
  <c r="H52" i="101"/>
  <c r="H51" i="101"/>
  <c r="H50" i="101"/>
  <c r="H49" i="101"/>
  <c r="H48" i="101"/>
  <c r="H47" i="101"/>
  <c r="H46" i="101"/>
  <c r="H45" i="101"/>
  <c r="H44" i="101"/>
  <c r="H43" i="101"/>
  <c r="H42" i="101"/>
  <c r="B42" i="101"/>
  <c r="O33" i="101"/>
  <c r="N33" i="101"/>
  <c r="M33" i="101"/>
  <c r="L33" i="101"/>
  <c r="K33" i="101"/>
  <c r="J33" i="101"/>
  <c r="I33" i="101"/>
  <c r="H33" i="101"/>
  <c r="G33" i="101"/>
  <c r="F33" i="101"/>
  <c r="AF20" i="101"/>
  <c r="C32" i="101" s="1"/>
  <c r="AH19" i="101"/>
  <c r="AH18" i="101"/>
  <c r="AH17" i="101"/>
  <c r="AH16" i="101"/>
  <c r="AH14" i="101"/>
  <c r="AH13" i="101"/>
  <c r="AH12" i="101"/>
  <c r="AH11" i="101"/>
  <c r="AH10" i="101"/>
  <c r="V17" i="101"/>
  <c r="V18" i="101"/>
  <c r="V19" i="101"/>
  <c r="V10" i="101"/>
  <c r="Q20" i="101"/>
  <c r="S19" i="101"/>
  <c r="S18" i="101"/>
  <c r="S17" i="101"/>
  <c r="V16" i="101"/>
  <c r="S16" i="101"/>
  <c r="V15" i="101"/>
  <c r="S15" i="101"/>
  <c r="V14" i="101"/>
  <c r="S14" i="101"/>
  <c r="V13" i="101"/>
  <c r="S13" i="101"/>
  <c r="V12" i="101"/>
  <c r="S12" i="101"/>
  <c r="V11" i="101"/>
  <c r="S11" i="101"/>
  <c r="S10" i="101"/>
  <c r="T20" i="101"/>
  <c r="E29" i="101" l="1"/>
  <c r="I43" i="101"/>
  <c r="E33" i="101"/>
  <c r="E30" i="101"/>
  <c r="E31" i="101"/>
  <c r="D67" i="101"/>
  <c r="D65" i="101"/>
  <c r="D66" i="101"/>
  <c r="S9" i="101" l="1"/>
  <c r="E25" i="101"/>
  <c r="L43" i="101"/>
  <c r="V9" i="101"/>
  <c r="AH9" i="101"/>
  <c r="AE9" i="101"/>
  <c r="C51" i="101"/>
  <c r="C44" i="101"/>
  <c r="C45" i="101"/>
  <c r="C49" i="101"/>
  <c r="C53" i="101"/>
  <c r="C50" i="101"/>
  <c r="Z54" i="101"/>
  <c r="B67" i="101" s="1"/>
  <c r="W54" i="101"/>
  <c r="B66" i="101" s="1"/>
  <c r="T54" i="101"/>
  <c r="B65" i="101" s="1"/>
  <c r="AC53" i="101"/>
  <c r="W86" i="98" s="1"/>
  <c r="AB53" i="101"/>
  <c r="Y53" i="101"/>
  <c r="N53" i="101"/>
  <c r="B53" i="101"/>
  <c r="AC52" i="101"/>
  <c r="W85" i="98" s="1"/>
  <c r="AB52" i="101"/>
  <c r="Y52" i="101"/>
  <c r="V52" i="101"/>
  <c r="N52" i="101"/>
  <c r="B52" i="101"/>
  <c r="AC51" i="101"/>
  <c r="W84" i="98" s="1"/>
  <c r="AB51" i="101"/>
  <c r="Y51" i="101"/>
  <c r="N51" i="101"/>
  <c r="B51" i="101"/>
  <c r="AC50" i="101"/>
  <c r="W83" i="98" s="1"/>
  <c r="AB50" i="101"/>
  <c r="Y50" i="101"/>
  <c r="V50" i="101"/>
  <c r="N50" i="101"/>
  <c r="B50" i="101"/>
  <c r="AC49" i="101"/>
  <c r="W82" i="98" s="1"/>
  <c r="AB49" i="101"/>
  <c r="Y49" i="101"/>
  <c r="N49" i="101"/>
  <c r="B49" i="101"/>
  <c r="AC48" i="101"/>
  <c r="W81" i="98" s="1"/>
  <c r="AB48" i="101"/>
  <c r="V48" i="101"/>
  <c r="N48" i="101"/>
  <c r="B48" i="101"/>
  <c r="AC47" i="101"/>
  <c r="AB47" i="101"/>
  <c r="Y47" i="101"/>
  <c r="N47" i="101"/>
  <c r="B47" i="101"/>
  <c r="AC46" i="101"/>
  <c r="AB46" i="101"/>
  <c r="Y46" i="101"/>
  <c r="V46" i="101"/>
  <c r="N46" i="101"/>
  <c r="C46" i="101"/>
  <c r="B46" i="101"/>
  <c r="AC45" i="101"/>
  <c r="AB45" i="101"/>
  <c r="Y45" i="101"/>
  <c r="V45" i="101"/>
  <c r="N45" i="101"/>
  <c r="B45" i="101"/>
  <c r="AC44" i="101"/>
  <c r="AB44" i="101"/>
  <c r="Y44" i="101"/>
  <c r="V44" i="101"/>
  <c r="N44" i="101"/>
  <c r="B44" i="101"/>
  <c r="AC43" i="101"/>
  <c r="AB43" i="101"/>
  <c r="V43" i="101"/>
  <c r="N43" i="101"/>
  <c r="B43" i="101"/>
  <c r="AC42" i="101"/>
  <c r="W75" i="98" s="1"/>
  <c r="N20" i="101"/>
  <c r="AI20" i="101"/>
  <c r="C33" i="101" s="1"/>
  <c r="Z20" i="101"/>
  <c r="W20" i="101"/>
  <c r="K20" i="101"/>
  <c r="C27" i="101" s="1"/>
  <c r="H20" i="101"/>
  <c r="B20" i="101"/>
  <c r="C28" i="101" s="1"/>
  <c r="AK19" i="101"/>
  <c r="P18" i="101"/>
  <c r="Y18" i="101"/>
  <c r="C52" i="101"/>
  <c r="P17" i="101"/>
  <c r="AK17" i="101"/>
  <c r="O51" i="101"/>
  <c r="AB17" i="101"/>
  <c r="Y17" i="101"/>
  <c r="P16" i="101"/>
  <c r="AK16" i="101"/>
  <c r="O50" i="101"/>
  <c r="AB16" i="101"/>
  <c r="Y16" i="101"/>
  <c r="P15" i="101"/>
  <c r="AK15" i="101"/>
  <c r="AB15" i="101"/>
  <c r="Y15" i="101"/>
  <c r="P14" i="101"/>
  <c r="AK14" i="101"/>
  <c r="AB14" i="101"/>
  <c r="Y14" i="101"/>
  <c r="C48" i="101"/>
  <c r="P13" i="101"/>
  <c r="O47" i="101"/>
  <c r="AB13" i="101"/>
  <c r="Y13" i="101"/>
  <c r="C47" i="101"/>
  <c r="AK12" i="101"/>
  <c r="O46" i="101"/>
  <c r="AB12" i="101"/>
  <c r="Y12" i="101"/>
  <c r="P11" i="101"/>
  <c r="AK11" i="101"/>
  <c r="Y11" i="101"/>
  <c r="P10" i="101"/>
  <c r="AK10" i="101"/>
  <c r="AB10" i="101"/>
  <c r="P9" i="101"/>
  <c r="O43" i="101"/>
  <c r="Y9" i="101"/>
  <c r="C43" i="101"/>
  <c r="AA38" i="100"/>
  <c r="AA36" i="100"/>
  <c r="AA35" i="100"/>
  <c r="AA34" i="100"/>
  <c r="AA33" i="100"/>
  <c r="AA32" i="100"/>
  <c r="AA31" i="100"/>
  <c r="AA30" i="100"/>
  <c r="AA29" i="100"/>
  <c r="AA28" i="100"/>
  <c r="AA27" i="100"/>
  <c r="AA26" i="100"/>
  <c r="AA25" i="100"/>
  <c r="AA24" i="100"/>
  <c r="AA23" i="100"/>
  <c r="AA22" i="100"/>
  <c r="AA21" i="100"/>
  <c r="AA20" i="100"/>
  <c r="AA19" i="100"/>
  <c r="AA18" i="100"/>
  <c r="AA17" i="100"/>
  <c r="AA16" i="100"/>
  <c r="AA15" i="100"/>
  <c r="AA14" i="100"/>
  <c r="AA13" i="100"/>
  <c r="AA12" i="100"/>
  <c r="AA11" i="100"/>
  <c r="AA10" i="100"/>
  <c r="AA9" i="100"/>
  <c r="AA8" i="100"/>
  <c r="AA7" i="100"/>
  <c r="AA6" i="100"/>
  <c r="B57" i="100"/>
  <c r="B54" i="100"/>
  <c r="B52" i="100"/>
  <c r="B51" i="100"/>
  <c r="X37" i="100"/>
  <c r="C52" i="100" s="1"/>
  <c r="U37" i="100"/>
  <c r="C55" i="100" s="1"/>
  <c r="T37" i="100"/>
  <c r="W37" i="100"/>
  <c r="C57" i="100" s="1"/>
  <c r="V37" i="100"/>
  <c r="O37" i="100"/>
  <c r="I37" i="100"/>
  <c r="H37" i="100"/>
  <c r="C37" i="100"/>
  <c r="B37" i="100"/>
  <c r="C47" i="100" s="1"/>
  <c r="Y37" i="100"/>
  <c r="A7" i="100"/>
  <c r="A8" i="100" s="1"/>
  <c r="A9" i="100" s="1"/>
  <c r="A10" i="100" s="1"/>
  <c r="A11" i="100" s="1"/>
  <c r="A12" i="100" s="1"/>
  <c r="A13" i="100" s="1"/>
  <c r="A14" i="100" s="1"/>
  <c r="A15" i="100" s="1"/>
  <c r="A16" i="100" s="1"/>
  <c r="A17" i="100" s="1"/>
  <c r="A18" i="100" s="1"/>
  <c r="A19" i="100" s="1"/>
  <c r="A20" i="100" s="1"/>
  <c r="A21" i="100" s="1"/>
  <c r="A22" i="100" s="1"/>
  <c r="A23" i="100" s="1"/>
  <c r="A24" i="100" s="1"/>
  <c r="A25" i="100" s="1"/>
  <c r="A26" i="100" s="1"/>
  <c r="A27" i="100" s="1"/>
  <c r="A28" i="100" s="1"/>
  <c r="A29" i="100" s="1"/>
  <c r="A30" i="100" s="1"/>
  <c r="A31" i="100" s="1"/>
  <c r="A32" i="100" s="1"/>
  <c r="A33" i="100" s="1"/>
  <c r="A34" i="100" s="1"/>
  <c r="A35" i="100" s="1"/>
  <c r="A36" i="100" s="1"/>
  <c r="AB37" i="100"/>
  <c r="AC37" i="100"/>
  <c r="AE36" i="100"/>
  <c r="AE35" i="100"/>
  <c r="AE34" i="100"/>
  <c r="AE33" i="100"/>
  <c r="AE32" i="100"/>
  <c r="AE30" i="100"/>
  <c r="AE29" i="100"/>
  <c r="AE28" i="100"/>
  <c r="AE26" i="100"/>
  <c r="AE25" i="100"/>
  <c r="AE24" i="100"/>
  <c r="AE22" i="100"/>
  <c r="AE21" i="100"/>
  <c r="AE20" i="100"/>
  <c r="AE18" i="100"/>
  <c r="AE17" i="100"/>
  <c r="AE16" i="100"/>
  <c r="AE14" i="100"/>
  <c r="AE13" i="100"/>
  <c r="AE12" i="100"/>
  <c r="AE10" i="100"/>
  <c r="AE9" i="100"/>
  <c r="AE8" i="100"/>
  <c r="C43" i="100"/>
  <c r="AD37" i="100"/>
  <c r="A1" i="2"/>
  <c r="E30" i="2" s="1"/>
  <c r="T97" i="98"/>
  <c r="H28" i="2" s="1"/>
  <c r="O97" i="98"/>
  <c r="T94" i="98" s="1"/>
  <c r="E28" i="2" s="1"/>
  <c r="C49" i="100" l="1"/>
  <c r="C8" i="101"/>
  <c r="C20" i="101" s="1"/>
  <c r="C54" i="100"/>
  <c r="U8" i="101"/>
  <c r="D29" i="101" s="1"/>
  <c r="P29" i="101" s="1"/>
  <c r="C51" i="100"/>
  <c r="L8" i="101"/>
  <c r="M8" i="101" s="1"/>
  <c r="C50" i="100"/>
  <c r="R8" i="101"/>
  <c r="D25" i="101" s="1"/>
  <c r="P25" i="101" s="1"/>
  <c r="C48" i="100"/>
  <c r="O8" i="101"/>
  <c r="D24" i="101" s="1"/>
  <c r="P24" i="101" s="1"/>
  <c r="V39" i="100"/>
  <c r="AD8" i="101"/>
  <c r="D31" i="101" s="1"/>
  <c r="I8" i="101"/>
  <c r="D42" i="101"/>
  <c r="AJ8" i="101"/>
  <c r="AK8" i="101" s="1"/>
  <c r="W39" i="100"/>
  <c r="AG8" i="101"/>
  <c r="D32" i="101" s="1"/>
  <c r="P32" i="101" s="1"/>
  <c r="AA8" i="101"/>
  <c r="AA20" i="101" s="1"/>
  <c r="AB20" i="101" s="1"/>
  <c r="U39" i="100"/>
  <c r="C30" i="101"/>
  <c r="B63" i="100"/>
  <c r="B66" i="100"/>
  <c r="B65" i="100"/>
  <c r="B64" i="100"/>
  <c r="X42" i="101"/>
  <c r="X54" i="101" s="1"/>
  <c r="Y54" i="101" s="1"/>
  <c r="E42" i="101"/>
  <c r="C73" i="100"/>
  <c r="AA42" i="101"/>
  <c r="C67" i="101" s="1"/>
  <c r="O67" i="101" s="1"/>
  <c r="AC39" i="100"/>
  <c r="AB39" i="100"/>
  <c r="U42" i="101"/>
  <c r="B53" i="100"/>
  <c r="Y39" i="100"/>
  <c r="B39" i="100"/>
  <c r="H39" i="100"/>
  <c r="G27" i="101"/>
  <c r="M9" i="101"/>
  <c r="D52" i="101"/>
  <c r="D48" i="101"/>
  <c r="D44" i="101"/>
  <c r="D51" i="101"/>
  <c r="D50" i="101"/>
  <c r="D53" i="101"/>
  <c r="D49" i="101"/>
  <c r="E53" i="101"/>
  <c r="E49" i="101"/>
  <c r="E45" i="101"/>
  <c r="E52" i="101"/>
  <c r="E48" i="101"/>
  <c r="E44" i="101"/>
  <c r="E51" i="101"/>
  <c r="E47" i="101"/>
  <c r="E43" i="101"/>
  <c r="E50" i="101"/>
  <c r="E46" i="101"/>
  <c r="X39" i="100"/>
  <c r="C39" i="100"/>
  <c r="I39" i="100"/>
  <c r="N26" i="101"/>
  <c r="J10" i="101"/>
  <c r="AC54" i="101"/>
  <c r="B58" i="100"/>
  <c r="AD47" i="101"/>
  <c r="AB80" i="98" s="1"/>
  <c r="AD51" i="101"/>
  <c r="AB84" i="98" s="1"/>
  <c r="V51" i="101"/>
  <c r="AD48" i="101"/>
  <c r="AB81" i="98" s="1"/>
  <c r="V47" i="101"/>
  <c r="Y48" i="101"/>
  <c r="N54" i="101"/>
  <c r="B61" i="101" s="1"/>
  <c r="AD43" i="101"/>
  <c r="AB76" i="98" s="1"/>
  <c r="AD49" i="101"/>
  <c r="AB82" i="98" s="1"/>
  <c r="AD50" i="101"/>
  <c r="AB83" i="98" s="1"/>
  <c r="AD53" i="101"/>
  <c r="AB86" i="98" s="1"/>
  <c r="AD45" i="101"/>
  <c r="AB78" i="98" s="1"/>
  <c r="V49" i="101"/>
  <c r="V53" i="101"/>
  <c r="AD52" i="101"/>
  <c r="AB85" i="98" s="1"/>
  <c r="E59" i="101"/>
  <c r="M11" i="101"/>
  <c r="M13" i="101"/>
  <c r="AK13" i="101"/>
  <c r="G61" i="101"/>
  <c r="P46" i="101"/>
  <c r="O48" i="101"/>
  <c r="K61" i="101"/>
  <c r="P50" i="101"/>
  <c r="M26" i="101"/>
  <c r="AB19" i="101"/>
  <c r="K26" i="101"/>
  <c r="E27" i="101"/>
  <c r="Y43" i="101"/>
  <c r="O44" i="101"/>
  <c r="D61" i="101"/>
  <c r="P43" i="101"/>
  <c r="AB9" i="101"/>
  <c r="AK9" i="101"/>
  <c r="Y10" i="101"/>
  <c r="AB11" i="101"/>
  <c r="P12" i="101"/>
  <c r="M18" i="101"/>
  <c r="N27" i="101"/>
  <c r="X20" i="101"/>
  <c r="Y20" i="101" s="1"/>
  <c r="O52" i="101"/>
  <c r="AK18" i="101"/>
  <c r="F26" i="101"/>
  <c r="H54" i="101"/>
  <c r="B58" i="101" s="1"/>
  <c r="AD44" i="101"/>
  <c r="AB77" i="98" s="1"/>
  <c r="AD46" i="101"/>
  <c r="AB79" i="98" s="1"/>
  <c r="O45" i="101"/>
  <c r="H61" i="101"/>
  <c r="B68" i="101" s="1"/>
  <c r="P47" i="101"/>
  <c r="I59" i="101"/>
  <c r="O49" i="101"/>
  <c r="L61" i="101"/>
  <c r="P51" i="101"/>
  <c r="AB18" i="101"/>
  <c r="Y19" i="101"/>
  <c r="O53" i="101"/>
  <c r="O26" i="101"/>
  <c r="I27" i="101"/>
  <c r="B54" i="101"/>
  <c r="B60" i="101" s="1"/>
  <c r="P19" i="101"/>
  <c r="Z37" i="100"/>
  <c r="Z39" i="100" s="1"/>
  <c r="A1" i="100"/>
  <c r="AE11" i="100"/>
  <c r="AE15" i="100"/>
  <c r="AE19" i="100"/>
  <c r="AE23" i="100"/>
  <c r="AE27" i="100"/>
  <c r="AE31" i="100"/>
  <c r="AE6" i="100"/>
  <c r="C71" i="100"/>
  <c r="AE7" i="100"/>
  <c r="AD39" i="100"/>
  <c r="H10" i="2"/>
  <c r="AB8" i="101" l="1"/>
  <c r="D30" i="101"/>
  <c r="P30" i="101" s="1"/>
  <c r="O20" i="101"/>
  <c r="P20" i="101" s="1"/>
  <c r="I42" i="101"/>
  <c r="C58" i="101" s="1"/>
  <c r="AJ20" i="101"/>
  <c r="AK20" i="101" s="1"/>
  <c r="AA33" i="98"/>
  <c r="C63" i="100"/>
  <c r="AA36" i="98"/>
  <c r="C64" i="100"/>
  <c r="D64" i="100" s="1"/>
  <c r="F19" i="98"/>
  <c r="C42" i="101"/>
  <c r="C54" i="101" s="1"/>
  <c r="C66" i="101"/>
  <c r="O66" i="101" s="1"/>
  <c r="AH8" i="101"/>
  <c r="L42" i="101"/>
  <c r="C59" i="101" s="1"/>
  <c r="P31" i="101"/>
  <c r="AE8" i="101"/>
  <c r="W39" i="98"/>
  <c r="AA54" i="101"/>
  <c r="AB54" i="101" s="1"/>
  <c r="AB42" i="101"/>
  <c r="J8" i="101"/>
  <c r="D73" i="100"/>
  <c r="V42" i="101"/>
  <c r="C65" i="101"/>
  <c r="AE53" i="101"/>
  <c r="AE52" i="101"/>
  <c r="AE51" i="101"/>
  <c r="AE50" i="101"/>
  <c r="AE49" i="101"/>
  <c r="AE48" i="101"/>
  <c r="AE47" i="101"/>
  <c r="AE46" i="101"/>
  <c r="AE45" i="101"/>
  <c r="AE44" i="101"/>
  <c r="AE43" i="101"/>
  <c r="Y42" i="101"/>
  <c r="U54" i="101"/>
  <c r="V54" i="101" s="1"/>
  <c r="AD42" i="101"/>
  <c r="AB75" i="98" s="1"/>
  <c r="D49" i="100"/>
  <c r="AD20" i="101"/>
  <c r="AE20" i="101" s="1"/>
  <c r="E54" i="101"/>
  <c r="F8" i="101"/>
  <c r="F15" i="101"/>
  <c r="AM15" i="101" s="1"/>
  <c r="AB64" i="98" s="1"/>
  <c r="F16" i="101"/>
  <c r="AM16" i="101" s="1"/>
  <c r="AB65" i="98" s="1"/>
  <c r="F19" i="101"/>
  <c r="F53" i="101" s="1"/>
  <c r="F18" i="101"/>
  <c r="AM18" i="101" s="1"/>
  <c r="AB67" i="98" s="1"/>
  <c r="F14" i="101"/>
  <c r="G14" i="101" s="1"/>
  <c r="D50" i="100"/>
  <c r="J49" i="101"/>
  <c r="L26" i="101"/>
  <c r="M12" i="101"/>
  <c r="H27" i="101"/>
  <c r="AG20" i="101"/>
  <c r="AH20" i="101" s="1"/>
  <c r="D55" i="100"/>
  <c r="F17" i="101"/>
  <c r="AM17" i="101" s="1"/>
  <c r="AB66" i="98" s="1"/>
  <c r="F10" i="101"/>
  <c r="F28" i="101" s="1"/>
  <c r="P8" i="101"/>
  <c r="U20" i="101"/>
  <c r="V20" i="101" s="1"/>
  <c r="V8" i="101"/>
  <c r="D33" i="101"/>
  <c r="P33" i="101" s="1"/>
  <c r="O42" i="101"/>
  <c r="O54" i="101" s="1"/>
  <c r="P54" i="101" s="1"/>
  <c r="D43" i="101"/>
  <c r="F9" i="101"/>
  <c r="AM9" i="101" s="1"/>
  <c r="M16" i="101"/>
  <c r="L27" i="101"/>
  <c r="F27" i="101"/>
  <c r="M10" i="101"/>
  <c r="K27" i="101"/>
  <c r="M15" i="101"/>
  <c r="D57" i="100"/>
  <c r="D54" i="100"/>
  <c r="D26" i="101"/>
  <c r="D20" i="101"/>
  <c r="F13" i="101"/>
  <c r="AM13" i="101" s="1"/>
  <c r="AB62" i="98" s="1"/>
  <c r="D47" i="101"/>
  <c r="J27" i="101"/>
  <c r="M14" i="101"/>
  <c r="M19" i="101"/>
  <c r="O27" i="101"/>
  <c r="M17" i="101"/>
  <c r="M27" i="101"/>
  <c r="D47" i="100"/>
  <c r="E20" i="101"/>
  <c r="S8" i="101"/>
  <c r="R20" i="101"/>
  <c r="S20" i="101" s="1"/>
  <c r="F11" i="101"/>
  <c r="D45" i="101"/>
  <c r="D46" i="101"/>
  <c r="F12" i="101"/>
  <c r="AM12" i="101" s="1"/>
  <c r="AB61" i="98" s="1"/>
  <c r="L20" i="101"/>
  <c r="M20" i="101" s="1"/>
  <c r="D27" i="101"/>
  <c r="C66" i="100"/>
  <c r="D66" i="100" s="1"/>
  <c r="AA38" i="98"/>
  <c r="E26" i="101"/>
  <c r="J9" i="101"/>
  <c r="J14" i="101"/>
  <c r="J13" i="101"/>
  <c r="I26" i="101"/>
  <c r="J18" i="101"/>
  <c r="J19" i="101"/>
  <c r="G26" i="101"/>
  <c r="J11" i="101"/>
  <c r="H26" i="101"/>
  <c r="J17" i="101"/>
  <c r="I20" i="101"/>
  <c r="J20" i="101" s="1"/>
  <c r="J26" i="101"/>
  <c r="J12" i="101"/>
  <c r="J15" i="101"/>
  <c r="J16" i="101"/>
  <c r="D48" i="100"/>
  <c r="B59" i="100"/>
  <c r="W45" i="98"/>
  <c r="J59" i="101"/>
  <c r="G58" i="101"/>
  <c r="J46" i="101"/>
  <c r="K59" i="101"/>
  <c r="E61" i="101"/>
  <c r="P44" i="101"/>
  <c r="G59" i="101"/>
  <c r="M59" i="101"/>
  <c r="J61" i="101"/>
  <c r="P49" i="101"/>
  <c r="F61" i="101"/>
  <c r="P45" i="101"/>
  <c r="N61" i="101"/>
  <c r="P53" i="101"/>
  <c r="L59" i="101"/>
  <c r="L58" i="101"/>
  <c r="J51" i="101"/>
  <c r="H59" i="101"/>
  <c r="D59" i="101"/>
  <c r="P52" i="101"/>
  <c r="M61" i="101"/>
  <c r="N59" i="101"/>
  <c r="P48" i="101"/>
  <c r="I61" i="101"/>
  <c r="F59" i="101"/>
  <c r="C58" i="100"/>
  <c r="C53" i="100"/>
  <c r="AA37" i="100"/>
  <c r="AA39" i="100" s="1"/>
  <c r="D52" i="100"/>
  <c r="B67" i="100"/>
  <c r="AE37" i="100"/>
  <c r="AE38" i="100"/>
  <c r="J42" i="101" l="1"/>
  <c r="Y39" i="98"/>
  <c r="AA39" i="98" s="1"/>
  <c r="G8" i="101"/>
  <c r="AM8" i="101"/>
  <c r="AN8" i="101" s="1"/>
  <c r="AM11" i="101"/>
  <c r="AB60" i="98" s="1"/>
  <c r="L54" i="101"/>
  <c r="W46" i="98"/>
  <c r="C68" i="101"/>
  <c r="O65" i="101"/>
  <c r="K58" i="101"/>
  <c r="J53" i="101"/>
  <c r="N68" i="101"/>
  <c r="M58" i="101"/>
  <c r="F58" i="101"/>
  <c r="F68" i="101"/>
  <c r="J58" i="101"/>
  <c r="H68" i="101"/>
  <c r="D58" i="101"/>
  <c r="AE42" i="101"/>
  <c r="AD54" i="101"/>
  <c r="AE54" i="101" s="1"/>
  <c r="M28" i="101"/>
  <c r="M35" i="101" s="1"/>
  <c r="G15" i="101"/>
  <c r="F35" i="101"/>
  <c r="J45" i="101"/>
  <c r="P27" i="101"/>
  <c r="P26" i="101"/>
  <c r="J50" i="101"/>
  <c r="L28" i="101"/>
  <c r="L35" i="101" s="1"/>
  <c r="O28" i="101"/>
  <c r="O35" i="101" s="1"/>
  <c r="AM10" i="101"/>
  <c r="AB59" i="98" s="1"/>
  <c r="F42" i="101"/>
  <c r="F50" i="101"/>
  <c r="G10" i="101"/>
  <c r="D28" i="101"/>
  <c r="D35" i="101" s="1"/>
  <c r="G16" i="101"/>
  <c r="G19" i="101"/>
  <c r="F51" i="101"/>
  <c r="K28" i="101"/>
  <c r="K35" i="101" s="1"/>
  <c r="F49" i="101"/>
  <c r="G18" i="101"/>
  <c r="G17" i="101"/>
  <c r="Y45" i="98"/>
  <c r="AM19" i="101"/>
  <c r="AB68" i="98" s="1"/>
  <c r="F20" i="101"/>
  <c r="G20" i="101" s="1"/>
  <c r="N28" i="101"/>
  <c r="N35" i="101" s="1"/>
  <c r="F52" i="101"/>
  <c r="J28" i="101"/>
  <c r="J35" i="101" s="1"/>
  <c r="F44" i="101"/>
  <c r="AB58" i="98"/>
  <c r="D54" i="101"/>
  <c r="F48" i="101"/>
  <c r="AM14" i="101"/>
  <c r="AB63" i="98" s="1"/>
  <c r="G12" i="101"/>
  <c r="F46" i="101"/>
  <c r="G68" i="101" s="1"/>
  <c r="H28" i="101"/>
  <c r="H35" i="101" s="1"/>
  <c r="C61" i="101"/>
  <c r="O61" i="101" s="1"/>
  <c r="P42" i="101"/>
  <c r="G13" i="101"/>
  <c r="F47" i="101"/>
  <c r="I28" i="101"/>
  <c r="I35" i="101" s="1"/>
  <c r="E28" i="101"/>
  <c r="E35" i="101" s="1"/>
  <c r="F43" i="101"/>
  <c r="G9" i="101"/>
  <c r="F45" i="101"/>
  <c r="G11" i="101"/>
  <c r="G28" i="101"/>
  <c r="G35" i="101" s="1"/>
  <c r="J48" i="101"/>
  <c r="I58" i="101"/>
  <c r="N58" i="101"/>
  <c r="J52" i="101"/>
  <c r="J44" i="101"/>
  <c r="E58" i="101"/>
  <c r="H58" i="101"/>
  <c r="J47" i="101"/>
  <c r="J43" i="101"/>
  <c r="I54" i="101"/>
  <c r="J54" i="101" s="1"/>
  <c r="R53" i="101"/>
  <c r="O59" i="101"/>
  <c r="G53" i="101"/>
  <c r="N60" i="101"/>
  <c r="C59" i="100"/>
  <c r="D59" i="100" s="1"/>
  <c r="D53" i="100"/>
  <c r="C72" i="100"/>
  <c r="AC53" i="98" s="1"/>
  <c r="C65" i="100"/>
  <c r="D65" i="100" s="1"/>
  <c r="D58" i="100"/>
  <c r="B74" i="100"/>
  <c r="D71" i="100"/>
  <c r="AE39" i="100"/>
  <c r="D63" i="100"/>
  <c r="D51" i="100"/>
  <c r="AB57" i="98" l="1"/>
  <c r="AC39" i="98"/>
  <c r="AC46" i="98" s="1"/>
  <c r="P35" i="101"/>
  <c r="R52" i="101"/>
  <c r="R44" i="101"/>
  <c r="E68" i="101"/>
  <c r="R50" i="101"/>
  <c r="R51" i="101"/>
  <c r="L68" i="101"/>
  <c r="R48" i="101"/>
  <c r="I68" i="101"/>
  <c r="R49" i="101"/>
  <c r="R42" i="101"/>
  <c r="D68" i="101"/>
  <c r="J68" i="101"/>
  <c r="M68" i="101"/>
  <c r="K68" i="101"/>
  <c r="G42" i="101"/>
  <c r="J60" i="101"/>
  <c r="J62" i="101" s="1"/>
  <c r="G50" i="101"/>
  <c r="K60" i="101"/>
  <c r="K62" i="101" s="1"/>
  <c r="O58" i="101"/>
  <c r="G51" i="101"/>
  <c r="AM20" i="101"/>
  <c r="C60" i="101"/>
  <c r="C62" i="101" s="1"/>
  <c r="G52" i="101"/>
  <c r="G49" i="101"/>
  <c r="L60" i="101"/>
  <c r="L62" i="101" s="1"/>
  <c r="G44" i="101"/>
  <c r="P28" i="101"/>
  <c r="E60" i="101"/>
  <c r="E62" i="101" s="1"/>
  <c r="G48" i="101"/>
  <c r="F54" i="101"/>
  <c r="M60" i="101"/>
  <c r="M62" i="101" s="1"/>
  <c r="I60" i="101"/>
  <c r="I62" i="101" s="1"/>
  <c r="D60" i="101"/>
  <c r="D62" i="101" s="1"/>
  <c r="G43" i="101"/>
  <c r="G47" i="101"/>
  <c r="H60" i="101"/>
  <c r="H62" i="101" s="1"/>
  <c r="R47" i="101"/>
  <c r="G45" i="101"/>
  <c r="F60" i="101"/>
  <c r="F62" i="101" s="1"/>
  <c r="R45" i="101"/>
  <c r="R43" i="101"/>
  <c r="G60" i="101"/>
  <c r="G62" i="101" s="1"/>
  <c r="G46" i="101"/>
  <c r="R46" i="101"/>
  <c r="N62" i="101"/>
  <c r="C67" i="100"/>
  <c r="D67" i="100" s="1"/>
  <c r="D72" i="100"/>
  <c r="C74" i="100"/>
  <c r="D74" i="100" s="1"/>
  <c r="O68" i="101" l="1"/>
  <c r="R54" i="101"/>
  <c r="O62" i="101"/>
  <c r="G54" i="101"/>
  <c r="O60" i="101"/>
  <c r="U20" i="98" l="1"/>
  <c r="T20" i="98"/>
  <c r="S20" i="98"/>
  <c r="Q20" i="98"/>
  <c r="P20" i="98"/>
  <c r="K20" i="98"/>
  <c r="J20" i="98"/>
  <c r="H20" i="98"/>
  <c r="U16" i="98"/>
  <c r="U18" i="98" s="1"/>
  <c r="T16" i="98"/>
  <c r="S16" i="98"/>
  <c r="R16" i="98"/>
  <c r="Q16" i="98"/>
  <c r="Q18" i="98" s="1"/>
  <c r="L16" i="98"/>
  <c r="J16" i="98"/>
  <c r="I16" i="98"/>
  <c r="I18" i="98" s="1"/>
  <c r="F15" i="98"/>
  <c r="H5" i="2" s="1"/>
  <c r="U14" i="98"/>
  <c r="S14" i="98"/>
  <c r="R14" i="98"/>
  <c r="Q14" i="98"/>
  <c r="L14" i="98"/>
  <c r="F12" i="98"/>
  <c r="F11" i="98"/>
  <c r="H4" i="2" s="1"/>
  <c r="F8" i="98"/>
  <c r="H7" i="2" l="1"/>
  <c r="J18" i="98"/>
  <c r="L18" i="98"/>
  <c r="T18" i="98"/>
  <c r="P18" i="98"/>
  <c r="H18" i="98"/>
  <c r="H8" i="2"/>
  <c r="F14" i="98"/>
  <c r="F10" i="98"/>
  <c r="F20" i="98"/>
  <c r="H3" i="2" s="1"/>
  <c r="R18" i="98"/>
  <c r="S18" i="98"/>
  <c r="F16" i="98"/>
  <c r="F18" i="98" l="1"/>
  <c r="T92" i="98"/>
  <c r="H27" i="2" s="1"/>
  <c r="T87" i="98"/>
  <c r="H26" i="2" s="1"/>
  <c r="T82" i="98"/>
  <c r="H25" i="2" s="1"/>
  <c r="T77" i="98"/>
  <c r="H24" i="2" s="1"/>
  <c r="T72" i="98"/>
  <c r="H23" i="2" s="1"/>
  <c r="T67" i="98"/>
  <c r="H22" i="2" s="1"/>
  <c r="T62" i="98"/>
  <c r="H21" i="2" s="1"/>
  <c r="T57" i="98"/>
  <c r="H20" i="2" s="1"/>
  <c r="T52" i="98"/>
  <c r="H19" i="2" s="1"/>
  <c r="AA50" i="98"/>
  <c r="H18" i="2"/>
  <c r="H17" i="2"/>
  <c r="T37" i="98"/>
  <c r="H16" i="2" s="1"/>
  <c r="B8" i="98"/>
  <c r="E18" i="2" l="1"/>
  <c r="T34" i="98"/>
  <c r="E16" i="2" s="1"/>
  <c r="E25" i="2"/>
  <c r="E27" i="2"/>
  <c r="E24" i="2"/>
  <c r="E17" i="2"/>
  <c r="AA34" i="98"/>
  <c r="AA44" i="98"/>
  <c r="AB69" i="98"/>
  <c r="E21" i="2"/>
  <c r="E22" i="2"/>
  <c r="E26" i="2"/>
  <c r="AA35" i="98"/>
  <c r="AA51" i="98"/>
  <c r="AA52" i="98"/>
  <c r="AA40" i="98"/>
  <c r="E19" i="2"/>
  <c r="E20" i="2"/>
  <c r="W87" i="98"/>
  <c r="AE53" i="98"/>
  <c r="AB87" i="98"/>
  <c r="W53" i="98"/>
  <c r="I28" i="98" s="1"/>
  <c r="E23" i="2"/>
  <c r="AA42" i="98"/>
  <c r="Y53" i="98"/>
  <c r="W88" i="98" l="1"/>
  <c r="AA53" i="98"/>
  <c r="AA45" i="98"/>
  <c r="W89" i="98"/>
  <c r="Y46" i="98"/>
  <c r="AA46" i="98" l="1"/>
  <c r="Q53" i="101" l="1"/>
  <c r="S53" i="101" s="1"/>
  <c r="Q51" i="101"/>
  <c r="S51" i="101" s="1"/>
  <c r="Q50" i="101"/>
  <c r="S50" i="101" s="1"/>
  <c r="Q49" i="101"/>
  <c r="S49" i="101" s="1"/>
  <c r="Q52" i="101"/>
  <c r="S52" i="101" s="1"/>
  <c r="Q48" i="101"/>
  <c r="S48" i="101" s="1"/>
  <c r="Q44" i="101"/>
  <c r="S44" i="101" s="1"/>
  <c r="Q45" i="101"/>
  <c r="S45" i="101" s="1"/>
  <c r="K54" i="101"/>
  <c r="M54" i="101" s="1"/>
  <c r="Q47" i="101"/>
  <c r="S47" i="101" s="1"/>
  <c r="Q42" i="101"/>
  <c r="S42" i="101" s="1"/>
  <c r="Q46" i="101"/>
  <c r="S46" i="101" s="1"/>
  <c r="Q43" i="101"/>
  <c r="S43" i="101" s="1"/>
  <c r="C35" i="101"/>
  <c r="M44" i="101"/>
  <c r="M48" i="101"/>
  <c r="M52" i="101"/>
  <c r="M45" i="101"/>
  <c r="M49" i="101"/>
  <c r="M53" i="101"/>
  <c r="AL20" i="101"/>
  <c r="AN20" i="101" s="1"/>
  <c r="AN11" i="101"/>
  <c r="AN13" i="101"/>
  <c r="AN15" i="101"/>
  <c r="AN19" i="101"/>
  <c r="M42" i="101"/>
  <c r="M46" i="101"/>
  <c r="M50" i="101"/>
  <c r="AN9" i="101"/>
  <c r="W69" i="98"/>
  <c r="AN17" i="101"/>
  <c r="M43" i="101"/>
  <c r="M47" i="101"/>
  <c r="M51" i="101"/>
  <c r="AN10" i="101"/>
  <c r="AN12" i="101"/>
  <c r="AN14" i="101"/>
  <c r="AN16" i="101"/>
  <c r="AN18" i="101"/>
  <c r="Q54" i="101" l="1"/>
  <c r="S54" i="101" s="1"/>
  <c r="W71" i="98"/>
  <c r="W70" i="98"/>
  <c r="B59" i="101"/>
  <c r="B62" i="101" s="1"/>
  <c r="AE46" i="9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Raditya Dwi W</author>
  </authors>
  <commentList>
    <comment ref="AB74" authorId="0" shapeId="0" xr:uid="{E6E8B858-A955-46B3-8D8D-37CC4AE56486}">
      <text>
        <r>
          <rPr>
            <b/>
            <sz val="9"/>
            <color indexed="81"/>
            <rFont val="Tahoma"/>
            <family val="2"/>
          </rPr>
          <t>Raditya Dwi W:</t>
        </r>
        <r>
          <rPr>
            <sz val="9"/>
            <color indexed="81"/>
            <rFont val="Tahoma"/>
            <family val="2"/>
          </rPr>
          <t xml:space="preserve">
Setiap akhir bulan di update menggunakan data Dept Planning.
Untuk bulan berjalan memakai hasil trucking (summary masing2)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produksi11</author>
  </authors>
  <commentList>
    <comment ref="C41" authorId="0" shapeId="0" xr:uid="{1FBFB7ED-5085-42DC-99A8-11D707DD3ED9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  <comment ref="D41" authorId="0" shapeId="0" xr:uid="{7F5705E1-B64E-4A2A-AC8E-EA76995794B0}">
      <text>
        <r>
          <rPr>
            <b/>
            <sz val="9"/>
            <color indexed="81"/>
            <rFont val="Tahoma"/>
            <family val="2"/>
          </rPr>
          <t>Coal Hauling:
Update Every Month
Weekday : 1 day
Sunday    : OFF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produksi11</author>
  </authors>
  <commentList>
    <comment ref="C42" authorId="0" shapeId="0" xr:uid="{238C442B-0E3F-46BE-ABED-453E60BE46F1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  <comment ref="D42" authorId="0" shapeId="0" xr:uid="{CBD07F8C-AA9D-4F4C-A18A-33FE292017DA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produksi11</author>
  </authors>
  <commentList>
    <comment ref="C42" authorId="0" shapeId="0" xr:uid="{330448A4-AD54-4A82-83A0-9D31B0A183BF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  <comment ref="D42" authorId="0" shapeId="0" xr:uid="{B404CD94-A417-4C35-AFC0-5537817E93E1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produksi11</author>
  </authors>
  <commentList>
    <comment ref="C41" authorId="0" shapeId="0" xr:uid="{FA14DD29-043E-4C5A-AD24-6CC5B0567AB1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  <comment ref="D41" authorId="0" shapeId="0" xr:uid="{8F93E784-6098-43C1-A9C4-7E81315C26BE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produksi11</author>
  </authors>
  <commentList>
    <comment ref="C41" authorId="0" shapeId="0" xr:uid="{A7C95535-6E88-4B0C-B2F2-94F183EAF6E5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  <comment ref="D41" authorId="0" shapeId="0" xr:uid="{1760A349-E01D-454C-893B-3C8956A5E91D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produksi11</author>
  </authors>
  <commentList>
    <comment ref="C42" authorId="0" shapeId="0" xr:uid="{EAD322AC-6EC7-4414-AF83-8A3A190779A7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  <comment ref="D42" authorId="0" shapeId="0" xr:uid="{5ABCF8EA-47BA-420F-BF34-519B5EFD55D3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produksi11</author>
  </authors>
  <commentList>
    <comment ref="C42" authorId="0" shapeId="0" xr:uid="{C326BC4D-2BB1-4040-9696-739BBDCEDEF6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  <comment ref="D42" authorId="0" shapeId="0" xr:uid="{F6270AD9-B93D-4F1A-A274-FEC8C7B638EA}">
      <text>
        <r>
          <rPr>
            <b/>
            <sz val="9"/>
            <color indexed="81"/>
            <rFont val="Tahoma"/>
            <family val="2"/>
          </rPr>
          <t>Yanti :
Update Every Month
Weekday : 1 day
Sunday    : OFF</t>
        </r>
      </text>
    </comment>
  </commentList>
</comments>
</file>

<file path=xl/sharedStrings.xml><?xml version="1.0" encoding="utf-8"?>
<sst xmlns="http://schemas.openxmlformats.org/spreadsheetml/2006/main" count="1678" uniqueCount="205">
  <si>
    <t>1. Coal Production</t>
  </si>
  <si>
    <t>:</t>
  </si>
  <si>
    <t xml:space="preserve">   ton  </t>
  </si>
  <si>
    <t xml:space="preserve">- Day shift   </t>
  </si>
  <si>
    <t xml:space="preserve">- Night shift  </t>
  </si>
  <si>
    <t>- RS Coal (Roto + Susubang)</t>
  </si>
  <si>
    <t>- SM Coal</t>
  </si>
  <si>
    <t>2. Coal Hauling</t>
  </si>
  <si>
    <t xml:space="preserve">- 1st shift   </t>
  </si>
  <si>
    <t xml:space="preserve">- 2nd shift  </t>
  </si>
  <si>
    <t xml:space="preserve">- 3rd shift  </t>
  </si>
  <si>
    <t>3. Waiting Time Caused by Rain and Fog</t>
  </si>
  <si>
    <t xml:space="preserve">- RTN      </t>
  </si>
  <si>
    <t xml:space="preserve">Hr,   </t>
  </si>
  <si>
    <t xml:space="preserve">  mm</t>
  </si>
  <si>
    <t xml:space="preserve">- SM-A </t>
  </si>
  <si>
    <t>- SM-B</t>
  </si>
  <si>
    <t>mm</t>
  </si>
  <si>
    <t>- RTM</t>
  </si>
  <si>
    <t>- RTS AB</t>
  </si>
  <si>
    <t>- RTS CD</t>
  </si>
  <si>
    <t>- RTS E1</t>
  </si>
  <si>
    <t>- RTS E2</t>
  </si>
  <si>
    <t>- RTS F</t>
  </si>
  <si>
    <t>- RTS G</t>
  </si>
  <si>
    <t>- SM-D1</t>
  </si>
  <si>
    <t>- SSB</t>
  </si>
  <si>
    <t xml:space="preserve">Attachment </t>
  </si>
  <si>
    <t xml:space="preserve"> : </t>
  </si>
  <si>
    <t>Departemen</t>
  </si>
  <si>
    <t>Coal Hauling</t>
  </si>
  <si>
    <t>No. Form</t>
  </si>
  <si>
    <t>FM/CH-005</t>
  </si>
  <si>
    <t>Tgl. Pembuatan</t>
  </si>
  <si>
    <t xml:space="preserve"> </t>
  </si>
  <si>
    <t>No/Tgl. Revisi</t>
  </si>
  <si>
    <t>03 / 31-12-2021</t>
  </si>
  <si>
    <t>CLASSIFICATION</t>
  </si>
  <si>
    <t>TOTAL</t>
  </si>
  <si>
    <t>RTN</t>
  </si>
  <si>
    <t>RTM</t>
  </si>
  <si>
    <t>RTS</t>
  </si>
  <si>
    <t>SM</t>
  </si>
  <si>
    <t>SSB</t>
  </si>
  <si>
    <t>SAMU BIU</t>
  </si>
  <si>
    <t>C/F</t>
  </si>
  <si>
    <t>G</t>
  </si>
  <si>
    <t>A</t>
  </si>
  <si>
    <t>B</t>
  </si>
  <si>
    <t>D</t>
  </si>
  <si>
    <t>PTP</t>
  </si>
  <si>
    <t>PAMA</t>
  </si>
  <si>
    <t>IWACO</t>
  </si>
  <si>
    <t>MHA</t>
  </si>
  <si>
    <t>KAU</t>
  </si>
  <si>
    <t>BIMA</t>
  </si>
  <si>
    <t>Day
Shift</t>
  </si>
  <si>
    <t>Holding(unit)</t>
  </si>
  <si>
    <t>Operating(unit)</t>
  </si>
  <si>
    <t>Operating Ratio(%)</t>
  </si>
  <si>
    <t>Results(ton)</t>
  </si>
  <si>
    <t>Night
Shift</t>
  </si>
  <si>
    <t>Total</t>
  </si>
  <si>
    <t>Plan Daily (ton)</t>
  </si>
  <si>
    <t>HAULING</t>
  </si>
  <si>
    <t>CLASS</t>
  </si>
  <si>
    <t>Results</t>
  </si>
  <si>
    <t>TMP</t>
  </si>
  <si>
    <t>SUK</t>
  </si>
  <si>
    <t>M</t>
  </si>
  <si>
    <t>Unit : Ton</t>
  </si>
  <si>
    <t xml:space="preserve">Rain and Fog time   </t>
  </si>
  <si>
    <t>Area</t>
  </si>
  <si>
    <t>Rain</t>
  </si>
  <si>
    <t>Start</t>
  </si>
  <si>
    <t>Finish</t>
  </si>
  <si>
    <t>Road M</t>
  </si>
  <si>
    <t>Total Hr</t>
  </si>
  <si>
    <t>Q'ty</t>
  </si>
  <si>
    <t>Remarks</t>
  </si>
  <si>
    <t>Coal Production MTD (Based on A/Plan)</t>
  </si>
  <si>
    <t>Contractor</t>
  </si>
  <si>
    <t>Plan MTD</t>
  </si>
  <si>
    <t>Actual MTD</t>
  </si>
  <si>
    <t>Diff</t>
  </si>
  <si>
    <t>Next Daily Plan</t>
  </si>
  <si>
    <t>A/Plan</t>
  </si>
  <si>
    <t>RTS-G</t>
  </si>
  <si>
    <t>BIU</t>
  </si>
  <si>
    <t xml:space="preserve">SM A </t>
  </si>
  <si>
    <t>Sub Total</t>
  </si>
  <si>
    <t>SM A</t>
  </si>
  <si>
    <t>SM B</t>
  </si>
  <si>
    <t>SM D</t>
  </si>
  <si>
    <t>G-Total</t>
  </si>
  <si>
    <t>Coal Hauling MTD (Based on A/Plan)</t>
  </si>
  <si>
    <t>RTS-AB</t>
  </si>
  <si>
    <t>Month</t>
  </si>
  <si>
    <t>B/Plan</t>
  </si>
  <si>
    <t>Actual</t>
  </si>
  <si>
    <t>Jan</t>
  </si>
  <si>
    <t>Feb</t>
  </si>
  <si>
    <t>RTS-CD</t>
  </si>
  <si>
    <t>Mar</t>
  </si>
  <si>
    <t>Apr</t>
  </si>
  <si>
    <t>May</t>
  </si>
  <si>
    <t>Jun</t>
  </si>
  <si>
    <t>Jul</t>
  </si>
  <si>
    <t>RTS-E1</t>
  </si>
  <si>
    <t>Aug</t>
  </si>
  <si>
    <t>Sep</t>
  </si>
  <si>
    <t>Oct</t>
  </si>
  <si>
    <t>Nov</t>
  </si>
  <si>
    <t>Dec</t>
  </si>
  <si>
    <t>RTS-E2</t>
  </si>
  <si>
    <t>G-Total B/Plan</t>
  </si>
  <si>
    <t>Diff (YTD) B/Plan</t>
  </si>
  <si>
    <t>% (YTD) B/Plan</t>
  </si>
  <si>
    <t>RTS-F</t>
  </si>
  <si>
    <t>Brand</t>
  </si>
  <si>
    <t>SIMS</t>
  </si>
  <si>
    <t>Premium</t>
  </si>
  <si>
    <t>Medium</t>
  </si>
  <si>
    <t>MCCP</t>
  </si>
  <si>
    <t>SMCP</t>
  </si>
  <si>
    <t>TMCT</t>
  </si>
  <si>
    <t>SMB</t>
  </si>
  <si>
    <t>No. Form : FM/CH-005</t>
  </si>
  <si>
    <t>Date</t>
  </si>
  <si>
    <t>Roto North</t>
  </si>
  <si>
    <t>Roto Middle</t>
  </si>
  <si>
    <t>Roto South</t>
  </si>
  <si>
    <t>SAMU</t>
  </si>
  <si>
    <t>TOTAL 
MCCP</t>
  </si>
  <si>
    <t>TOTAL 
SMCP</t>
  </si>
  <si>
    <t>GRAND 
TOTAL</t>
  </si>
  <si>
    <t>SAMINDO</t>
  </si>
  <si>
    <t>TRASINDO</t>
  </si>
  <si>
    <t>GRAND TOTAL HAULING</t>
  </si>
  <si>
    <t>RN</t>
  </si>
  <si>
    <t>C</t>
  </si>
  <si>
    <t>E</t>
  </si>
  <si>
    <t>F</t>
  </si>
  <si>
    <t>#6,8</t>
  </si>
  <si>
    <t>Diff.</t>
  </si>
  <si>
    <t>Working Day</t>
  </si>
  <si>
    <t>Days</t>
  </si>
  <si>
    <t>Actual Day</t>
  </si>
  <si>
    <t>Remain Day</t>
  </si>
  <si>
    <t>&gt;&gt; Production MTD (By Area)</t>
  </si>
  <si>
    <t>RTS-CF</t>
  </si>
  <si>
    <t>Roto S-Tot</t>
  </si>
  <si>
    <t>SM S-Tot</t>
  </si>
  <si>
    <t>&gt;&gt; Production MTD (By Contractor)</t>
  </si>
  <si>
    <t>Cont.</t>
  </si>
  <si>
    <t>&gt;&gt; Coal Hauling MTD (By Contractor)</t>
  </si>
  <si>
    <t>&gt;&gt; BY AREA</t>
  </si>
  <si>
    <t>No. Form : FM/CH-005 (Lampiran)</t>
  </si>
  <si>
    <t>PETROSEA</t>
  </si>
  <si>
    <t>BIMA NUSA</t>
  </si>
  <si>
    <t>TOTAL Y2022</t>
  </si>
  <si>
    <t>SM A (IWACO, MHA, KAU)</t>
  </si>
  <si>
    <t>RTS C-F</t>
  </si>
  <si>
    <t>RTS G</t>
  </si>
  <si>
    <t>Total Actual</t>
  </si>
  <si>
    <t xml:space="preserve">Feb </t>
  </si>
  <si>
    <t>C-F</t>
  </si>
  <si>
    <t>&gt;&gt; BY CONTRACTOR</t>
  </si>
  <si>
    <t>Actual Summary</t>
  </si>
  <si>
    <t xml:space="preserve">SIMS </t>
  </si>
  <si>
    <t>RTN, RTM, SM D1, SM B</t>
  </si>
  <si>
    <t>MANDIRI</t>
  </si>
  <si>
    <t>TOTAL 
RS</t>
  </si>
  <si>
    <t>TOTAL 
SM</t>
  </si>
  <si>
    <t>`</t>
  </si>
  <si>
    <t>PTRO</t>
  </si>
  <si>
    <t>Summary of Coal Production 2023</t>
  </si>
  <si>
    <t>#6</t>
  </si>
  <si>
    <t>TOTAL RS</t>
  </si>
  <si>
    <t>TOTAL SM</t>
  </si>
  <si>
    <t>Summary Coal Production Based on RKAB Plan 2023</t>
  </si>
  <si>
    <t>Summary Coal Hauling Based on RKAB Plan 2023</t>
  </si>
  <si>
    <t>SM#6</t>
  </si>
  <si>
    <t>SMC</t>
  </si>
  <si>
    <t>A, B, #6</t>
  </si>
  <si>
    <t>SMD</t>
  </si>
  <si>
    <t>RTS C-G, RTN, RTM, SM#6</t>
  </si>
  <si>
    <t>#8</t>
  </si>
  <si>
    <t>SM C</t>
  </si>
  <si>
    <t>C/D</t>
  </si>
  <si>
    <t>Mining</t>
  </si>
  <si>
    <t xml:space="preserve">Hauling </t>
  </si>
  <si>
    <t>Shift 1</t>
  </si>
  <si>
    <t>Shift 2</t>
  </si>
  <si>
    <t>Shift 3</t>
  </si>
  <si>
    <t>(ton)</t>
  </si>
  <si>
    <t>Silo Operating</t>
  </si>
  <si>
    <t>- SM#6</t>
  </si>
  <si>
    <t>Fog</t>
  </si>
  <si>
    <t>SHIFT I</t>
  </si>
  <si>
    <t>SHIFT II</t>
  </si>
  <si>
    <t>SHIFT III</t>
  </si>
  <si>
    <r>
      <t>Summary Coal Stock (ROM)</t>
    </r>
    <r>
      <rPr>
        <sz val="18"/>
        <rFont val="Arial"/>
        <family val="2"/>
      </rPr>
      <t xml:space="preserve">
4 Jun 2023</t>
    </r>
  </si>
  <si>
    <r>
      <t>Summary Coal Inventory (Exposed)</t>
    </r>
    <r>
      <rPr>
        <sz val="18"/>
        <rFont val="Arial"/>
        <family val="2"/>
      </rPr>
      <t xml:space="preserve">
4 Jun 2023</t>
    </r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</si>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</sst>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-* #,##0_-;\-* #,##0_-;_-* &quot;-&quot;_-;_-@_-"/>
    <numFmt numFmtId="165" formatCode="_(&quot;Rp&quot;* #,##0_);_(&quot;Rp&quot;* \(#,##0\);_(&quot;Rp&quot;* &quot;-&quot;_);_(@_)"/>
    <numFmt numFmtId="166" formatCode="0.0"/>
    <numFmt numFmtId="167" formatCode="d&quot;-&quot;mmm"/>
    <numFmt numFmtId="168" formatCode="h:mm;@"/>
    <numFmt numFmtId="169" formatCode="0.0&quot;mm&quot;"/>
    <numFmt numFmtId="170" formatCode="#,##0.0"/>
    <numFmt numFmtId="171" formatCode="[$-409]d\-mmm;@"/>
    <numFmt numFmtId="172" formatCode="0_);[Red]\(0\)"/>
    <numFmt numFmtId="173" formatCode="[$-809]&quot;The follows are the Coal Production for&quot;\ dddd\,\ dd\ mmmm\ yyyy;@"/>
    <numFmt numFmtId="174" formatCode="[$-809]&quot;Coal Production Report for&quot;\ dddd\,\ dd\ mmmm\ yyyy;@"/>
    <numFmt numFmtId="175" formatCode="#,##0_);[Red]\-#,##0"/>
    <numFmt numFmtId="176" formatCode="&quot;Summary of Coal Production Periode&quot;\ [$-409]mmmm\ yyyy;@"/>
    <numFmt numFmtId="177" formatCode="@* &quot;:&quot;"/>
    <numFmt numFmtId="178" formatCode="&quot;Coal Production Report&quot;\ [$-809]&quot;on&quot;\ dddd\,\ dd\-mmmm\-yyyy\ ;@"/>
    <numFmt numFmtId="179" formatCode="0.0%"/>
    <numFmt numFmtId="180" formatCode="[$-809]&quot;Coal Production for&quot;\ dddd\,\ dd\ mmmm\ yyyy;@"/>
    <numFmt numFmtId="181" formatCode="dd\-mm\-yyyy"/>
    <numFmt numFmtId="182" formatCode="#,##0.0000"/>
    <numFmt numFmtId="183" formatCode="#,##0.0_);[Red]\(#,##0.0\)"/>
    <numFmt numFmtId="184" formatCode="0.000000000000"/>
  </numFmts>
  <fonts count="9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돋움"/>
      <family val="3"/>
      <charset val="129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30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15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4"/>
      <color indexed="12"/>
      <name val="Arial"/>
      <family val="2"/>
    </font>
    <font>
      <b/>
      <sz val="14"/>
      <color indexed="21"/>
      <name val="Arial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HY그래픽M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9"/>
      <name val="Arial"/>
      <family val="2"/>
    </font>
    <font>
      <sz val="9"/>
      <color indexed="12"/>
      <name val="Arial"/>
      <family val="2"/>
    </font>
    <font>
      <b/>
      <sz val="12"/>
      <name val="Arial"/>
      <family val="2"/>
    </font>
    <font>
      <sz val="11"/>
      <color indexed="9"/>
      <name val="Arial"/>
      <family val="2"/>
    </font>
    <font>
      <b/>
      <sz val="14"/>
      <color indexed="61"/>
      <name val="Arial"/>
      <family val="2"/>
    </font>
    <font>
      <sz val="10"/>
      <color indexed="55"/>
      <name val="Arial"/>
      <family val="2"/>
    </font>
    <font>
      <b/>
      <sz val="10"/>
      <color indexed="10"/>
      <name val="Arial"/>
      <family val="2"/>
    </font>
    <font>
      <sz val="16"/>
      <color indexed="8"/>
      <name val="Arial"/>
      <family val="2"/>
    </font>
    <font>
      <sz val="18"/>
      <color indexed="8"/>
      <name val="Arial"/>
      <family val="2"/>
    </font>
    <font>
      <b/>
      <sz val="9"/>
      <color indexed="81"/>
      <name val="Tahoma"/>
      <family val="2"/>
    </font>
    <font>
      <b/>
      <sz val="14"/>
      <color indexed="14"/>
      <name val="Arial"/>
      <family val="2"/>
    </font>
    <font>
      <b/>
      <sz val="19"/>
      <color indexed="14"/>
      <name val="Arial"/>
      <family val="2"/>
    </font>
    <font>
      <sz val="10"/>
      <color indexed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6"/>
      <color theme="1"/>
      <name val="Arial"/>
      <family val="2"/>
    </font>
    <font>
      <sz val="20"/>
      <name val="Arial"/>
      <family val="2"/>
    </font>
    <font>
      <sz val="9"/>
      <name val="GulimChe"/>
      <family val="3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8"/>
      <color theme="0"/>
      <name val="Arial"/>
      <family val="2"/>
    </font>
    <font>
      <sz val="18"/>
      <color theme="1"/>
      <name val="Arial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color indexed="8"/>
      <name val="Arial"/>
      <family val="2"/>
    </font>
    <font>
      <sz val="14"/>
      <color theme="1"/>
      <name val="Arial"/>
      <family val="2"/>
    </font>
    <font>
      <b/>
      <sz val="36"/>
      <name val="Arial"/>
      <family val="2"/>
    </font>
    <font>
      <sz val="10"/>
      <name val="Arial"/>
      <family val="2"/>
    </font>
    <font>
      <sz val="12"/>
      <color theme="0"/>
      <name val="Arial"/>
      <family val="2"/>
    </font>
    <font>
      <b/>
      <sz val="12"/>
      <color indexed="14"/>
      <name val="Arial"/>
      <family val="2"/>
    </font>
    <font>
      <b/>
      <sz val="18"/>
      <color indexed="14"/>
      <name val="Arial"/>
      <family val="2"/>
    </font>
    <font>
      <b/>
      <sz val="16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9F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7FB84"/>
        <bgColor indexed="64"/>
      </patternFill>
    </fill>
    <fill>
      <patternFill patternType="solid">
        <fgColor rgb="FF94F6A4"/>
        <bgColor indexed="64"/>
      </patternFill>
    </fill>
    <fill>
      <patternFill patternType="solid">
        <fgColor rgb="FF7EF492"/>
        <bgColor indexed="64"/>
      </patternFill>
    </fill>
    <fill>
      <patternFill patternType="solid">
        <fgColor rgb="FF45F95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</borders>
  <cellStyleXfs count="312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0" fillId="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7" fillId="2" borderId="1" applyNumberFormat="0" applyAlignment="0" applyProtection="0"/>
    <xf numFmtId="0" fontId="7" fillId="2" borderId="1" applyNumberFormat="0" applyAlignment="0" applyProtection="0"/>
    <xf numFmtId="0" fontId="8" fillId="24" borderId="2" applyNumberFormat="0" applyAlignment="0" applyProtection="0"/>
    <xf numFmtId="0" fontId="8" fillId="24" borderId="2" applyNumberFormat="0" applyAlignment="0" applyProtection="0"/>
    <xf numFmtId="43" fontId="3" fillId="0" borderId="0" applyFont="0" applyFill="0" applyBorder="0" applyAlignment="0" applyProtection="0"/>
    <xf numFmtId="164" fontId="9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" borderId="1" applyNumberFormat="0" applyAlignment="0" applyProtection="0"/>
    <xf numFmtId="0" fontId="15" fillId="3" borderId="1" applyNumberFormat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8" fillId="0" borderId="0"/>
    <xf numFmtId="0" fontId="72" fillId="0" borderId="0"/>
    <xf numFmtId="0" fontId="3" fillId="4" borderId="7" applyNumberFormat="0" applyFont="0" applyAlignment="0" applyProtection="0"/>
    <xf numFmtId="0" fontId="38" fillId="4" borderId="7" applyNumberFormat="0" applyFont="0" applyAlignment="0" applyProtection="0"/>
    <xf numFmtId="0" fontId="18" fillId="2" borderId="8" applyNumberFormat="0" applyAlignment="0" applyProtection="0"/>
    <xf numFmtId="0" fontId="18" fillId="2" borderId="8" applyNumberFormat="0" applyAlignment="0" applyProtection="0"/>
    <xf numFmtId="9" fontId="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0" borderId="1" applyNumberFormat="0" applyAlignment="0" applyProtection="0">
      <alignment vertical="center"/>
    </xf>
    <xf numFmtId="0" fontId="43" fillId="10" borderId="1" applyNumberFormat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3" fillId="4" borderId="7" applyNumberFormat="0" applyFont="0" applyAlignment="0" applyProtection="0">
      <alignment vertical="center"/>
    </xf>
    <xf numFmtId="0" fontId="38" fillId="4" borderId="7" applyNumberFormat="0" applyFont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4" borderId="2" applyNumberFormat="0" applyAlignment="0" applyProtection="0">
      <alignment vertical="center"/>
    </xf>
    <xf numFmtId="0" fontId="47" fillId="24" borderId="2" applyNumberFormat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0" fontId="50" fillId="3" borderId="1" applyNumberFormat="0" applyAlignment="0" applyProtection="0">
      <alignment vertical="center"/>
    </xf>
    <xf numFmtId="0" fontId="50" fillId="3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53" fillId="0" borderId="4" applyNumberFormat="0" applyFill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6" fillId="10" borderId="8" applyNumberFormat="0" applyAlignment="0" applyProtection="0">
      <alignment vertical="center"/>
    </xf>
    <xf numFmtId="0" fontId="56" fillId="10" borderId="8" applyNumberFormat="0" applyAlignment="0" applyProtection="0">
      <alignment vertical="center"/>
    </xf>
    <xf numFmtId="0" fontId="39" fillId="0" borderId="0">
      <alignment vertical="center"/>
    </xf>
    <xf numFmtId="0" fontId="9" fillId="0" borderId="0"/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3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3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2" borderId="1" applyNumberFormat="0" applyAlignment="0" applyProtection="0"/>
    <xf numFmtId="0" fontId="8" fillId="24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1" applyNumberFormat="0" applyAlignment="0" applyProtection="0"/>
    <xf numFmtId="0" fontId="16" fillId="0" borderId="6" applyNumberFormat="0" applyFill="0" applyAlignment="0" applyProtection="0"/>
    <xf numFmtId="0" fontId="17" fillId="12" borderId="0" applyNumberFormat="0" applyBorder="0" applyAlignment="0" applyProtection="0"/>
    <xf numFmtId="0" fontId="3" fillId="0" borderId="0"/>
    <xf numFmtId="0" fontId="2" fillId="0" borderId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18" fillId="2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4" borderId="7" applyNumberFormat="0" applyFont="0" applyAlignment="0" applyProtection="0">
      <alignment vertical="center"/>
    </xf>
    <xf numFmtId="0" fontId="76" fillId="0" borderId="0"/>
    <xf numFmtId="43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43" fontId="75" fillId="0" borderId="0" applyFont="0" applyFill="0" applyBorder="0" applyAlignment="0" applyProtection="0"/>
    <xf numFmtId="0" fontId="3" fillId="0" borderId="0"/>
    <xf numFmtId="0" fontId="83" fillId="0" borderId="0"/>
    <xf numFmtId="0" fontId="3" fillId="4" borderId="76" applyNumberFormat="0" applyFont="0" applyAlignment="0" applyProtection="0">
      <alignment vertical="center"/>
    </xf>
    <xf numFmtId="0" fontId="20" fillId="0" borderId="78" applyNumberFormat="0" applyFill="0" applyAlignment="0" applyProtection="0"/>
    <xf numFmtId="0" fontId="18" fillId="2" borderId="77" applyNumberFormat="0" applyAlignment="0" applyProtection="0"/>
    <xf numFmtId="0" fontId="3" fillId="4" borderId="76" applyNumberFormat="0" applyFont="0" applyAlignment="0" applyProtection="0"/>
    <xf numFmtId="0" fontId="15" fillId="3" borderId="75" applyNumberFormat="0" applyAlignment="0" applyProtection="0"/>
    <xf numFmtId="0" fontId="7" fillId="2" borderId="75" applyNumberFormat="0" applyAlignment="0" applyProtection="0"/>
    <xf numFmtId="0" fontId="56" fillId="10" borderId="77" applyNumberFormat="0" applyAlignment="0" applyProtection="0">
      <alignment vertical="center"/>
    </xf>
    <xf numFmtId="0" fontId="56" fillId="10" borderId="77" applyNumberFormat="0" applyAlignment="0" applyProtection="0">
      <alignment vertical="center"/>
    </xf>
    <xf numFmtId="0" fontId="50" fillId="3" borderId="75" applyNumberFormat="0" applyAlignment="0" applyProtection="0">
      <alignment vertical="center"/>
    </xf>
    <xf numFmtId="0" fontId="49" fillId="0" borderId="79" applyNumberFormat="0" applyFill="0" applyAlignment="0" applyProtection="0">
      <alignment vertical="center"/>
    </xf>
    <xf numFmtId="0" fontId="3" fillId="4" borderId="76" applyNumberFormat="0" applyFont="0" applyAlignment="0" applyProtection="0">
      <alignment vertical="center"/>
    </xf>
    <xf numFmtId="0" fontId="3" fillId="4" borderId="76" applyNumberFormat="0" applyFont="0" applyAlignment="0" applyProtection="0">
      <alignment vertical="center"/>
    </xf>
    <xf numFmtId="0" fontId="43" fillId="10" borderId="75" applyNumberFormat="0" applyAlignment="0" applyProtection="0">
      <alignment vertical="center"/>
    </xf>
    <xf numFmtId="0" fontId="18" fillId="2" borderId="77" applyNumberFormat="0" applyAlignment="0" applyProtection="0"/>
    <xf numFmtId="0" fontId="3" fillId="4" borderId="76" applyNumberFormat="0" applyFont="0" applyAlignment="0" applyProtection="0"/>
    <xf numFmtId="0" fontId="15" fillId="3" borderId="75" applyNumberFormat="0" applyAlignment="0" applyProtection="0"/>
    <xf numFmtId="0" fontId="7" fillId="2" borderId="75" applyNumberFormat="0" applyAlignment="0" applyProtection="0"/>
    <xf numFmtId="0" fontId="3" fillId="4" borderId="76" applyNumberFormat="0" applyFont="0" applyAlignment="0" applyProtection="0"/>
    <xf numFmtId="0" fontId="50" fillId="3" borderId="75" applyNumberFormat="0" applyAlignment="0" applyProtection="0">
      <alignment vertical="center"/>
    </xf>
    <xf numFmtId="0" fontId="49" fillId="0" borderId="79" applyNumberFormat="0" applyFill="0" applyAlignment="0" applyProtection="0">
      <alignment vertical="center"/>
    </xf>
    <xf numFmtId="0" fontId="43" fillId="10" borderId="75" applyNumberFormat="0" applyAlignment="0" applyProtection="0">
      <alignment vertical="center"/>
    </xf>
    <xf numFmtId="0" fontId="20" fillId="0" borderId="78" applyNumberFormat="0" applyFill="0" applyAlignment="0" applyProtection="0"/>
    <xf numFmtId="0" fontId="18" fillId="2" borderId="77" applyNumberFormat="0" applyAlignment="0" applyProtection="0"/>
    <xf numFmtId="0" fontId="3" fillId="4" borderId="76" applyNumberFormat="0" applyFont="0" applyAlignment="0" applyProtection="0"/>
    <xf numFmtId="0" fontId="15" fillId="3" borderId="75" applyNumberFormat="0" applyAlignment="0" applyProtection="0"/>
    <xf numFmtId="0" fontId="7" fillId="2" borderId="75" applyNumberFormat="0" applyAlignment="0" applyProtection="0"/>
    <xf numFmtId="0" fontId="1" fillId="0" borderId="0"/>
    <xf numFmtId="0" fontId="20" fillId="0" borderId="78" applyNumberFormat="0" applyFill="0" applyAlignment="0" applyProtection="0"/>
    <xf numFmtId="165" fontId="3" fillId="0" borderId="0" applyFont="0" applyFill="0" applyBorder="0" applyAlignment="0" applyProtection="0"/>
    <xf numFmtId="0" fontId="86" fillId="0" borderId="0" applyNumberFormat="0" applyFont="0" applyFill="0" applyBorder="0" applyAlignment="0" applyProtection="0"/>
  </cellStyleXfs>
  <cellXfs count="849">
    <xf numFmtId="0" fontId="0" fillId="0" borderId="0" xfId="0"/>
    <xf numFmtId="0" fontId="24" fillId="0" borderId="0" xfId="190" applyFont="1" applyAlignment="1">
      <alignment vertical="center"/>
    </xf>
    <xf numFmtId="0" fontId="24" fillId="0" borderId="0" xfId="190" applyFont="1" applyAlignment="1">
      <alignment horizontal="center" vertical="center"/>
    </xf>
    <xf numFmtId="9" fontId="26" fillId="0" borderId="20" xfId="134" applyFont="1" applyBorder="1" applyAlignment="1">
      <alignment horizontal="right" vertical="center"/>
    </xf>
    <xf numFmtId="0" fontId="29" fillId="0" borderId="0" xfId="0" applyFont="1"/>
    <xf numFmtId="0" fontId="0" fillId="0" borderId="0" xfId="0" applyAlignment="1">
      <alignment horizontal="center"/>
    </xf>
    <xf numFmtId="164" fontId="25" fillId="0" borderId="0" xfId="92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3" fontId="35" fillId="0" borderId="0" xfId="0" applyNumberFormat="1" applyFont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36" fillId="0" borderId="0" xfId="0" applyNumberFormat="1" applyFont="1" applyAlignment="1">
      <alignment horizontal="center" vertical="center"/>
    </xf>
    <xf numFmtId="0" fontId="25" fillId="0" borderId="0" xfId="190" applyFont="1" applyAlignment="1">
      <alignment vertical="center"/>
    </xf>
    <xf numFmtId="0" fontId="28" fillId="0" borderId="0" xfId="190" applyFont="1" applyAlignment="1">
      <alignment vertical="center"/>
    </xf>
    <xf numFmtId="164" fontId="28" fillId="0" borderId="0" xfId="92" applyFont="1" applyAlignment="1">
      <alignment vertical="center"/>
    </xf>
    <xf numFmtId="0" fontId="60" fillId="0" borderId="0" xfId="190" applyFont="1" applyAlignment="1">
      <alignment vertical="center"/>
    </xf>
    <xf numFmtId="0" fontId="60" fillId="0" borderId="0" xfId="190" applyFont="1" applyAlignment="1">
      <alignment horizontal="right" vertical="center"/>
    </xf>
    <xf numFmtId="0" fontId="60" fillId="0" borderId="0" xfId="190" applyFont="1" applyAlignment="1">
      <alignment horizontal="center" vertical="center"/>
    </xf>
    <xf numFmtId="3" fontId="35" fillId="0" borderId="31" xfId="0" applyNumberFormat="1" applyFont="1" applyBorder="1" applyAlignment="1">
      <alignment horizontal="center" vertical="center"/>
    </xf>
    <xf numFmtId="3" fontId="35" fillId="0" borderId="32" xfId="0" applyNumberFormat="1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164" fontId="25" fillId="0" borderId="0" xfId="92" applyFont="1" applyFill="1" applyBorder="1" applyAlignment="1">
      <alignment vertical="center" wrapText="1"/>
    </xf>
    <xf numFmtId="3" fontId="0" fillId="0" borderId="32" xfId="0" applyNumberFormat="1" applyBorder="1" applyAlignment="1">
      <alignment horizontal="center" vertical="center"/>
    </xf>
    <xf numFmtId="3" fontId="37" fillId="0" borderId="32" xfId="0" applyNumberFormat="1" applyFont="1" applyBorder="1" applyAlignment="1">
      <alignment horizontal="center" vertical="center"/>
    </xf>
    <xf numFmtId="3" fontId="37" fillId="0" borderId="20" xfId="0" applyNumberFormat="1" applyFont="1" applyBorder="1" applyAlignment="1">
      <alignment horizontal="center" vertical="center"/>
    </xf>
    <xf numFmtId="3" fontId="35" fillId="0" borderId="45" xfId="0" applyNumberFormat="1" applyFont="1" applyBorder="1" applyAlignment="1">
      <alignment horizontal="center" vertical="center"/>
    </xf>
    <xf numFmtId="3" fontId="69" fillId="0" borderId="0" xfId="0" applyNumberFormat="1" applyFont="1" applyAlignment="1">
      <alignment horizontal="center" vertical="center"/>
    </xf>
    <xf numFmtId="3" fontId="71" fillId="0" borderId="0" xfId="91" applyNumberFormat="1" applyFont="1" applyFill="1" applyBorder="1" applyAlignment="1">
      <alignment horizontal="center" vertical="center"/>
    </xf>
    <xf numFmtId="172" fontId="20" fillId="0" borderId="0" xfId="91" applyNumberFormat="1" applyFont="1" applyFill="1" applyBorder="1" applyAlignment="1">
      <alignment horizontal="center" vertical="center"/>
    </xf>
    <xf numFmtId="40" fontId="26" fillId="27" borderId="20" xfId="190" applyNumberFormat="1" applyFont="1" applyFill="1" applyBorder="1" applyAlignment="1">
      <alignment horizontal="center" vertical="center"/>
    </xf>
    <xf numFmtId="0" fontId="74" fillId="0" borderId="0" xfId="190" applyFont="1" applyAlignment="1">
      <alignment horizontal="center" vertical="center"/>
    </xf>
    <xf numFmtId="0" fontId="74" fillId="0" borderId="0" xfId="190" applyFont="1" applyAlignment="1">
      <alignment vertical="center"/>
    </xf>
    <xf numFmtId="3" fontId="35" fillId="0" borderId="56" xfId="0" applyNumberFormat="1" applyFont="1" applyBorder="1" applyAlignment="1">
      <alignment horizontal="center" vertical="center"/>
    </xf>
    <xf numFmtId="170" fontId="0" fillId="36" borderId="47" xfId="0" applyNumberFormat="1" applyFill="1" applyBorder="1" applyAlignment="1">
      <alignment horizontal="center" vertical="center"/>
    </xf>
    <xf numFmtId="0" fontId="29" fillId="40" borderId="61" xfId="0" applyFont="1" applyFill="1" applyBorder="1" applyAlignment="1">
      <alignment vertical="center"/>
    </xf>
    <xf numFmtId="0" fontId="29" fillId="40" borderId="62" xfId="0" applyFont="1" applyFill="1" applyBorder="1" applyAlignment="1">
      <alignment vertical="center"/>
    </xf>
    <xf numFmtId="0" fontId="67" fillId="40" borderId="62" xfId="0" applyFont="1" applyFill="1" applyBorder="1" applyAlignment="1">
      <alignment vertical="center"/>
    </xf>
    <xf numFmtId="171" fontId="0" fillId="0" borderId="60" xfId="0" applyNumberFormat="1" applyBorder="1" applyAlignment="1">
      <alignment horizontal="center" vertical="center"/>
    </xf>
    <xf numFmtId="171" fontId="0" fillId="0" borderId="60" xfId="0" applyNumberFormat="1" applyBorder="1" applyAlignment="1">
      <alignment horizontal="left" vertical="center"/>
    </xf>
    <xf numFmtId="171" fontId="35" fillId="0" borderId="60" xfId="0" applyNumberFormat="1" applyFont="1" applyBorder="1" applyAlignment="1">
      <alignment horizontal="left" vertical="center"/>
    </xf>
    <xf numFmtId="0" fontId="25" fillId="33" borderId="0" xfId="190" applyFont="1" applyFill="1" applyAlignment="1">
      <alignment vertical="center"/>
    </xf>
    <xf numFmtId="0" fontId="25" fillId="41" borderId="15" xfId="190" applyFont="1" applyFill="1" applyBorder="1" applyAlignment="1">
      <alignment horizontal="center" vertical="center"/>
    </xf>
    <xf numFmtId="0" fontId="28" fillId="0" borderId="30" xfId="190" applyFont="1" applyBorder="1" applyAlignment="1">
      <alignment vertical="center"/>
    </xf>
    <xf numFmtId="0" fontId="28" fillId="0" borderId="14" xfId="190" applyFont="1" applyBorder="1" applyAlignment="1">
      <alignment vertical="center"/>
    </xf>
    <xf numFmtId="9" fontId="26" fillId="0" borderId="20" xfId="134" applyFont="1" applyBorder="1" applyAlignment="1">
      <alignment horizontal="center" vertical="center"/>
    </xf>
    <xf numFmtId="0" fontId="28" fillId="0" borderId="13" xfId="190" applyFont="1" applyBorder="1" applyAlignment="1">
      <alignment vertical="center"/>
    </xf>
    <xf numFmtId="3" fontId="35" fillId="34" borderId="21" xfId="0" applyNumberFormat="1" applyFont="1" applyFill="1" applyBorder="1" applyAlignment="1">
      <alignment horizontal="center" vertical="center" wrapText="1"/>
    </xf>
    <xf numFmtId="0" fontId="28" fillId="0" borderId="46" xfId="190" applyFont="1" applyBorder="1" applyAlignment="1">
      <alignment vertical="center"/>
    </xf>
    <xf numFmtId="0" fontId="25" fillId="0" borderId="46" xfId="190" applyFont="1" applyBorder="1" applyAlignment="1">
      <alignment vertical="center"/>
    </xf>
    <xf numFmtId="0" fontId="24" fillId="0" borderId="62" xfId="190" applyFont="1" applyBorder="1" applyAlignment="1">
      <alignment horizontal="center" vertical="center"/>
    </xf>
    <xf numFmtId="38" fontId="26" fillId="41" borderId="20" xfId="92" applyNumberFormat="1" applyFont="1" applyFill="1" applyBorder="1" applyAlignment="1">
      <alignment horizontal="right" vertical="center"/>
    </xf>
    <xf numFmtId="3" fontId="0" fillId="0" borderId="29" xfId="0" applyNumberFormat="1" applyBorder="1" applyAlignment="1">
      <alignment horizontal="center" vertical="center"/>
    </xf>
    <xf numFmtId="3" fontId="0" fillId="0" borderId="62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171" fontId="0" fillId="0" borderId="28" xfId="0" applyNumberFormat="1" applyBorder="1" applyAlignment="1">
      <alignment horizontal="center" vertical="center"/>
    </xf>
    <xf numFmtId="171" fontId="0" fillId="0" borderId="55" xfId="0" applyNumberFormat="1" applyBorder="1" applyAlignment="1">
      <alignment horizontal="center" vertical="center"/>
    </xf>
    <xf numFmtId="3" fontId="35" fillId="0" borderId="83" xfId="0" applyNumberFormat="1" applyFont="1" applyBorder="1" applyAlignment="1">
      <alignment horizontal="center" vertical="center"/>
    </xf>
    <xf numFmtId="3" fontId="36" fillId="30" borderId="83" xfId="0" applyNumberFormat="1" applyFont="1" applyFill="1" applyBorder="1" applyAlignment="1">
      <alignment horizontal="center" vertical="center"/>
    </xf>
    <xf numFmtId="3" fontId="35" fillId="0" borderId="88" xfId="0" applyNumberFormat="1" applyFont="1" applyBorder="1" applyAlignment="1">
      <alignment horizontal="center" vertical="center"/>
    </xf>
    <xf numFmtId="3" fontId="35" fillId="26" borderId="90" xfId="0" applyNumberFormat="1" applyFont="1" applyFill="1" applyBorder="1" applyAlignment="1">
      <alignment horizontal="center" vertical="center" wrapText="1" shrinkToFit="1"/>
    </xf>
    <xf numFmtId="3" fontId="35" fillId="26" borderId="85" xfId="0" applyNumberFormat="1" applyFont="1" applyFill="1" applyBorder="1" applyAlignment="1">
      <alignment horizontal="center" vertical="center" wrapText="1" shrinkToFit="1"/>
    </xf>
    <xf numFmtId="3" fontId="35" fillId="32" borderId="87" xfId="0" applyNumberFormat="1" applyFont="1" applyFill="1" applyBorder="1" applyAlignment="1">
      <alignment horizontal="center" vertical="center" wrapText="1" shrinkToFit="1"/>
    </xf>
    <xf numFmtId="3" fontId="35" fillId="32" borderId="86" xfId="0" applyNumberFormat="1" applyFont="1" applyFill="1" applyBorder="1" applyAlignment="1">
      <alignment horizontal="center" vertical="center" wrapText="1" shrinkToFit="1"/>
    </xf>
    <xf numFmtId="3" fontId="35" fillId="28" borderId="87" xfId="0" applyNumberFormat="1" applyFont="1" applyFill="1" applyBorder="1" applyAlignment="1">
      <alignment horizontal="center" vertical="center" wrapText="1" shrinkToFit="1"/>
    </xf>
    <xf numFmtId="3" fontId="35" fillId="34" borderId="84" xfId="0" applyNumberFormat="1" applyFont="1" applyFill="1" applyBorder="1" applyAlignment="1">
      <alignment horizontal="center" vertical="center" wrapText="1"/>
    </xf>
    <xf numFmtId="171" fontId="36" fillId="0" borderId="91" xfId="0" applyNumberFormat="1" applyFont="1" applyBorder="1" applyAlignment="1">
      <alignment horizontal="center" vertical="center"/>
    </xf>
    <xf numFmtId="3" fontId="36" fillId="29" borderId="83" xfId="0" applyNumberFormat="1" applyFont="1" applyFill="1" applyBorder="1" applyAlignment="1">
      <alignment horizontal="center" vertical="center"/>
    </xf>
    <xf numFmtId="3" fontId="36" fillId="26" borderId="83" xfId="0" applyNumberFormat="1" applyFont="1" applyFill="1" applyBorder="1" applyAlignment="1">
      <alignment horizontal="center" vertical="center"/>
    </xf>
    <xf numFmtId="3" fontId="36" fillId="32" borderId="83" xfId="0" applyNumberFormat="1" applyFont="1" applyFill="1" applyBorder="1" applyAlignment="1">
      <alignment horizontal="center" vertical="center"/>
    </xf>
    <xf numFmtId="3" fontId="36" fillId="28" borderId="83" xfId="0" applyNumberFormat="1" applyFont="1" applyFill="1" applyBorder="1" applyAlignment="1">
      <alignment horizontal="center" vertical="center"/>
    </xf>
    <xf numFmtId="3" fontId="36" fillId="34" borderId="83" xfId="0" applyNumberFormat="1" applyFont="1" applyFill="1" applyBorder="1" applyAlignment="1">
      <alignment horizontal="center" vertical="center"/>
    </xf>
    <xf numFmtId="3" fontId="36" fillId="37" borderId="83" xfId="0" applyNumberFormat="1" applyFont="1" applyFill="1" applyBorder="1" applyAlignment="1">
      <alignment horizontal="center" vertical="center"/>
    </xf>
    <xf numFmtId="3" fontId="36" fillId="38" borderId="83" xfId="0" applyNumberFormat="1" applyFont="1" applyFill="1" applyBorder="1" applyAlignment="1">
      <alignment horizontal="center" vertical="center"/>
    </xf>
    <xf numFmtId="3" fontId="36" fillId="35" borderId="92" xfId="0" applyNumberFormat="1" applyFont="1" applyFill="1" applyBorder="1" applyAlignment="1">
      <alignment horizontal="center" vertical="center"/>
    </xf>
    <xf numFmtId="171" fontId="36" fillId="0" borderId="93" xfId="0" applyNumberFormat="1" applyFont="1" applyBorder="1" applyAlignment="1">
      <alignment horizontal="center" vertical="center"/>
    </xf>
    <xf numFmtId="3" fontId="36" fillId="30" borderId="87" xfId="0" applyNumberFormat="1" applyFont="1" applyFill="1" applyBorder="1" applyAlignment="1">
      <alignment horizontal="center" vertical="center"/>
    </xf>
    <xf numFmtId="3" fontId="36" fillId="29" borderId="87" xfId="0" applyNumberFormat="1" applyFont="1" applyFill="1" applyBorder="1" applyAlignment="1">
      <alignment horizontal="center" vertical="center"/>
    </xf>
    <xf numFmtId="3" fontId="36" fillId="34" borderId="87" xfId="0" applyNumberFormat="1" applyFont="1" applyFill="1" applyBorder="1" applyAlignment="1">
      <alignment horizontal="center" vertical="center"/>
    </xf>
    <xf numFmtId="3" fontId="36" fillId="37" borderId="87" xfId="0" applyNumberFormat="1" applyFont="1" applyFill="1" applyBorder="1" applyAlignment="1">
      <alignment horizontal="center" vertical="center"/>
    </xf>
    <xf numFmtId="3" fontId="36" fillId="38" borderId="87" xfId="0" applyNumberFormat="1" applyFont="1" applyFill="1" applyBorder="1" applyAlignment="1">
      <alignment horizontal="center" vertical="center"/>
    </xf>
    <xf numFmtId="3" fontId="36" fillId="35" borderId="94" xfId="0" applyNumberFormat="1" applyFont="1" applyFill="1" applyBorder="1" applyAlignment="1">
      <alignment horizontal="center" vertical="center"/>
    </xf>
    <xf numFmtId="171" fontId="0" fillId="42" borderId="91" xfId="0" applyNumberFormat="1" applyFill="1" applyBorder="1" applyAlignment="1">
      <alignment horizontal="center" vertical="center"/>
    </xf>
    <xf numFmtId="40" fontId="26" fillId="27" borderId="36" xfId="190" applyNumberFormat="1" applyFont="1" applyFill="1" applyBorder="1" applyAlignment="1">
      <alignment horizontal="center" vertical="center"/>
    </xf>
    <xf numFmtId="9" fontId="26" fillId="0" borderId="33" xfId="134" applyFont="1" applyBorder="1" applyAlignment="1">
      <alignment horizontal="right" vertical="center"/>
    </xf>
    <xf numFmtId="38" fontId="26" fillId="41" borderId="20" xfId="190" applyNumberFormat="1" applyFont="1" applyFill="1" applyBorder="1" applyAlignment="1">
      <alignment horizontal="right" vertical="center"/>
    </xf>
    <xf numFmtId="9" fontId="26" fillId="0" borderId="20" xfId="134" applyFont="1" applyBorder="1" applyAlignment="1">
      <alignment vertical="center"/>
    </xf>
    <xf numFmtId="3" fontId="36" fillId="0" borderId="0" xfId="0" applyNumberFormat="1" applyFont="1" applyAlignment="1">
      <alignment vertical="center"/>
    </xf>
    <xf numFmtId="3" fontId="24" fillId="0" borderId="0" xfId="0" applyNumberFormat="1" applyFont="1" applyAlignment="1">
      <alignment vertical="center"/>
    </xf>
    <xf numFmtId="3" fontId="24" fillId="0" borderId="0" xfId="0" applyNumberFormat="1" applyFont="1" applyAlignment="1">
      <alignment horizontal="right" vertical="center"/>
    </xf>
    <xf numFmtId="3" fontId="24" fillId="39" borderId="83" xfId="0" applyNumberFormat="1" applyFont="1" applyFill="1" applyBorder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3" fontId="24" fillId="0" borderId="95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center" vertical="center"/>
    </xf>
    <xf numFmtId="3" fontId="24" fillId="0" borderId="39" xfId="0" applyNumberFormat="1" applyFont="1" applyBorder="1" applyAlignment="1">
      <alignment horizontal="center" vertical="center"/>
    </xf>
    <xf numFmtId="3" fontId="24" fillId="0" borderId="36" xfId="0" applyNumberFormat="1" applyFont="1" applyBorder="1" applyAlignment="1">
      <alignment horizontal="center" vertical="center"/>
    </xf>
    <xf numFmtId="3" fontId="24" fillId="0" borderId="29" xfId="0" applyNumberFormat="1" applyFont="1" applyBorder="1" applyAlignment="1">
      <alignment horizontal="center" vertical="center"/>
    </xf>
    <xf numFmtId="3" fontId="24" fillId="0" borderId="18" xfId="0" applyNumberFormat="1" applyFont="1" applyBorder="1" applyAlignment="1">
      <alignment horizontal="center" vertical="center"/>
    </xf>
    <xf numFmtId="3" fontId="24" fillId="0" borderId="50" xfId="0" applyNumberFormat="1" applyFont="1" applyBorder="1" applyAlignment="1">
      <alignment horizontal="center" vertical="center"/>
    </xf>
    <xf numFmtId="3" fontId="24" fillId="0" borderId="13" xfId="0" applyNumberFormat="1" applyFont="1" applyBorder="1" applyAlignment="1">
      <alignment horizontal="center" vertical="center"/>
    </xf>
    <xf numFmtId="3" fontId="85" fillId="0" borderId="0" xfId="0" applyNumberFormat="1" applyFont="1" applyAlignment="1">
      <alignment vertical="center"/>
    </xf>
    <xf numFmtId="3" fontId="0" fillId="0" borderId="45" xfId="0" applyNumberFormat="1" applyBorder="1" applyAlignment="1">
      <alignment horizontal="center" vertical="center"/>
    </xf>
    <xf numFmtId="38" fontId="26" fillId="0" borderId="95" xfId="190" applyNumberFormat="1" applyFont="1" applyBorder="1" applyAlignment="1">
      <alignment horizontal="right" vertical="center"/>
    </xf>
    <xf numFmtId="0" fontId="24" fillId="0" borderId="46" xfId="190" applyFont="1" applyBorder="1" applyAlignment="1">
      <alignment horizontal="center" vertical="center"/>
    </xf>
    <xf numFmtId="40" fontId="26" fillId="27" borderId="39" xfId="190" applyNumberFormat="1" applyFont="1" applyFill="1" applyBorder="1" applyAlignment="1">
      <alignment horizontal="center" vertical="center"/>
    </xf>
    <xf numFmtId="168" fontId="26" fillId="27" borderId="20" xfId="190" applyNumberFormat="1" applyFont="1" applyFill="1" applyBorder="1" applyAlignment="1">
      <alignment horizontal="center" vertical="center"/>
    </xf>
    <xf numFmtId="2" fontId="26" fillId="27" borderId="20" xfId="190" applyNumberFormat="1" applyFont="1" applyFill="1" applyBorder="1" applyAlignment="1">
      <alignment horizontal="center" vertical="center"/>
    </xf>
    <xf numFmtId="0" fontId="25" fillId="41" borderId="95" xfId="190" applyFont="1" applyFill="1" applyBorder="1" applyAlignment="1">
      <alignment horizontal="center" vertical="center"/>
    </xf>
    <xf numFmtId="0" fontId="25" fillId="41" borderId="18" xfId="190" applyFont="1" applyFill="1" applyBorder="1" applyAlignment="1">
      <alignment horizontal="center" vertical="center"/>
    </xf>
    <xf numFmtId="3" fontId="35" fillId="0" borderId="64" xfId="0" applyNumberFormat="1" applyFont="1" applyBorder="1" applyAlignment="1">
      <alignment horizontal="center" vertical="center"/>
    </xf>
    <xf numFmtId="3" fontId="35" fillId="0" borderId="82" xfId="0" applyNumberFormat="1" applyFont="1" applyBorder="1" applyAlignment="1">
      <alignment horizontal="center" vertical="center"/>
    </xf>
    <xf numFmtId="3" fontId="35" fillId="0" borderId="80" xfId="0" applyNumberFormat="1" applyFont="1" applyBorder="1" applyAlignment="1">
      <alignment horizontal="center" vertical="center"/>
    </xf>
    <xf numFmtId="3" fontId="36" fillId="29" borderId="82" xfId="0" applyNumberFormat="1" applyFont="1" applyFill="1" applyBorder="1" applyAlignment="1">
      <alignment horizontal="center" vertical="center"/>
    </xf>
    <xf numFmtId="3" fontId="36" fillId="29" borderId="84" xfId="0" applyNumberFormat="1" applyFont="1" applyFill="1" applyBorder="1" applyAlignment="1">
      <alignment horizontal="center" vertical="center"/>
    </xf>
    <xf numFmtId="3" fontId="0" fillId="27" borderId="43" xfId="0" applyNumberFormat="1" applyFill="1" applyBorder="1" applyAlignment="1">
      <alignment horizontal="center" vertical="center"/>
    </xf>
    <xf numFmtId="3" fontId="0" fillId="27" borderId="45" xfId="0" applyNumberFormat="1" applyFill="1" applyBorder="1" applyAlignment="1">
      <alignment horizontal="center" vertical="center"/>
    </xf>
    <xf numFmtId="3" fontId="0" fillId="27" borderId="39" xfId="0" applyNumberFormat="1" applyFill="1" applyBorder="1" applyAlignment="1">
      <alignment horizontal="center" vertical="center"/>
    </xf>
    <xf numFmtId="3" fontId="0" fillId="27" borderId="50" xfId="0" applyNumberFormat="1" applyFill="1" applyBorder="1" applyAlignment="1">
      <alignment horizontal="center" vertical="center"/>
    </xf>
    <xf numFmtId="3" fontId="0" fillId="27" borderId="48" xfId="0" applyNumberFormat="1" applyFill="1" applyBorder="1" applyAlignment="1">
      <alignment horizontal="center" vertical="center"/>
    </xf>
    <xf numFmtId="171" fontId="0" fillId="27" borderId="74" xfId="0" applyNumberFormat="1" applyFill="1" applyBorder="1" applyAlignment="1">
      <alignment horizontal="center" vertical="center"/>
    </xf>
    <xf numFmtId="3" fontId="35" fillId="27" borderId="45" xfId="0" applyNumberFormat="1" applyFont="1" applyFill="1" applyBorder="1" applyAlignment="1">
      <alignment horizontal="center" vertical="center"/>
    </xf>
    <xf numFmtId="3" fontId="35" fillId="27" borderId="71" xfId="0" applyNumberFormat="1" applyFont="1" applyFill="1" applyBorder="1" applyAlignment="1">
      <alignment horizontal="center" vertical="center"/>
    </xf>
    <xf numFmtId="3" fontId="35" fillId="29" borderId="82" xfId="0" applyNumberFormat="1" applyFont="1" applyFill="1" applyBorder="1" applyAlignment="1">
      <alignment horizontal="center" vertical="center" wrapText="1" shrinkToFit="1"/>
    </xf>
    <xf numFmtId="3" fontId="35" fillId="29" borderId="87" xfId="0" applyNumberFormat="1" applyFont="1" applyFill="1" applyBorder="1" applyAlignment="1">
      <alignment horizontal="center" vertical="center" wrapText="1"/>
    </xf>
    <xf numFmtId="3" fontId="36" fillId="29" borderId="82" xfId="0" applyNumberFormat="1" applyFont="1" applyFill="1" applyBorder="1" applyAlignment="1">
      <alignment vertical="center"/>
    </xf>
    <xf numFmtId="3" fontId="35" fillId="29" borderId="83" xfId="0" applyNumberFormat="1" applyFont="1" applyFill="1" applyBorder="1" applyAlignment="1">
      <alignment horizontal="center" vertical="center" wrapText="1" shrinkToFit="1"/>
    </xf>
    <xf numFmtId="3" fontId="35" fillId="29" borderId="89" xfId="0" applyNumberFormat="1" applyFont="1" applyFill="1" applyBorder="1" applyAlignment="1">
      <alignment horizontal="center" vertical="center" wrapText="1" shrinkToFit="1"/>
    </xf>
    <xf numFmtId="38" fontId="26" fillId="0" borderId="95" xfId="190" applyNumberFormat="1" applyFont="1" applyBorder="1" applyAlignment="1">
      <alignment vertical="center"/>
    </xf>
    <xf numFmtId="0" fontId="25" fillId="0" borderId="0" xfId="190" applyFont="1" applyAlignment="1">
      <alignment horizontal="center" vertical="center"/>
    </xf>
    <xf numFmtId="0" fontId="25" fillId="0" borderId="80" xfId="190" applyFont="1" applyBorder="1" applyAlignment="1">
      <alignment vertical="center"/>
    </xf>
    <xf numFmtId="38" fontId="25" fillId="41" borderId="83" xfId="92" applyNumberFormat="1" applyFont="1" applyFill="1" applyBorder="1" applyAlignment="1">
      <alignment horizontal="center" vertical="center"/>
    </xf>
    <xf numFmtId="38" fontId="25" fillId="41" borderId="27" xfId="92" applyNumberFormat="1" applyFont="1" applyFill="1" applyBorder="1" applyAlignment="1">
      <alignment vertical="center"/>
    </xf>
    <xf numFmtId="168" fontId="26" fillId="27" borderId="69" xfId="190" applyNumberFormat="1" applyFont="1" applyFill="1" applyBorder="1" applyAlignment="1">
      <alignment horizontal="center" vertical="center"/>
    </xf>
    <xf numFmtId="2" fontId="26" fillId="27" borderId="25" xfId="190" applyNumberFormat="1" applyFont="1" applyFill="1" applyBorder="1" applyAlignment="1">
      <alignment horizontal="center" vertical="center"/>
    </xf>
    <xf numFmtId="166" fontId="26" fillId="27" borderId="69" xfId="190" applyNumberFormat="1" applyFont="1" applyFill="1" applyBorder="1" applyAlignment="1">
      <alignment horizontal="center" vertical="center"/>
    </xf>
    <xf numFmtId="0" fontId="64" fillId="41" borderId="97" xfId="190" applyFont="1" applyFill="1" applyBorder="1" applyAlignment="1">
      <alignment horizontal="center" vertical="center"/>
    </xf>
    <xf numFmtId="38" fontId="29" fillId="41" borderId="83" xfId="92" applyNumberFormat="1" applyFont="1" applyFill="1" applyBorder="1" applyAlignment="1">
      <alignment horizontal="center" vertical="center"/>
    </xf>
    <xf numFmtId="168" fontId="26" fillId="27" borderId="22" xfId="190" applyNumberFormat="1" applyFont="1" applyFill="1" applyBorder="1" applyAlignment="1">
      <alignment horizontal="center" vertical="center"/>
    </xf>
    <xf numFmtId="166" fontId="26" fillId="27" borderId="22" xfId="190" applyNumberFormat="1" applyFont="1" applyFill="1" applyBorder="1" applyAlignment="1">
      <alignment horizontal="center" vertical="center"/>
    </xf>
    <xf numFmtId="2" fontId="65" fillId="0" borderId="13" xfId="190" applyNumberFormat="1" applyFont="1" applyBorder="1" applyAlignment="1">
      <alignment vertical="center"/>
    </xf>
    <xf numFmtId="168" fontId="26" fillId="27" borderId="15" xfId="190" applyNumberFormat="1" applyFont="1" applyFill="1" applyBorder="1" applyAlignment="1">
      <alignment horizontal="center" vertical="center"/>
    </xf>
    <xf numFmtId="168" fontId="26" fillId="27" borderId="18" xfId="190" applyNumberFormat="1" applyFont="1" applyFill="1" applyBorder="1" applyAlignment="1">
      <alignment horizontal="center" vertical="center"/>
    </xf>
    <xf numFmtId="2" fontId="26" fillId="27" borderId="39" xfId="190" applyNumberFormat="1" applyFont="1" applyFill="1" applyBorder="1" applyAlignment="1">
      <alignment horizontal="center" vertical="center"/>
    </xf>
    <xf numFmtId="166" fontId="26" fillId="27" borderId="15" xfId="190" applyNumberFormat="1" applyFont="1" applyFill="1" applyBorder="1" applyAlignment="1">
      <alignment horizontal="center" vertical="center"/>
    </xf>
    <xf numFmtId="169" fontId="64" fillId="0" borderId="44" xfId="190" applyNumberFormat="1" applyFont="1" applyBorder="1" applyAlignment="1">
      <alignment vertical="center"/>
    </xf>
    <xf numFmtId="20" fontId="26" fillId="0" borderId="18" xfId="190" applyNumberFormat="1" applyFont="1" applyBorder="1" applyAlignment="1">
      <alignment horizontal="center" vertical="center"/>
    </xf>
    <xf numFmtId="43" fontId="26" fillId="27" borderId="95" xfId="91" applyFont="1" applyFill="1" applyBorder="1" applyAlignment="1">
      <alignment horizontal="center" vertical="center"/>
    </xf>
    <xf numFmtId="20" fontId="26" fillId="0" borderId="20" xfId="190" applyNumberFormat="1" applyFont="1" applyBorder="1" applyAlignment="1">
      <alignment horizontal="center" vertical="center"/>
    </xf>
    <xf numFmtId="169" fontId="64" fillId="0" borderId="13" xfId="190" applyNumberFormat="1" applyFont="1" applyBorder="1" applyAlignment="1">
      <alignment vertical="center"/>
    </xf>
    <xf numFmtId="0" fontId="64" fillId="0" borderId="13" xfId="190" applyFont="1" applyBorder="1" applyAlignment="1">
      <alignment horizontal="center" vertical="center"/>
    </xf>
    <xf numFmtId="2" fontId="78" fillId="0" borderId="13" xfId="190" applyNumberFormat="1" applyFont="1" applyBorder="1" applyAlignment="1">
      <alignment vertical="center"/>
    </xf>
    <xf numFmtId="0" fontId="87" fillId="0" borderId="13" xfId="190" applyFont="1" applyBorder="1" applyAlignment="1">
      <alignment vertical="center"/>
    </xf>
    <xf numFmtId="2" fontId="65" fillId="27" borderId="13" xfId="190" applyNumberFormat="1" applyFont="1" applyFill="1" applyBorder="1" applyAlignment="1">
      <alignment vertical="center"/>
    </xf>
    <xf numFmtId="169" fontId="64" fillId="0" borderId="37" xfId="190" applyNumberFormat="1" applyFont="1" applyBorder="1" applyAlignment="1">
      <alignment vertical="center"/>
    </xf>
    <xf numFmtId="0" fontId="30" fillId="0" borderId="0" xfId="190" applyFont="1" applyAlignment="1">
      <alignment horizontal="center" vertical="center"/>
    </xf>
    <xf numFmtId="4" fontId="25" fillId="0" borderId="0" xfId="190" quotePrefix="1" applyNumberFormat="1" applyFont="1" applyAlignment="1">
      <alignment vertical="center"/>
    </xf>
    <xf numFmtId="0" fontId="25" fillId="0" borderId="0" xfId="190" applyFont="1" applyAlignment="1">
      <alignment vertical="center" wrapText="1"/>
    </xf>
    <xf numFmtId="0" fontId="0" fillId="0" borderId="0" xfId="0" applyAlignment="1">
      <alignment vertical="center" wrapText="1"/>
    </xf>
    <xf numFmtId="38" fontId="26" fillId="0" borderId="97" xfId="190" applyNumberFormat="1" applyFont="1" applyBorder="1" applyAlignment="1">
      <alignment vertical="center"/>
    </xf>
    <xf numFmtId="173" fontId="68" fillId="27" borderId="60" xfId="0" applyNumberFormat="1" applyFont="1" applyFill="1" applyBorder="1" applyAlignment="1">
      <alignment horizontal="left" vertical="center"/>
    </xf>
    <xf numFmtId="173" fontId="68" fillId="27" borderId="0" xfId="0" applyNumberFormat="1" applyFont="1" applyFill="1" applyAlignment="1">
      <alignment horizontal="left" vertical="center"/>
    </xf>
    <xf numFmtId="173" fontId="68" fillId="27" borderId="46" xfId="0" applyNumberFormat="1" applyFont="1" applyFill="1" applyBorder="1" applyAlignment="1">
      <alignment horizontal="left" vertical="center"/>
    </xf>
    <xf numFmtId="0" fontId="29" fillId="27" borderId="60" xfId="0" applyFont="1" applyFill="1" applyBorder="1" applyAlignment="1">
      <alignment vertical="center"/>
    </xf>
    <xf numFmtId="0" fontId="33" fillId="27" borderId="0" xfId="0" applyFont="1" applyFill="1" applyAlignment="1">
      <alignment vertical="center"/>
    </xf>
    <xf numFmtId="0" fontId="29" fillId="27" borderId="0" xfId="0" applyFont="1" applyFill="1"/>
    <xf numFmtId="0" fontId="33" fillId="27" borderId="0" xfId="0" applyFont="1" applyFill="1" applyAlignment="1">
      <alignment horizontal="center" vertical="center"/>
    </xf>
    <xf numFmtId="38" fontId="33" fillId="27" borderId="0" xfId="0" applyNumberFormat="1" applyFont="1" applyFill="1" applyAlignment="1">
      <alignment vertical="center"/>
    </xf>
    <xf numFmtId="0" fontId="33" fillId="27" borderId="0" xfId="0" applyFont="1" applyFill="1" applyAlignment="1">
      <alignment horizontal="left" vertical="center"/>
    </xf>
    <xf numFmtId="0" fontId="29" fillId="27" borderId="0" xfId="0" applyFont="1" applyFill="1" applyAlignment="1">
      <alignment vertical="center"/>
    </xf>
    <xf numFmtId="0" fontId="29" fillId="27" borderId="46" xfId="0" applyFont="1" applyFill="1" applyBorder="1" applyAlignment="1">
      <alignment vertical="center"/>
    </xf>
    <xf numFmtId="0" fontId="84" fillId="27" borderId="0" xfId="0" quotePrefix="1" applyFont="1" applyFill="1" applyAlignment="1">
      <alignment vertical="center"/>
    </xf>
    <xf numFmtId="0" fontId="84" fillId="27" borderId="0" xfId="0" applyFont="1" applyFill="1"/>
    <xf numFmtId="0" fontId="84" fillId="27" borderId="0" xfId="0" applyFont="1" applyFill="1" applyAlignment="1">
      <alignment horizontal="center" vertical="center"/>
    </xf>
    <xf numFmtId="38" fontId="84" fillId="27" borderId="0" xfId="0" applyNumberFormat="1" applyFont="1" applyFill="1" applyAlignment="1">
      <alignment vertical="center"/>
    </xf>
    <xf numFmtId="0" fontId="84" fillId="27" borderId="0" xfId="0" applyFont="1" applyFill="1" applyAlignment="1">
      <alignment horizontal="left" vertical="center"/>
    </xf>
    <xf numFmtId="0" fontId="84" fillId="27" borderId="0" xfId="0" applyFont="1" applyFill="1" applyAlignment="1">
      <alignment vertical="center"/>
    </xf>
    <xf numFmtId="0" fontId="32" fillId="27" borderId="0" xfId="0" applyFont="1" applyFill="1" applyAlignment="1">
      <alignment vertical="center"/>
    </xf>
    <xf numFmtId="0" fontId="29" fillId="27" borderId="0" xfId="0" quotePrefix="1" applyFont="1" applyFill="1" applyAlignment="1">
      <alignment vertical="center"/>
    </xf>
    <xf numFmtId="0" fontId="29" fillId="27" borderId="0" xfId="0" applyFont="1" applyFill="1" applyAlignment="1">
      <alignment horizontal="center" vertical="center"/>
    </xf>
    <xf numFmtId="38" fontId="29" fillId="27" borderId="0" xfId="0" applyNumberFormat="1" applyFont="1" applyFill="1" applyAlignment="1">
      <alignment vertical="center"/>
    </xf>
    <xf numFmtId="0" fontId="29" fillId="27" borderId="0" xfId="0" applyFont="1" applyFill="1" applyAlignment="1">
      <alignment horizontal="left" vertical="center"/>
    </xf>
    <xf numFmtId="0" fontId="61" fillId="27" borderId="0" xfId="0" applyFont="1" applyFill="1" applyAlignment="1">
      <alignment vertical="center"/>
    </xf>
    <xf numFmtId="38" fontId="29" fillId="27" borderId="0" xfId="0" applyNumberFormat="1" applyFont="1" applyFill="1" applyAlignment="1">
      <alignment horizontal="right" vertical="center"/>
    </xf>
    <xf numFmtId="170" fontId="29" fillId="27" borderId="0" xfId="0" applyNumberFormat="1" applyFont="1" applyFill="1" applyAlignment="1">
      <alignment vertical="center"/>
    </xf>
    <xf numFmtId="170" fontId="29" fillId="27" borderId="0" xfId="0" applyNumberFormat="1" applyFont="1" applyFill="1" applyAlignment="1">
      <alignment horizontal="right" vertical="center"/>
    </xf>
    <xf numFmtId="170" fontId="34" fillId="27" borderId="0" xfId="0" applyNumberFormat="1" applyFont="1" applyFill="1" applyAlignment="1">
      <alignment vertical="center"/>
    </xf>
    <xf numFmtId="170" fontId="34" fillId="27" borderId="0" xfId="0" applyNumberFormat="1" applyFont="1" applyFill="1" applyAlignment="1">
      <alignment horizontal="right" vertical="center"/>
    </xf>
    <xf numFmtId="170" fontId="34" fillId="27" borderId="0" xfId="0" quotePrefix="1" applyNumberFormat="1" applyFont="1" applyFill="1" applyAlignment="1">
      <alignment vertical="center"/>
    </xf>
    <xf numFmtId="0" fontId="34" fillId="27" borderId="0" xfId="0" applyFont="1" applyFill="1" applyAlignment="1">
      <alignment horizontal="left" vertical="center"/>
    </xf>
    <xf numFmtId="0" fontId="34" fillId="27" borderId="0" xfId="0" applyFont="1" applyFill="1" applyAlignment="1">
      <alignment vertical="center"/>
    </xf>
    <xf numFmtId="0" fontId="28" fillId="27" borderId="0" xfId="0" applyFont="1" applyFill="1" applyAlignment="1">
      <alignment vertical="center"/>
    </xf>
    <xf numFmtId="166" fontId="29" fillId="27" borderId="0" xfId="0" applyNumberFormat="1" applyFont="1" applyFill="1" applyAlignment="1">
      <alignment vertical="center"/>
    </xf>
    <xf numFmtId="170" fontId="29" fillId="27" borderId="0" xfId="0" quotePrefix="1" applyNumberFormat="1" applyFont="1" applyFill="1" applyAlignment="1">
      <alignment vertical="center"/>
    </xf>
    <xf numFmtId="0" fontId="58" fillId="27" borderId="0" xfId="0" applyFont="1" applyFill="1" applyAlignment="1">
      <alignment vertical="center"/>
    </xf>
    <xf numFmtId="0" fontId="29" fillId="27" borderId="0" xfId="0" applyFont="1" applyFill="1" applyAlignment="1">
      <alignment horizontal="center"/>
    </xf>
    <xf numFmtId="170" fontId="31" fillId="27" borderId="0" xfId="0" applyNumberFormat="1" applyFont="1" applyFill="1"/>
    <xf numFmtId="170" fontId="29" fillId="27" borderId="0" xfId="0" applyNumberFormat="1" applyFont="1" applyFill="1"/>
    <xf numFmtId="0" fontId="0" fillId="27" borderId="0" xfId="0" applyFill="1"/>
    <xf numFmtId="0" fontId="0" fillId="27" borderId="0" xfId="0" applyFill="1" applyAlignment="1">
      <alignment horizontal="center"/>
    </xf>
    <xf numFmtId="43" fontId="26" fillId="27" borderId="18" xfId="91" applyFont="1" applyFill="1" applyBorder="1" applyAlignment="1">
      <alignment horizontal="center" vertical="center"/>
    </xf>
    <xf numFmtId="0" fontId="25" fillId="27" borderId="0" xfId="190" applyFont="1" applyFill="1" applyAlignment="1">
      <alignment horizontal="center" vertical="center"/>
    </xf>
    <xf numFmtId="38" fontId="26" fillId="27" borderId="0" xfId="190" applyNumberFormat="1" applyFont="1" applyFill="1" applyAlignment="1">
      <alignment horizontal="center" vertical="center"/>
    </xf>
    <xf numFmtId="9" fontId="26" fillId="27" borderId="0" xfId="134" applyFont="1" applyFill="1" applyBorder="1" applyAlignment="1">
      <alignment horizontal="center" vertical="center"/>
    </xf>
    <xf numFmtId="3" fontId="26" fillId="27" borderId="0" xfId="134" applyNumberFormat="1" applyFont="1" applyFill="1" applyBorder="1" applyAlignment="1">
      <alignment horizontal="center" vertical="center"/>
    </xf>
    <xf numFmtId="0" fontId="28" fillId="27" borderId="0" xfId="190" applyFont="1" applyFill="1" applyAlignment="1">
      <alignment vertical="center"/>
    </xf>
    <xf numFmtId="0" fontId="25" fillId="27" borderId="0" xfId="190" applyFont="1" applyFill="1" applyAlignment="1">
      <alignment vertical="center"/>
    </xf>
    <xf numFmtId="0" fontId="24" fillId="0" borderId="61" xfId="190" applyFont="1" applyBorder="1" applyAlignment="1">
      <alignment vertical="center"/>
    </xf>
    <xf numFmtId="0" fontId="24" fillId="0" borderId="62" xfId="190" applyFont="1" applyBorder="1" applyAlignment="1">
      <alignment vertical="center"/>
    </xf>
    <xf numFmtId="38" fontId="24" fillId="0" borderId="62" xfId="190" applyNumberFormat="1" applyFont="1" applyBorder="1" applyAlignment="1">
      <alignment vertical="center"/>
    </xf>
    <xf numFmtId="164" fontId="28" fillId="0" borderId="0" xfId="92" applyFont="1" applyBorder="1" applyAlignment="1">
      <alignment vertical="center"/>
    </xf>
    <xf numFmtId="3" fontId="28" fillId="0" borderId="0" xfId="190" applyNumberFormat="1" applyFont="1" applyAlignment="1">
      <alignment vertical="center"/>
    </xf>
    <xf numFmtId="0" fontId="24" fillId="27" borderId="0" xfId="190" applyFont="1" applyFill="1" applyAlignment="1">
      <alignment vertical="center"/>
    </xf>
    <xf numFmtId="164" fontId="28" fillId="27" borderId="0" xfId="92" applyFont="1" applyFill="1" applyAlignment="1">
      <alignment vertical="center"/>
    </xf>
    <xf numFmtId="0" fontId="24" fillId="27" borderId="0" xfId="190" applyFont="1" applyFill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right" vertical="center"/>
    </xf>
    <xf numFmtId="3" fontId="0" fillId="0" borderId="50" xfId="0" applyNumberFormat="1" applyBorder="1" applyAlignment="1">
      <alignment horizontal="center" vertical="center"/>
    </xf>
    <xf numFmtId="3" fontId="35" fillId="0" borderId="71" xfId="0" applyNumberFormat="1" applyFont="1" applyBorder="1" applyAlignment="1">
      <alignment horizontal="center" vertical="center"/>
    </xf>
    <xf numFmtId="3" fontId="36" fillId="44" borderId="81" xfId="0" applyNumberFormat="1" applyFont="1" applyFill="1" applyBorder="1" applyAlignment="1">
      <alignment horizontal="center" vertical="center"/>
    </xf>
    <xf numFmtId="3" fontId="36" fillId="44" borderId="83" xfId="0" applyNumberFormat="1" applyFont="1" applyFill="1" applyBorder="1" applyAlignment="1">
      <alignment horizontal="center" vertical="center"/>
    </xf>
    <xf numFmtId="3" fontId="36" fillId="44" borderId="92" xfId="0" applyNumberFormat="1" applyFont="1" applyFill="1" applyBorder="1" applyAlignment="1">
      <alignment horizontal="center" vertical="center"/>
    </xf>
    <xf numFmtId="3" fontId="36" fillId="44" borderId="86" xfId="0" applyNumberFormat="1" applyFont="1" applyFill="1" applyBorder="1" applyAlignment="1">
      <alignment horizontal="center" vertical="center"/>
    </xf>
    <xf numFmtId="3" fontId="36" fillId="44" borderId="87" xfId="0" applyNumberFormat="1" applyFont="1" applyFill="1" applyBorder="1" applyAlignment="1">
      <alignment horizontal="center" vertical="center"/>
    </xf>
    <xf numFmtId="3" fontId="36" fillId="44" borderId="94" xfId="0" applyNumberFormat="1" applyFont="1" applyFill="1" applyBorder="1" applyAlignment="1">
      <alignment horizontal="center" vertical="center"/>
    </xf>
    <xf numFmtId="3" fontId="0" fillId="0" borderId="59" xfId="0" applyNumberFormat="1" applyBorder="1" applyAlignment="1">
      <alignment horizontal="center" vertical="center"/>
    </xf>
    <xf numFmtId="170" fontId="0" fillId="0" borderId="62" xfId="0" applyNumberFormat="1" applyBorder="1" applyAlignment="1">
      <alignment horizontal="center" vertical="center"/>
    </xf>
    <xf numFmtId="3" fontId="0" fillId="0" borderId="63" xfId="0" applyNumberFormat="1" applyBorder="1" applyAlignment="1">
      <alignment horizontal="center" vertical="center"/>
    </xf>
    <xf numFmtId="171" fontId="0" fillId="0" borderId="91" xfId="0" applyNumberFormat="1" applyBorder="1" applyAlignment="1">
      <alignment horizontal="center" vertical="center"/>
    </xf>
    <xf numFmtId="3" fontId="0" fillId="0" borderId="83" xfId="0" applyNumberFormat="1" applyBorder="1" applyAlignment="1">
      <alignment horizontal="center" vertical="center"/>
    </xf>
    <xf numFmtId="3" fontId="36" fillId="0" borderId="46" xfId="0" applyNumberFormat="1" applyFont="1" applyBorder="1" applyAlignment="1">
      <alignment horizontal="center" vertical="center"/>
    </xf>
    <xf numFmtId="3" fontId="35" fillId="0" borderId="0" xfId="0" applyNumberFormat="1" applyFont="1" applyAlignment="1">
      <alignment vertical="center"/>
    </xf>
    <xf numFmtId="3" fontId="35" fillId="0" borderId="46" xfId="0" applyNumberFormat="1" applyFont="1" applyBorder="1" applyAlignment="1">
      <alignment vertical="center"/>
    </xf>
    <xf numFmtId="3" fontId="0" fillId="42" borderId="83" xfId="0" applyNumberFormat="1" applyFill="1" applyBorder="1" applyAlignment="1">
      <alignment horizontal="center" vertical="center"/>
    </xf>
    <xf numFmtId="0" fontId="71" fillId="0" borderId="0" xfId="0" applyFont="1" applyAlignment="1">
      <alignment vertical="center"/>
    </xf>
    <xf numFmtId="3" fontId="71" fillId="0" borderId="0" xfId="0" applyNumberFormat="1" applyFont="1" applyAlignment="1">
      <alignment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vertical="center"/>
    </xf>
    <xf numFmtId="0" fontId="71" fillId="0" borderId="0" xfId="0" applyFont="1" applyAlignment="1">
      <alignment horizontal="center" vertical="center"/>
    </xf>
    <xf numFmtId="3" fontId="62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1" fontId="62" fillId="0" borderId="61" xfId="0" applyNumberFormat="1" applyFont="1" applyBorder="1" applyAlignment="1">
      <alignment horizontal="center" vertical="center"/>
    </xf>
    <xf numFmtId="3" fontId="62" fillId="0" borderId="62" xfId="0" applyNumberFormat="1" applyFont="1" applyBorder="1" applyAlignment="1">
      <alignment horizontal="center" vertical="center"/>
    </xf>
    <xf numFmtId="3" fontId="69" fillId="0" borderId="62" xfId="0" applyNumberFormat="1" applyFont="1" applyBorder="1" applyAlignment="1">
      <alignment horizontal="center" vertical="center"/>
    </xf>
    <xf numFmtId="3" fontId="3" fillId="0" borderId="62" xfId="0" applyNumberFormat="1" applyFont="1" applyBorder="1" applyAlignment="1">
      <alignment horizontal="center" vertical="center"/>
    </xf>
    <xf numFmtId="171" fontId="62" fillId="0" borderId="0" xfId="0" applyNumberFormat="1" applyFont="1" applyAlignment="1">
      <alignment horizontal="center" vertical="center"/>
    </xf>
    <xf numFmtId="171" fontId="0" fillId="27" borderId="91" xfId="0" applyNumberFormat="1" applyFill="1" applyBorder="1" applyAlignment="1">
      <alignment horizontal="center" vertical="center"/>
    </xf>
    <xf numFmtId="3" fontId="0" fillId="27" borderId="83" xfId="0" applyNumberFormat="1" applyFill="1" applyBorder="1" applyAlignment="1">
      <alignment horizontal="center" vertical="center"/>
    </xf>
    <xf numFmtId="3" fontId="35" fillId="30" borderId="87" xfId="0" applyNumberFormat="1" applyFont="1" applyFill="1" applyBorder="1" applyAlignment="1">
      <alignment horizontal="center" vertical="center" wrapText="1"/>
    </xf>
    <xf numFmtId="3" fontId="36" fillId="30" borderId="83" xfId="0" applyNumberFormat="1" applyFont="1" applyFill="1" applyBorder="1" applyAlignment="1">
      <alignment vertical="center"/>
    </xf>
    <xf numFmtId="0" fontId="35" fillId="0" borderId="83" xfId="0" applyFont="1" applyBorder="1" applyAlignment="1">
      <alignment horizontal="center" vertical="center" wrapText="1"/>
    </xf>
    <xf numFmtId="171" fontId="0" fillId="27" borderId="60" xfId="0" applyNumberFormat="1" applyFill="1" applyBorder="1" applyAlignment="1">
      <alignment horizontal="center" vertical="center"/>
    </xf>
    <xf numFmtId="3" fontId="0" fillId="27" borderId="0" xfId="0" applyNumberFormat="1" applyFill="1" applyAlignment="1">
      <alignment horizontal="center" vertical="center"/>
    </xf>
    <xf numFmtId="3" fontId="35" fillId="0" borderId="46" xfId="0" applyNumberFormat="1" applyFon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3" fontId="57" fillId="0" borderId="0" xfId="0" applyNumberFormat="1" applyFont="1" applyAlignment="1">
      <alignment horizontal="center" vertical="center" wrapText="1"/>
    </xf>
    <xf numFmtId="3" fontId="63" fillId="0" borderId="0" xfId="0" applyNumberFormat="1" applyFont="1" applyAlignment="1">
      <alignment horizontal="center" vertical="center"/>
    </xf>
    <xf numFmtId="3" fontId="24" fillId="0" borderId="37" xfId="0" applyNumberFormat="1" applyFont="1" applyBorder="1" applyAlignment="1">
      <alignment horizontal="center" vertical="center"/>
    </xf>
    <xf numFmtId="3" fontId="24" fillId="0" borderId="17" xfId="0" applyNumberFormat="1" applyFont="1" applyBorder="1" applyAlignment="1">
      <alignment horizontal="center" vertical="center"/>
    </xf>
    <xf numFmtId="3" fontId="24" fillId="0" borderId="0" xfId="0" applyNumberFormat="1" applyFont="1" applyAlignment="1">
      <alignment horizontal="left"/>
    </xf>
    <xf numFmtId="3" fontId="24" fillId="0" borderId="0" xfId="0" applyNumberFormat="1" applyFont="1"/>
    <xf numFmtId="0" fontId="88" fillId="40" borderId="62" xfId="0" applyFont="1" applyFill="1" applyBorder="1" applyAlignment="1">
      <alignment vertical="center"/>
    </xf>
    <xf numFmtId="3" fontId="3" fillId="0" borderId="20" xfId="0" applyNumberFormat="1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36" fillId="29" borderId="81" xfId="0" applyNumberFormat="1" applyFont="1" applyFill="1" applyBorder="1" applyAlignment="1">
      <alignment horizontal="center" vertical="center"/>
    </xf>
    <xf numFmtId="38" fontId="26" fillId="41" borderId="20" xfId="92" applyNumberFormat="1" applyFont="1" applyFill="1" applyBorder="1" applyAlignment="1">
      <alignment horizontal="center" vertical="center"/>
    </xf>
    <xf numFmtId="3" fontId="35" fillId="0" borderId="100" xfId="0" applyNumberFormat="1" applyFon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3" fontId="36" fillId="29" borderId="83" xfId="0" applyNumberFormat="1" applyFont="1" applyFill="1" applyBorder="1" applyAlignment="1">
      <alignment vertical="center"/>
    </xf>
    <xf numFmtId="43" fontId="26" fillId="27" borderId="36" xfId="91" applyFont="1" applyFill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170" fontId="0" fillId="45" borderId="0" xfId="0" applyNumberFormat="1" applyFill="1" applyAlignment="1">
      <alignment horizontal="center" vertical="center"/>
    </xf>
    <xf numFmtId="38" fontId="30" fillId="0" borderId="18" xfId="92" applyNumberFormat="1" applyFont="1" applyFill="1" applyBorder="1" applyAlignment="1">
      <alignment horizontal="center" vertical="center"/>
    </xf>
    <xf numFmtId="168" fontId="26" fillId="0" borderId="25" xfId="0" applyNumberFormat="1" applyFont="1" applyBorder="1" applyAlignment="1">
      <alignment horizontal="center" vertical="center"/>
    </xf>
    <xf numFmtId="168" fontId="26" fillId="27" borderId="36" xfId="190" applyNumberFormat="1" applyFont="1" applyFill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3" fontId="0" fillId="0" borderId="43" xfId="0" applyNumberFormat="1" applyBorder="1" applyAlignment="1">
      <alignment horizontal="center" vertical="center"/>
    </xf>
    <xf numFmtId="0" fontId="25" fillId="41" borderId="41" xfId="190" applyFont="1" applyFill="1" applyBorder="1" applyAlignment="1">
      <alignment horizontal="center" vertical="center"/>
    </xf>
    <xf numFmtId="0" fontId="35" fillId="0" borderId="82" xfId="0" applyFont="1" applyBorder="1" applyAlignment="1">
      <alignment horizontal="center" vertical="center" wrapText="1"/>
    </xf>
    <xf numFmtId="0" fontId="35" fillId="0" borderId="82" xfId="0" applyFont="1" applyBorder="1" applyAlignment="1">
      <alignment vertical="center" wrapText="1"/>
    </xf>
    <xf numFmtId="0" fontId="35" fillId="0" borderId="81" xfId="0" applyFont="1" applyBorder="1" applyAlignment="1">
      <alignment vertical="center" wrapText="1"/>
    </xf>
    <xf numFmtId="3" fontId="36" fillId="0" borderId="83" xfId="0" applyNumberFormat="1" applyFont="1" applyBorder="1" applyAlignment="1">
      <alignment horizontal="center" vertical="center"/>
    </xf>
    <xf numFmtId="3" fontId="36" fillId="0" borderId="83" xfId="0" applyNumberFormat="1" applyFont="1" applyBorder="1" applyAlignment="1">
      <alignment vertical="center"/>
    </xf>
    <xf numFmtId="38" fontId="26" fillId="41" borderId="13" xfId="190" applyNumberFormat="1" applyFont="1" applyFill="1" applyBorder="1" applyAlignment="1">
      <alignment vertical="center"/>
    </xf>
    <xf numFmtId="38" fontId="26" fillId="0" borderId="98" xfId="190" applyNumberFormat="1" applyFont="1" applyBorder="1" applyAlignment="1">
      <alignment vertical="center"/>
    </xf>
    <xf numFmtId="38" fontId="26" fillId="41" borderId="13" xfId="92" applyNumberFormat="1" applyFont="1" applyFill="1" applyBorder="1" applyAlignment="1">
      <alignment vertical="center"/>
    </xf>
    <xf numFmtId="38" fontId="26" fillId="41" borderId="20" xfId="92" applyNumberFormat="1" applyFont="1" applyFill="1" applyBorder="1" applyAlignment="1">
      <alignment vertical="center"/>
    </xf>
    <xf numFmtId="0" fontId="25" fillId="41" borderId="95" xfId="190" quotePrefix="1" applyFont="1" applyFill="1" applyBorder="1" applyAlignment="1">
      <alignment horizontal="center" vertical="center"/>
    </xf>
    <xf numFmtId="9" fontId="26" fillId="0" borderId="19" xfId="134" applyFont="1" applyBorder="1" applyAlignment="1">
      <alignment vertical="center"/>
    </xf>
    <xf numFmtId="9" fontId="26" fillId="0" borderId="68" xfId="134" applyFont="1" applyBorder="1" applyAlignment="1">
      <alignment vertical="center"/>
    </xf>
    <xf numFmtId="9" fontId="26" fillId="0" borderId="36" xfId="134" applyFont="1" applyBorder="1" applyAlignment="1">
      <alignment vertical="center"/>
    </xf>
    <xf numFmtId="38" fontId="26" fillId="41" borderId="20" xfId="190" applyNumberFormat="1" applyFont="1" applyFill="1" applyBorder="1" applyAlignment="1">
      <alignment vertical="center"/>
    </xf>
    <xf numFmtId="3" fontId="35" fillId="29" borderId="84" xfId="0" applyNumberFormat="1" applyFont="1" applyFill="1" applyBorder="1" applyAlignment="1">
      <alignment horizontal="center" vertical="center" wrapText="1" shrinkToFit="1"/>
    </xf>
    <xf numFmtId="3" fontId="35" fillId="34" borderId="101" xfId="0" applyNumberFormat="1" applyFont="1" applyFill="1" applyBorder="1" applyAlignment="1">
      <alignment horizontal="center" vertical="center" wrapText="1"/>
    </xf>
    <xf numFmtId="3" fontId="36" fillId="0" borderId="87" xfId="0" applyNumberFormat="1" applyFont="1" applyBorder="1" applyAlignment="1">
      <alignment vertical="center"/>
    </xf>
    <xf numFmtId="3" fontId="36" fillId="30" borderId="87" xfId="0" applyNumberFormat="1" applyFont="1" applyFill="1" applyBorder="1" applyAlignment="1">
      <alignment vertical="center"/>
    </xf>
    <xf numFmtId="3" fontId="0" fillId="0" borderId="13" xfId="0" applyNumberFormat="1" applyBorder="1" applyAlignment="1">
      <alignment vertical="center"/>
    </xf>
    <xf numFmtId="3" fontId="36" fillId="29" borderId="80" xfId="0" applyNumberFormat="1" applyFont="1" applyFill="1" applyBorder="1" applyAlignment="1">
      <alignment vertical="center"/>
    </xf>
    <xf numFmtId="3" fontId="36" fillId="29" borderId="84" xfId="0" applyNumberFormat="1" applyFont="1" applyFill="1" applyBorder="1" applyAlignment="1">
      <alignment vertical="center"/>
    </xf>
    <xf numFmtId="3" fontId="36" fillId="29" borderId="87" xfId="0" applyNumberFormat="1" applyFont="1" applyFill="1" applyBorder="1" applyAlignment="1">
      <alignment vertical="center"/>
    </xf>
    <xf numFmtId="3" fontId="36" fillId="31" borderId="82" xfId="0" applyNumberFormat="1" applyFont="1" applyFill="1" applyBorder="1" applyAlignment="1">
      <alignment vertical="center"/>
    </xf>
    <xf numFmtId="3" fontId="36" fillId="31" borderId="84" xfId="0" applyNumberFormat="1" applyFont="1" applyFill="1" applyBorder="1" applyAlignment="1">
      <alignment vertical="center"/>
    </xf>
    <xf numFmtId="3" fontId="36" fillId="31" borderId="83" xfId="0" applyNumberFormat="1" applyFont="1" applyFill="1" applyBorder="1" applyAlignment="1">
      <alignment vertical="center"/>
    </xf>
    <xf numFmtId="3" fontId="36" fillId="31" borderId="87" xfId="0" applyNumberFormat="1" applyFont="1" applyFill="1" applyBorder="1" applyAlignment="1">
      <alignment vertical="center"/>
    </xf>
    <xf numFmtId="3" fontId="35" fillId="43" borderId="87" xfId="0" applyNumberFormat="1" applyFont="1" applyFill="1" applyBorder="1" applyAlignment="1">
      <alignment horizontal="center" vertical="center" wrapText="1" shrinkToFit="1"/>
    </xf>
    <xf numFmtId="3" fontId="35" fillId="43" borderId="87" xfId="0" applyNumberFormat="1" applyFont="1" applyFill="1" applyBorder="1" applyAlignment="1">
      <alignment vertical="center" wrapText="1" shrinkToFit="1"/>
    </xf>
    <xf numFmtId="3" fontId="35" fillId="32" borderId="87" xfId="0" applyNumberFormat="1" applyFont="1" applyFill="1" applyBorder="1" applyAlignment="1">
      <alignment vertical="center" wrapText="1" shrinkToFit="1"/>
    </xf>
    <xf numFmtId="3" fontId="35" fillId="28" borderId="87" xfId="0" applyNumberFormat="1" applyFont="1" applyFill="1" applyBorder="1" applyAlignment="1">
      <alignment vertical="center" wrapText="1" shrinkToFit="1"/>
    </xf>
    <xf numFmtId="170" fontId="0" fillId="46" borderId="0" xfId="0" applyNumberFormat="1" applyFill="1" applyAlignment="1">
      <alignment horizontal="center" vertical="center"/>
    </xf>
    <xf numFmtId="38" fontId="26" fillId="46" borderId="20" xfId="190" applyNumberFormat="1" applyFont="1" applyFill="1" applyBorder="1" applyAlignment="1">
      <alignment horizontal="right" vertical="center"/>
    </xf>
    <xf numFmtId="38" fontId="26" fillId="46" borderId="19" xfId="190" applyNumberFormat="1" applyFont="1" applyFill="1" applyBorder="1" applyAlignment="1">
      <alignment horizontal="right" vertical="center"/>
    </xf>
    <xf numFmtId="38" fontId="26" fillId="46" borderId="37" xfId="190" applyNumberFormat="1" applyFont="1" applyFill="1" applyBorder="1" applyAlignment="1">
      <alignment horizontal="right" vertical="center"/>
    </xf>
    <xf numFmtId="38" fontId="26" fillId="46" borderId="20" xfId="190" applyNumberFormat="1" applyFont="1" applyFill="1" applyBorder="1" applyAlignment="1">
      <alignment vertical="center"/>
    </xf>
    <xf numFmtId="38" fontId="26" fillId="46" borderId="13" xfId="190" applyNumberFormat="1" applyFont="1" applyFill="1" applyBorder="1" applyAlignment="1">
      <alignment vertical="center"/>
    </xf>
    <xf numFmtId="38" fontId="26" fillId="46" borderId="32" xfId="190" applyNumberFormat="1" applyFont="1" applyFill="1" applyBorder="1" applyAlignment="1">
      <alignment horizontal="right" vertical="center"/>
    </xf>
    <xf numFmtId="38" fontId="79" fillId="46" borderId="20" xfId="190" applyNumberFormat="1" applyFont="1" applyFill="1" applyBorder="1" applyAlignment="1">
      <alignment horizontal="right" vertical="center"/>
    </xf>
    <xf numFmtId="38" fontId="26" fillId="46" borderId="18" xfId="190" applyNumberFormat="1" applyFont="1" applyFill="1" applyBorder="1" applyAlignment="1">
      <alignment horizontal="right" vertical="center"/>
    </xf>
    <xf numFmtId="38" fontId="26" fillId="46" borderId="44" xfId="190" applyNumberFormat="1" applyFont="1" applyFill="1" applyBorder="1" applyAlignment="1">
      <alignment horizontal="right" vertical="center"/>
    </xf>
    <xf numFmtId="3" fontId="26" fillId="46" borderId="38" xfId="190" applyNumberFormat="1" applyFont="1" applyFill="1" applyBorder="1" applyAlignment="1">
      <alignment vertical="center"/>
    </xf>
    <xf numFmtId="3" fontId="26" fillId="46" borderId="44" xfId="190" applyNumberFormat="1" applyFont="1" applyFill="1" applyBorder="1" applyAlignment="1">
      <alignment vertical="center"/>
    </xf>
    <xf numFmtId="3" fontId="26" fillId="46" borderId="38" xfId="190" applyNumberFormat="1" applyFont="1" applyFill="1" applyBorder="1" applyAlignment="1">
      <alignment horizontal="center" vertical="center"/>
    </xf>
    <xf numFmtId="3" fontId="26" fillId="46" borderId="44" xfId="190" applyNumberFormat="1" applyFont="1" applyFill="1" applyBorder="1" applyAlignment="1">
      <alignment horizontal="center" vertical="center"/>
    </xf>
    <xf numFmtId="3" fontId="26" fillId="48" borderId="41" xfId="190" applyNumberFormat="1" applyFont="1" applyFill="1" applyBorder="1" applyAlignment="1">
      <alignment vertical="center"/>
    </xf>
    <xf numFmtId="3" fontId="26" fillId="48" borderId="41" xfId="190" applyNumberFormat="1" applyFont="1" applyFill="1" applyBorder="1" applyAlignment="1">
      <alignment horizontal="center" vertical="center"/>
    </xf>
    <xf numFmtId="3" fontId="26" fillId="47" borderId="29" xfId="92" quotePrefix="1" applyNumberFormat="1" applyFont="1" applyFill="1" applyBorder="1" applyAlignment="1">
      <alignment horizontal="center" vertical="center"/>
    </xf>
    <xf numFmtId="3" fontId="26" fillId="47" borderId="29" xfId="190" applyNumberFormat="1" applyFont="1" applyFill="1" applyBorder="1" applyAlignment="1">
      <alignment horizontal="center" vertical="center"/>
    </xf>
    <xf numFmtId="3" fontId="26" fillId="47" borderId="29" xfId="92" applyNumberFormat="1" applyFont="1" applyFill="1" applyBorder="1" applyAlignment="1">
      <alignment horizontal="center" vertical="center"/>
    </xf>
    <xf numFmtId="168" fontId="26" fillId="27" borderId="48" xfId="190" applyNumberFormat="1" applyFont="1" applyFill="1" applyBorder="1" applyAlignment="1">
      <alignment horizontal="center" vertical="center"/>
    </xf>
    <xf numFmtId="168" fontId="26" fillId="27" borderId="39" xfId="190" applyNumberFormat="1" applyFont="1" applyFill="1" applyBorder="1" applyAlignment="1">
      <alignment horizontal="center" vertical="center"/>
    </xf>
    <xf numFmtId="2" fontId="26" fillId="27" borderId="29" xfId="190" applyNumberFormat="1" applyFont="1" applyFill="1" applyBorder="1" applyAlignment="1">
      <alignment horizontal="center" vertical="center"/>
    </xf>
    <xf numFmtId="166" fontId="26" fillId="27" borderId="48" xfId="190" applyNumberFormat="1" applyFont="1" applyFill="1" applyBorder="1" applyAlignment="1">
      <alignment horizontal="center" vertical="center"/>
    </xf>
    <xf numFmtId="38" fontId="25" fillId="41" borderId="88" xfId="92" applyNumberFormat="1" applyFont="1" applyFill="1" applyBorder="1" applyAlignment="1">
      <alignment horizontal="center" vertical="center"/>
    </xf>
    <xf numFmtId="38" fontId="25" fillId="41" borderId="102" xfId="92" applyNumberFormat="1" applyFont="1" applyFill="1" applyBorder="1" applyAlignment="1">
      <alignment horizontal="center" vertical="center"/>
    </xf>
    <xf numFmtId="3" fontId="0" fillId="0" borderId="48" xfId="0" applyNumberFormat="1" applyBorder="1" applyAlignment="1">
      <alignment horizontal="right" vertical="center"/>
    </xf>
    <xf numFmtId="3" fontId="0" fillId="0" borderId="39" xfId="0" applyNumberFormat="1" applyBorder="1" applyAlignment="1">
      <alignment horizontal="right" vertical="center"/>
    </xf>
    <xf numFmtId="3" fontId="0" fillId="0" borderId="50" xfId="0" applyNumberFormat="1" applyBorder="1" applyAlignment="1">
      <alignment horizontal="right" vertical="center"/>
    </xf>
    <xf numFmtId="3" fontId="0" fillId="0" borderId="43" xfId="0" applyNumberFormat="1" applyBorder="1" applyAlignment="1">
      <alignment horizontal="right" vertical="center"/>
    </xf>
    <xf numFmtId="3" fontId="0" fillId="0" borderId="45" xfId="0" applyNumberFormat="1" applyBorder="1" applyAlignment="1">
      <alignment horizontal="right" vertical="center"/>
    </xf>
    <xf numFmtId="3" fontId="35" fillId="0" borderId="45" xfId="0" applyNumberFormat="1" applyFont="1" applyBorder="1" applyAlignment="1">
      <alignment horizontal="right" vertical="center"/>
    </xf>
    <xf numFmtId="3" fontId="35" fillId="0" borderId="71" xfId="0" applyNumberFormat="1" applyFont="1" applyBorder="1" applyAlignment="1">
      <alignment horizontal="right" vertical="center"/>
    </xf>
    <xf numFmtId="3" fontId="0" fillId="0" borderId="22" xfId="0" applyNumberFormat="1" applyBorder="1" applyAlignment="1">
      <alignment horizontal="right" vertical="center"/>
    </xf>
    <xf numFmtId="3" fontId="0" fillId="0" borderId="20" xfId="0" applyNumberFormat="1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3" fontId="0" fillId="0" borderId="23" xfId="0" applyNumberFormat="1" applyBorder="1" applyAlignment="1">
      <alignment horizontal="right" vertical="center"/>
    </xf>
    <xf numFmtId="3" fontId="0" fillId="0" borderId="32" xfId="0" applyNumberFormat="1" applyBorder="1" applyAlignment="1">
      <alignment horizontal="right" vertical="center"/>
    </xf>
    <xf numFmtId="3" fontId="35" fillId="0" borderId="32" xfId="0" applyNumberFormat="1" applyFont="1" applyBorder="1" applyAlignment="1">
      <alignment horizontal="right" vertical="center"/>
    </xf>
    <xf numFmtId="3" fontId="35" fillId="0" borderId="31" xfId="0" applyNumberFormat="1" applyFont="1" applyBorder="1" applyAlignment="1">
      <alignment horizontal="right" vertical="center"/>
    </xf>
    <xf numFmtId="3" fontId="37" fillId="0" borderId="32" xfId="0" applyNumberFormat="1" applyFont="1" applyBorder="1" applyAlignment="1">
      <alignment horizontal="right" vertical="center"/>
    </xf>
    <xf numFmtId="3" fontId="37" fillId="0" borderId="20" xfId="0" applyNumberFormat="1" applyFont="1" applyBorder="1" applyAlignment="1">
      <alignment horizontal="right" vertical="center"/>
    </xf>
    <xf numFmtId="3" fontId="3" fillId="0" borderId="20" xfId="0" applyNumberFormat="1" applyFont="1" applyBorder="1" applyAlignment="1">
      <alignment horizontal="right" vertical="center"/>
    </xf>
    <xf numFmtId="3" fontId="3" fillId="0" borderId="32" xfId="0" applyNumberFormat="1" applyFont="1" applyBorder="1" applyAlignment="1">
      <alignment horizontal="right" vertical="center"/>
    </xf>
    <xf numFmtId="3" fontId="0" fillId="0" borderId="36" xfId="0" applyNumberFormat="1" applyBorder="1" applyAlignment="1">
      <alignment horizontal="right" vertical="center"/>
    </xf>
    <xf numFmtId="3" fontId="0" fillId="0" borderId="29" xfId="0" applyNumberFormat="1" applyBorder="1" applyAlignment="1">
      <alignment horizontal="right" vertical="center"/>
    </xf>
    <xf numFmtId="3" fontId="0" fillId="0" borderId="37" xfId="0" applyNumberFormat="1" applyBorder="1" applyAlignment="1">
      <alignment horizontal="right" vertical="center"/>
    </xf>
    <xf numFmtId="3" fontId="0" fillId="0" borderId="40" xfId="0" applyNumberFormat="1" applyBorder="1" applyAlignment="1">
      <alignment horizontal="right" vertical="center"/>
    </xf>
    <xf numFmtId="3" fontId="0" fillId="0" borderId="35" xfId="0" applyNumberFormat="1" applyBorder="1" applyAlignment="1">
      <alignment horizontal="right" vertical="center"/>
    </xf>
    <xf numFmtId="3" fontId="35" fillId="0" borderId="56" xfId="0" applyNumberFormat="1" applyFont="1" applyBorder="1" applyAlignment="1">
      <alignment horizontal="right" vertical="center"/>
    </xf>
    <xf numFmtId="3" fontId="36" fillId="29" borderId="83" xfId="0" applyNumberFormat="1" applyFont="1" applyFill="1" applyBorder="1" applyAlignment="1">
      <alignment horizontal="right" vertical="center"/>
    </xf>
    <xf numFmtId="3" fontId="36" fillId="26" borderId="83" xfId="0" applyNumberFormat="1" applyFont="1" applyFill="1" applyBorder="1" applyAlignment="1">
      <alignment horizontal="right" vertical="center"/>
    </xf>
    <xf numFmtId="3" fontId="36" fillId="32" borderId="83" xfId="0" applyNumberFormat="1" applyFont="1" applyFill="1" applyBorder="1" applyAlignment="1">
      <alignment horizontal="right" vertical="center"/>
    </xf>
    <xf numFmtId="3" fontId="36" fillId="28" borderId="83" xfId="0" applyNumberFormat="1" applyFont="1" applyFill="1" applyBorder="1" applyAlignment="1">
      <alignment horizontal="right" vertical="center"/>
    </xf>
    <xf numFmtId="3" fontId="36" fillId="0" borderId="83" xfId="0" applyNumberFormat="1" applyFont="1" applyBorder="1" applyAlignment="1">
      <alignment horizontal="right" vertical="center"/>
    </xf>
    <xf numFmtId="3" fontId="36" fillId="30" borderId="83" xfId="0" applyNumberFormat="1" applyFont="1" applyFill="1" applyBorder="1" applyAlignment="1">
      <alignment horizontal="right" vertical="center"/>
    </xf>
    <xf numFmtId="3" fontId="36" fillId="34" borderId="83" xfId="0" applyNumberFormat="1" applyFont="1" applyFill="1" applyBorder="1" applyAlignment="1">
      <alignment horizontal="right" vertical="center"/>
    </xf>
    <xf numFmtId="3" fontId="36" fillId="37" borderId="83" xfId="0" applyNumberFormat="1" applyFont="1" applyFill="1" applyBorder="1" applyAlignment="1">
      <alignment horizontal="right" vertical="center"/>
    </xf>
    <xf numFmtId="3" fontId="36" fillId="38" borderId="83" xfId="0" applyNumberFormat="1" applyFont="1" applyFill="1" applyBorder="1" applyAlignment="1">
      <alignment horizontal="right" vertical="center"/>
    </xf>
    <xf numFmtId="3" fontId="36" fillId="35" borderId="92" xfId="0" applyNumberFormat="1" applyFont="1" applyFill="1" applyBorder="1" applyAlignment="1">
      <alignment horizontal="right" vertical="center"/>
    </xf>
    <xf numFmtId="3" fontId="36" fillId="44" borderId="81" xfId="0" applyNumberFormat="1" applyFont="1" applyFill="1" applyBorder="1" applyAlignment="1">
      <alignment horizontal="right" vertical="center"/>
    </xf>
    <xf numFmtId="3" fontId="36" fillId="44" borderId="83" xfId="0" applyNumberFormat="1" applyFont="1" applyFill="1" applyBorder="1" applyAlignment="1">
      <alignment horizontal="right" vertical="center"/>
    </xf>
    <xf numFmtId="3" fontId="36" fillId="44" borderId="92" xfId="0" applyNumberFormat="1" applyFont="1" applyFill="1" applyBorder="1" applyAlignment="1">
      <alignment horizontal="right" vertical="center"/>
    </xf>
    <xf numFmtId="3" fontId="36" fillId="29" borderId="82" xfId="0" applyNumberFormat="1" applyFont="1" applyFill="1" applyBorder="1" applyAlignment="1">
      <alignment horizontal="right" vertical="center"/>
    </xf>
    <xf numFmtId="3" fontId="36" fillId="29" borderId="80" xfId="0" applyNumberFormat="1" applyFont="1" applyFill="1" applyBorder="1" applyAlignment="1">
      <alignment horizontal="right" vertical="center"/>
    </xf>
    <xf numFmtId="3" fontId="36" fillId="31" borderId="82" xfId="0" applyNumberFormat="1" applyFont="1" applyFill="1" applyBorder="1" applyAlignment="1">
      <alignment horizontal="right" vertical="center"/>
    </xf>
    <xf numFmtId="3" fontId="36" fillId="31" borderId="83" xfId="0" applyNumberFormat="1" applyFont="1" applyFill="1" applyBorder="1" applyAlignment="1">
      <alignment horizontal="right" vertical="center"/>
    </xf>
    <xf numFmtId="3" fontId="36" fillId="29" borderId="84" xfId="0" applyNumberFormat="1" applyFont="1" applyFill="1" applyBorder="1" applyAlignment="1">
      <alignment horizontal="right" vertical="center"/>
    </xf>
    <xf numFmtId="3" fontId="36" fillId="29" borderId="87" xfId="0" applyNumberFormat="1" applyFont="1" applyFill="1" applyBorder="1" applyAlignment="1">
      <alignment horizontal="right" vertical="center"/>
    </xf>
    <xf numFmtId="3" fontId="36" fillId="31" borderId="84" xfId="0" applyNumberFormat="1" applyFont="1" applyFill="1" applyBorder="1" applyAlignment="1">
      <alignment horizontal="right" vertical="center"/>
    </xf>
    <xf numFmtId="3" fontId="36" fillId="31" borderId="87" xfId="0" applyNumberFormat="1" applyFont="1" applyFill="1" applyBorder="1" applyAlignment="1">
      <alignment horizontal="right" vertical="center"/>
    </xf>
    <xf numFmtId="3" fontId="36" fillId="0" borderId="87" xfId="0" applyNumberFormat="1" applyFont="1" applyBorder="1" applyAlignment="1">
      <alignment horizontal="right" vertical="center"/>
    </xf>
    <xf numFmtId="3" fontId="36" fillId="30" borderId="87" xfId="0" applyNumberFormat="1" applyFont="1" applyFill="1" applyBorder="1" applyAlignment="1">
      <alignment horizontal="right" vertical="center"/>
    </xf>
    <xf numFmtId="3" fontId="36" fillId="34" borderId="87" xfId="0" applyNumberFormat="1" applyFont="1" applyFill="1" applyBorder="1" applyAlignment="1">
      <alignment horizontal="right" vertical="center"/>
    </xf>
    <xf numFmtId="3" fontId="36" fillId="37" borderId="87" xfId="0" applyNumberFormat="1" applyFont="1" applyFill="1" applyBorder="1" applyAlignment="1">
      <alignment horizontal="right" vertical="center"/>
    </xf>
    <xf numFmtId="3" fontId="36" fillId="38" borderId="87" xfId="0" applyNumberFormat="1" applyFont="1" applyFill="1" applyBorder="1" applyAlignment="1">
      <alignment horizontal="right" vertical="center"/>
    </xf>
    <xf numFmtId="3" fontId="36" fillId="35" borderId="94" xfId="0" applyNumberFormat="1" applyFont="1" applyFill="1" applyBorder="1" applyAlignment="1">
      <alignment horizontal="right" vertical="center"/>
    </xf>
    <xf numFmtId="3" fontId="36" fillId="44" borderId="86" xfId="0" applyNumberFormat="1" applyFont="1" applyFill="1" applyBorder="1" applyAlignment="1">
      <alignment horizontal="right" vertical="center"/>
    </xf>
    <xf numFmtId="3" fontId="36" fillId="44" borderId="87" xfId="0" applyNumberFormat="1" applyFont="1" applyFill="1" applyBorder="1" applyAlignment="1">
      <alignment horizontal="right" vertical="center"/>
    </xf>
    <xf numFmtId="3" fontId="36" fillId="44" borderId="94" xfId="0" applyNumberFormat="1" applyFont="1" applyFill="1" applyBorder="1" applyAlignment="1">
      <alignment horizontal="right" vertical="center"/>
    </xf>
    <xf numFmtId="3" fontId="0" fillId="0" borderId="83" xfId="0" applyNumberFormat="1" applyBorder="1" applyAlignment="1">
      <alignment horizontal="right" vertical="center"/>
    </xf>
    <xf numFmtId="3" fontId="0" fillId="27" borderId="83" xfId="0" applyNumberFormat="1" applyFill="1" applyBorder="1" applyAlignment="1">
      <alignment horizontal="right" vertical="center"/>
    </xf>
    <xf numFmtId="3" fontId="0" fillId="42" borderId="83" xfId="0" applyNumberFormat="1" applyFill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8" fontId="30" fillId="0" borderId="44" xfId="92" applyNumberFormat="1" applyFont="1" applyFill="1" applyBorder="1" applyAlignment="1">
      <alignment horizontal="center" vertical="center"/>
    </xf>
    <xf numFmtId="9" fontId="26" fillId="0" borderId="32" xfId="134" applyFont="1" applyBorder="1" applyAlignment="1">
      <alignment horizontal="right" vertical="center"/>
    </xf>
    <xf numFmtId="9" fontId="26" fillId="0" borderId="13" xfId="134" applyFont="1" applyBorder="1" applyAlignment="1">
      <alignment horizontal="center" vertical="center"/>
    </xf>
    <xf numFmtId="38" fontId="26" fillId="41" borderId="32" xfId="190" applyNumberFormat="1" applyFont="1" applyFill="1" applyBorder="1" applyAlignment="1">
      <alignment horizontal="right" vertical="center"/>
    </xf>
    <xf numFmtId="38" fontId="26" fillId="41" borderId="19" xfId="190" applyNumberFormat="1" applyFont="1" applyFill="1" applyBorder="1" applyAlignment="1">
      <alignment horizontal="right" vertical="center"/>
    </xf>
    <xf numFmtId="177" fontId="59" fillId="0" borderId="66" xfId="190" applyNumberFormat="1" applyFont="1" applyBorder="1" applyAlignment="1">
      <alignment horizontal="left" vertical="center"/>
    </xf>
    <xf numFmtId="177" fontId="59" fillId="0" borderId="80" xfId="190" applyNumberFormat="1" applyFont="1" applyBorder="1" applyAlignment="1">
      <alignment horizontal="left" vertical="center"/>
    </xf>
    <xf numFmtId="177" fontId="59" fillId="0" borderId="85" xfId="190" applyNumberFormat="1" applyFont="1" applyBorder="1" applyAlignment="1">
      <alignment horizontal="left" vertical="center"/>
    </xf>
    <xf numFmtId="0" fontId="25" fillId="41" borderId="96" xfId="190" quotePrefix="1" applyFont="1" applyFill="1" applyBorder="1" applyAlignment="1">
      <alignment horizontal="center" vertical="center"/>
    </xf>
    <xf numFmtId="0" fontId="25" fillId="41" borderId="97" xfId="190" quotePrefix="1" applyFont="1" applyFill="1" applyBorder="1" applyAlignment="1">
      <alignment horizontal="center" vertical="center"/>
    </xf>
    <xf numFmtId="0" fontId="25" fillId="41" borderId="83" xfId="190" applyFont="1" applyFill="1" applyBorder="1" applyAlignment="1">
      <alignment horizontal="center" vertical="center"/>
    </xf>
    <xf numFmtId="0" fontId="25" fillId="41" borderId="96" xfId="190" applyFont="1" applyFill="1" applyBorder="1" applyAlignment="1">
      <alignment horizontal="center" vertical="center"/>
    </xf>
    <xf numFmtId="0" fontId="25" fillId="41" borderId="97" xfId="190" applyFont="1" applyFill="1" applyBorder="1" applyAlignment="1">
      <alignment horizontal="center" vertical="center"/>
    </xf>
    <xf numFmtId="38" fontId="26" fillId="41" borderId="83" xfId="92" applyNumberFormat="1" applyFont="1" applyFill="1" applyBorder="1" applyAlignment="1">
      <alignment horizontal="center" vertical="center"/>
    </xf>
    <xf numFmtId="38" fontId="26" fillId="41" borderId="32" xfId="92" applyNumberFormat="1" applyFont="1" applyFill="1" applyBorder="1" applyAlignment="1">
      <alignment horizontal="center" vertical="center"/>
    </xf>
    <xf numFmtId="0" fontId="25" fillId="41" borderId="44" xfId="190" applyFont="1" applyFill="1" applyBorder="1" applyAlignment="1">
      <alignment horizontal="center" vertical="center"/>
    </xf>
    <xf numFmtId="38" fontId="25" fillId="41" borderId="82" xfId="92" applyNumberFormat="1" applyFont="1" applyFill="1" applyBorder="1" applyAlignment="1">
      <alignment horizontal="center" vertical="center"/>
    </xf>
    <xf numFmtId="3" fontId="26" fillId="0" borderId="21" xfId="134" applyNumberFormat="1" applyFont="1" applyFill="1" applyBorder="1" applyAlignment="1">
      <alignment vertical="center"/>
    </xf>
    <xf numFmtId="3" fontId="26" fillId="0" borderId="0" xfId="134" applyNumberFormat="1" applyFont="1" applyFill="1" applyBorder="1" applyAlignment="1">
      <alignment vertical="center"/>
    </xf>
    <xf numFmtId="0" fontId="25" fillId="0" borderId="21" xfId="190" applyFont="1" applyBorder="1" applyAlignment="1">
      <alignment horizontal="center" vertical="center"/>
    </xf>
    <xf numFmtId="3" fontId="26" fillId="0" borderId="0" xfId="190" applyNumberFormat="1" applyFont="1" applyAlignment="1">
      <alignment horizontal="center" vertical="center"/>
    </xf>
    <xf numFmtId="38" fontId="30" fillId="0" borderId="0" xfId="190" applyNumberFormat="1" applyFont="1" applyAlignment="1">
      <alignment vertical="center"/>
    </xf>
    <xf numFmtId="0" fontId="26" fillId="0" borderId="21" xfId="190" applyFont="1" applyBorder="1" applyAlignment="1">
      <alignment vertical="center"/>
    </xf>
    <xf numFmtId="0" fontId="26" fillId="0" borderId="0" xfId="190" applyFont="1" applyAlignment="1">
      <alignment vertical="center"/>
    </xf>
    <xf numFmtId="9" fontId="26" fillId="0" borderId="0" xfId="134" applyFont="1" applyFill="1" applyBorder="1" applyAlignment="1">
      <alignment vertical="center"/>
    </xf>
    <xf numFmtId="38" fontId="26" fillId="0" borderId="0" xfId="190" applyNumberFormat="1" applyFont="1" applyAlignment="1">
      <alignment vertical="center"/>
    </xf>
    <xf numFmtId="38" fontId="26" fillId="0" borderId="21" xfId="190" applyNumberFormat="1" applyFont="1" applyBorder="1" applyAlignment="1">
      <alignment vertical="center"/>
    </xf>
    <xf numFmtId="9" fontId="26" fillId="0" borderId="21" xfId="134" applyFont="1" applyFill="1" applyBorder="1" applyAlignment="1">
      <alignment vertical="center"/>
    </xf>
    <xf numFmtId="38" fontId="30" fillId="0" borderId="36" xfId="92" applyNumberFormat="1" applyFont="1" applyFill="1" applyBorder="1" applyAlignment="1">
      <alignment horizontal="center" vertical="center"/>
    </xf>
    <xf numFmtId="38" fontId="78" fillId="49" borderId="83" xfId="190" applyNumberFormat="1" applyFont="1" applyFill="1" applyBorder="1" applyAlignment="1">
      <alignment horizontal="center" vertical="center"/>
    </xf>
    <xf numFmtId="0" fontId="26" fillId="34" borderId="83" xfId="190" applyFont="1" applyFill="1" applyBorder="1" applyAlignment="1">
      <alignment horizontal="center" vertical="center"/>
    </xf>
    <xf numFmtId="9" fontId="78" fillId="50" borderId="83" xfId="134" applyFont="1" applyFill="1" applyBorder="1" applyAlignment="1">
      <alignment horizontal="center" vertical="center"/>
    </xf>
    <xf numFmtId="0" fontId="24" fillId="0" borderId="60" xfId="190" applyFont="1" applyBorder="1" applyAlignment="1">
      <alignment horizontal="center" vertical="center"/>
    </xf>
    <xf numFmtId="0" fontId="25" fillId="27" borderId="60" xfId="190" applyFont="1" applyFill="1" applyBorder="1" applyAlignment="1">
      <alignment vertical="center"/>
    </xf>
    <xf numFmtId="0" fontId="28" fillId="27" borderId="60" xfId="190" applyFont="1" applyFill="1" applyBorder="1" applyAlignment="1">
      <alignment vertical="center"/>
    </xf>
    <xf numFmtId="164" fontId="28" fillId="0" borderId="60" xfId="92" applyFont="1" applyBorder="1" applyAlignment="1">
      <alignment vertical="center"/>
    </xf>
    <xf numFmtId="0" fontId="28" fillId="0" borderId="60" xfId="190" applyFont="1" applyBorder="1" applyAlignment="1">
      <alignment vertical="center"/>
    </xf>
    <xf numFmtId="0" fontId="25" fillId="0" borderId="60" xfId="190" applyFont="1" applyBorder="1" applyAlignment="1">
      <alignment vertical="center"/>
    </xf>
    <xf numFmtId="0" fontId="25" fillId="0" borderId="60" xfId="190" applyFont="1" applyBorder="1" applyAlignment="1">
      <alignment horizontal="center" vertical="center"/>
    </xf>
    <xf numFmtId="38" fontId="26" fillId="0" borderId="60" xfId="190" applyNumberFormat="1" applyFont="1" applyBorder="1" applyAlignment="1">
      <alignment vertical="center"/>
    </xf>
    <xf numFmtId="0" fontId="26" fillId="0" borderId="60" xfId="190" applyFont="1" applyBorder="1" applyAlignment="1">
      <alignment vertical="center"/>
    </xf>
    <xf numFmtId="9" fontId="26" fillId="0" borderId="60" xfId="134" applyFont="1" applyFill="1" applyBorder="1" applyAlignment="1">
      <alignment vertical="center"/>
    </xf>
    <xf numFmtId="3" fontId="26" fillId="0" borderId="60" xfId="134" applyNumberFormat="1" applyFont="1" applyFill="1" applyBorder="1" applyAlignment="1">
      <alignment vertical="center"/>
    </xf>
    <xf numFmtId="3" fontId="26" fillId="0" borderId="60" xfId="190" applyNumberFormat="1" applyFont="1" applyBorder="1" applyAlignment="1">
      <alignment horizontal="center" vertical="center"/>
    </xf>
    <xf numFmtId="38" fontId="30" fillId="0" borderId="60" xfId="190" applyNumberFormat="1" applyFont="1" applyBorder="1" applyAlignment="1">
      <alignment vertical="center"/>
    </xf>
    <xf numFmtId="3" fontId="28" fillId="0" borderId="60" xfId="190" applyNumberFormat="1" applyFont="1" applyBorder="1" applyAlignment="1">
      <alignment vertical="center"/>
    </xf>
    <xf numFmtId="9" fontId="28" fillId="0" borderId="0" xfId="134" applyFont="1" applyBorder="1" applyAlignment="1">
      <alignment vertical="center"/>
    </xf>
    <xf numFmtId="0" fontId="24" fillId="0" borderId="104" xfId="190" applyFont="1" applyBorder="1" applyAlignment="1">
      <alignment horizontal="center" vertical="center"/>
    </xf>
    <xf numFmtId="0" fontId="30" fillId="0" borderId="21" xfId="190" applyFont="1" applyBorder="1" applyAlignment="1">
      <alignment vertical="center"/>
    </xf>
    <xf numFmtId="0" fontId="25" fillId="0" borderId="14" xfId="190" applyFont="1" applyBorder="1" applyAlignment="1">
      <alignment vertical="center"/>
    </xf>
    <xf numFmtId="0" fontId="25" fillId="27" borderId="46" xfId="190" applyFont="1" applyFill="1" applyBorder="1" applyAlignment="1">
      <alignment vertical="center"/>
    </xf>
    <xf numFmtId="0" fontId="28" fillId="27" borderId="46" xfId="190" applyFont="1" applyFill="1" applyBorder="1" applyAlignment="1">
      <alignment vertical="center"/>
    </xf>
    <xf numFmtId="164" fontId="28" fillId="0" borderId="46" xfId="92" applyFont="1" applyBorder="1" applyAlignment="1">
      <alignment vertical="center"/>
    </xf>
    <xf numFmtId="0" fontId="25" fillId="0" borderId="46" xfId="190" applyFont="1" applyBorder="1" applyAlignment="1">
      <alignment horizontal="center" vertical="center"/>
    </xf>
    <xf numFmtId="38" fontId="26" fillId="0" borderId="46" xfId="190" applyNumberFormat="1" applyFont="1" applyBorder="1" applyAlignment="1">
      <alignment vertical="center"/>
    </xf>
    <xf numFmtId="0" fontId="26" fillId="0" borderId="46" xfId="190" applyFont="1" applyBorder="1" applyAlignment="1">
      <alignment vertical="center"/>
    </xf>
    <xf numFmtId="9" fontId="26" fillId="0" borderId="46" xfId="134" applyFont="1" applyFill="1" applyBorder="1" applyAlignment="1">
      <alignment vertical="center"/>
    </xf>
    <xf numFmtId="3" fontId="26" fillId="0" borderId="46" xfId="134" applyNumberFormat="1" applyFont="1" applyFill="1" applyBorder="1" applyAlignment="1">
      <alignment vertical="center"/>
    </xf>
    <xf numFmtId="3" fontId="26" fillId="0" borderId="46" xfId="190" applyNumberFormat="1" applyFont="1" applyBorder="1" applyAlignment="1">
      <alignment horizontal="center" vertical="center"/>
    </xf>
    <xf numFmtId="0" fontId="26" fillId="0" borderId="106" xfId="190" applyFont="1" applyBorder="1" applyAlignment="1">
      <alignment horizontal="right" vertical="center"/>
    </xf>
    <xf numFmtId="0" fontId="26" fillId="0" borderId="57" xfId="190" applyFont="1" applyBorder="1" applyAlignment="1">
      <alignment horizontal="right" vertical="center"/>
    </xf>
    <xf numFmtId="168" fontId="26" fillId="27" borderId="113" xfId="190" applyNumberFormat="1" applyFont="1" applyFill="1" applyBorder="1" applyAlignment="1">
      <alignment horizontal="center" vertical="center"/>
    </xf>
    <xf numFmtId="168" fontId="26" fillId="27" borderId="114" xfId="190" applyNumberFormat="1" applyFont="1" applyFill="1" applyBorder="1" applyAlignment="1">
      <alignment horizontal="center" vertical="center"/>
    </xf>
    <xf numFmtId="2" fontId="26" fillId="27" borderId="52" xfId="190" applyNumberFormat="1" applyFont="1" applyFill="1" applyBorder="1" applyAlignment="1">
      <alignment horizontal="center" vertical="center"/>
    </xf>
    <xf numFmtId="166" fontId="26" fillId="27" borderId="113" xfId="190" applyNumberFormat="1" applyFont="1" applyFill="1" applyBorder="1" applyAlignment="1">
      <alignment horizontal="center" vertical="center"/>
    </xf>
    <xf numFmtId="169" fontId="64" fillId="0" borderId="112" xfId="190" applyNumberFormat="1" applyFont="1" applyBorder="1" applyAlignment="1">
      <alignment vertical="center"/>
    </xf>
    <xf numFmtId="0" fontId="24" fillId="0" borderId="63" xfId="190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" fontId="26" fillId="47" borderId="20" xfId="190" applyNumberFormat="1" applyFont="1" applyFill="1" applyBorder="1" applyAlignment="1">
      <alignment vertical="center"/>
    </xf>
    <xf numFmtId="3" fontId="30" fillId="0" borderId="14" xfId="190" applyNumberFormat="1" applyFont="1" applyBorder="1" applyAlignment="1">
      <alignment horizontal="center" vertical="center"/>
    </xf>
    <xf numFmtId="43" fontId="26" fillId="27" borderId="39" xfId="91" applyFont="1" applyFill="1" applyBorder="1" applyAlignment="1">
      <alignment horizontal="center" vertical="center"/>
    </xf>
    <xf numFmtId="43" fontId="26" fillId="27" borderId="20" xfId="91" applyFont="1" applyFill="1" applyBorder="1" applyAlignment="1">
      <alignment horizontal="center" vertical="center"/>
    </xf>
    <xf numFmtId="3" fontId="30" fillId="0" borderId="83" xfId="190" applyNumberFormat="1" applyFont="1" applyBorder="1" applyAlignment="1">
      <alignment horizontal="center" vertical="center"/>
    </xf>
    <xf numFmtId="3" fontId="26" fillId="0" borderId="83" xfId="134" applyNumberFormat="1" applyFont="1" applyFill="1" applyBorder="1" applyAlignment="1">
      <alignment horizontal="center" vertical="center"/>
    </xf>
    <xf numFmtId="38" fontId="30" fillId="0" borderId="83" xfId="190" applyNumberFormat="1" applyFont="1" applyBorder="1" applyAlignment="1">
      <alignment horizontal="center" vertical="center"/>
    </xf>
    <xf numFmtId="3" fontId="26" fillId="0" borderId="83" xfId="190" applyNumberFormat="1" applyFont="1" applyBorder="1" applyAlignment="1">
      <alignment horizontal="center" vertical="center"/>
    </xf>
    <xf numFmtId="3" fontId="30" fillId="0" borderId="83" xfId="134" applyNumberFormat="1" applyFont="1" applyFill="1" applyBorder="1" applyAlignment="1">
      <alignment horizontal="center" vertical="center"/>
    </xf>
    <xf numFmtId="38" fontId="26" fillId="0" borderId="83" xfId="190" applyNumberFormat="1" applyFont="1" applyBorder="1" applyAlignment="1">
      <alignment horizontal="center" vertical="center"/>
    </xf>
    <xf numFmtId="166" fontId="26" fillId="27" borderId="95" xfId="190" applyNumberFormat="1" applyFont="1" applyFill="1" applyBorder="1" applyAlignment="1">
      <alignment horizontal="center" vertical="center"/>
    </xf>
    <xf numFmtId="166" fontId="26" fillId="27" borderId="20" xfId="190" applyNumberFormat="1" applyFont="1" applyFill="1" applyBorder="1" applyAlignment="1">
      <alignment horizontal="center" vertical="center"/>
    </xf>
    <xf numFmtId="184" fontId="28" fillId="0" borderId="0" xfId="190" applyNumberFormat="1" applyFont="1" applyAlignment="1">
      <alignment vertical="center"/>
    </xf>
    <xf numFmtId="0" fontId="25" fillId="41" borderId="41" xfId="190" applyFont="1" applyFill="1" applyBorder="1" applyAlignment="1">
      <alignment vertical="center" wrapText="1"/>
    </xf>
    <xf numFmtId="0" fontId="25" fillId="41" borderId="24" xfId="190" quotePrefix="1" applyFont="1" applyFill="1" applyBorder="1" applyAlignment="1">
      <alignment horizontal="center" vertical="center"/>
    </xf>
    <xf numFmtId="0" fontId="25" fillId="41" borderId="18" xfId="190" applyFont="1" applyFill="1" applyBorder="1" applyAlignment="1">
      <alignment horizontal="center" vertical="center" wrapText="1"/>
    </xf>
    <xf numFmtId="3" fontId="35" fillId="30" borderId="84" xfId="0" applyNumberFormat="1" applyFont="1" applyFill="1" applyBorder="1" applyAlignment="1">
      <alignment vertical="center" wrapText="1" shrinkToFit="1"/>
    </xf>
    <xf numFmtId="3" fontId="35" fillId="30" borderId="85" xfId="0" applyNumberFormat="1" applyFont="1" applyFill="1" applyBorder="1" applyAlignment="1">
      <alignment vertical="center" wrapText="1" shrinkToFit="1"/>
    </xf>
    <xf numFmtId="3" fontId="35" fillId="30" borderId="87" xfId="0" applyNumberFormat="1" applyFont="1" applyFill="1" applyBorder="1" applyAlignment="1">
      <alignment horizontal="center" vertical="center" wrapText="1" shrinkToFit="1"/>
    </xf>
    <xf numFmtId="38" fontId="30" fillId="41" borderId="20" xfId="92" applyNumberFormat="1" applyFont="1" applyFill="1" applyBorder="1" applyAlignment="1">
      <alignment horizontal="center" vertical="center"/>
    </xf>
    <xf numFmtId="3" fontId="25" fillId="0" borderId="20" xfId="134" applyNumberFormat="1" applyFont="1" applyFill="1" applyBorder="1" applyAlignment="1">
      <alignment horizontal="center" vertical="center"/>
    </xf>
    <xf numFmtId="180" fontId="89" fillId="40" borderId="58" xfId="0" applyNumberFormat="1" applyFont="1" applyFill="1" applyBorder="1" applyAlignment="1">
      <alignment horizontal="left" vertical="center"/>
    </xf>
    <xf numFmtId="180" fontId="89" fillId="40" borderId="47" xfId="0" applyNumberFormat="1" applyFont="1" applyFill="1" applyBorder="1" applyAlignment="1">
      <alignment horizontal="left" vertical="center"/>
    </xf>
    <xf numFmtId="180" fontId="89" fillId="40" borderId="59" xfId="0" applyNumberFormat="1" applyFont="1" applyFill="1" applyBorder="1" applyAlignment="1">
      <alignment horizontal="left" vertical="center"/>
    </xf>
    <xf numFmtId="174" fontId="88" fillId="40" borderId="62" xfId="0" applyNumberFormat="1" applyFont="1" applyFill="1" applyBorder="1" applyAlignment="1">
      <alignment horizontal="left" vertical="center"/>
    </xf>
    <xf numFmtId="174" fontId="88" fillId="40" borderId="63" xfId="0" applyNumberFormat="1" applyFont="1" applyFill="1" applyBorder="1" applyAlignment="1">
      <alignment horizontal="left" vertical="center"/>
    </xf>
    <xf numFmtId="0" fontId="73" fillId="0" borderId="96" xfId="190" applyFont="1" applyBorder="1" applyAlignment="1">
      <alignment horizontal="center" vertical="center"/>
    </xf>
    <xf numFmtId="0" fontId="73" fillId="0" borderId="97" xfId="190" applyFont="1" applyBorder="1" applyAlignment="1">
      <alignment horizontal="center" vertical="center"/>
    </xf>
    <xf numFmtId="0" fontId="73" fillId="0" borderId="32" xfId="190" applyFont="1" applyBorder="1" applyAlignment="1">
      <alignment horizontal="center" vertical="center"/>
    </xf>
    <xf numFmtId="0" fontId="73" fillId="0" borderId="13" xfId="190" applyFont="1" applyBorder="1" applyAlignment="1">
      <alignment horizontal="center" vertical="center"/>
    </xf>
    <xf numFmtId="0" fontId="73" fillId="0" borderId="38" xfId="190" applyFont="1" applyBorder="1" applyAlignment="1">
      <alignment horizontal="center" vertical="center"/>
    </xf>
    <xf numFmtId="0" fontId="73" fillId="0" borderId="44" xfId="190" applyFont="1" applyBorder="1" applyAlignment="1">
      <alignment horizontal="center" vertical="center"/>
    </xf>
    <xf numFmtId="0" fontId="25" fillId="41" borderId="98" xfId="190" applyFont="1" applyFill="1" applyBorder="1" applyAlignment="1">
      <alignment horizontal="center" vertical="center"/>
    </xf>
    <xf numFmtId="0" fontId="25" fillId="41" borderId="97" xfId="190" applyFont="1" applyFill="1" applyBorder="1" applyAlignment="1">
      <alignment horizontal="center" vertical="center"/>
    </xf>
    <xf numFmtId="38" fontId="26" fillId="0" borderId="24" xfId="190" applyNumberFormat="1" applyFont="1" applyBorder="1" applyAlignment="1">
      <alignment horizontal="center" vertical="center"/>
    </xf>
    <xf numFmtId="38" fontId="26" fillId="0" borderId="16" xfId="190" applyNumberFormat="1" applyFont="1" applyBorder="1" applyAlignment="1">
      <alignment horizontal="center" vertical="center"/>
    </xf>
    <xf numFmtId="38" fontId="26" fillId="0" borderId="26" xfId="190" applyNumberFormat="1" applyFont="1" applyBorder="1" applyAlignment="1">
      <alignment horizontal="center" vertical="center"/>
    </xf>
    <xf numFmtId="38" fontId="30" fillId="0" borderId="38" xfId="92" applyNumberFormat="1" applyFont="1" applyFill="1" applyBorder="1" applyAlignment="1">
      <alignment horizontal="center" vertical="center"/>
    </xf>
    <xf numFmtId="38" fontId="30" fillId="0" borderId="41" xfId="92" applyNumberFormat="1" applyFont="1" applyFill="1" applyBorder="1" applyAlignment="1">
      <alignment horizontal="center" vertical="center"/>
    </xf>
    <xf numFmtId="38" fontId="30" fillId="0" borderId="44" xfId="92" applyNumberFormat="1" applyFont="1" applyFill="1" applyBorder="1" applyAlignment="1">
      <alignment horizontal="center" vertical="center"/>
    </xf>
    <xf numFmtId="183" fontId="26" fillId="47" borderId="45" xfId="190" applyNumberFormat="1" applyFont="1" applyFill="1" applyBorder="1" applyAlignment="1">
      <alignment horizontal="center" vertical="center"/>
    </xf>
    <xf numFmtId="183" fontId="26" fillId="47" borderId="49" xfId="190" applyNumberFormat="1" applyFont="1" applyFill="1" applyBorder="1" applyAlignment="1">
      <alignment horizontal="center" vertical="center"/>
    </xf>
    <xf numFmtId="183" fontId="26" fillId="47" borderId="50" xfId="190" applyNumberFormat="1" applyFont="1" applyFill="1" applyBorder="1" applyAlignment="1">
      <alignment horizontal="center" vertical="center"/>
    </xf>
    <xf numFmtId="165" fontId="26" fillId="27" borderId="32" xfId="310" applyFont="1" applyFill="1" applyBorder="1" applyAlignment="1">
      <alignment horizontal="center" vertical="center"/>
    </xf>
    <xf numFmtId="165" fontId="26" fillId="27" borderId="13" xfId="310" applyFont="1" applyFill="1" applyBorder="1" applyAlignment="1">
      <alignment horizontal="center" vertical="center"/>
    </xf>
    <xf numFmtId="170" fontId="26" fillId="0" borderId="32" xfId="190" applyNumberFormat="1" applyFont="1" applyBorder="1" applyAlignment="1">
      <alignment horizontal="center" vertical="center"/>
    </xf>
    <xf numFmtId="170" fontId="26" fillId="0" borderId="19" xfId="190" applyNumberFormat="1" applyFont="1" applyBorder="1" applyAlignment="1">
      <alignment horizontal="center" vertical="center"/>
    </xf>
    <xf numFmtId="170" fontId="26" fillId="0" borderId="13" xfId="190" applyNumberFormat="1" applyFont="1" applyBorder="1" applyAlignment="1">
      <alignment horizontal="center" vertical="center"/>
    </xf>
    <xf numFmtId="165" fontId="26" fillId="27" borderId="96" xfId="310" applyFont="1" applyFill="1" applyBorder="1" applyAlignment="1">
      <alignment horizontal="center" vertical="center"/>
    </xf>
    <xf numFmtId="165" fontId="26" fillId="27" borderId="97" xfId="310" applyFont="1" applyFill="1" applyBorder="1" applyAlignment="1">
      <alignment horizontal="center" vertical="center"/>
    </xf>
    <xf numFmtId="170" fontId="26" fillId="0" borderId="96" xfId="190" applyNumberFormat="1" applyFont="1" applyBorder="1" applyAlignment="1">
      <alignment horizontal="center" vertical="center"/>
    </xf>
    <xf numFmtId="170" fontId="26" fillId="0" borderId="98" xfId="190" applyNumberFormat="1" applyFont="1" applyBorder="1" applyAlignment="1">
      <alignment horizontal="center" vertical="center"/>
    </xf>
    <xf numFmtId="170" fontId="26" fillId="0" borderId="97" xfId="190" applyNumberFormat="1" applyFont="1" applyBorder="1" applyAlignment="1">
      <alignment horizontal="center" vertical="center"/>
    </xf>
    <xf numFmtId="20" fontId="26" fillId="27" borderId="38" xfId="190" applyNumberFormat="1" applyFont="1" applyFill="1" applyBorder="1" applyAlignment="1">
      <alignment horizontal="center" vertical="center"/>
    </xf>
    <xf numFmtId="20" fontId="26" fillId="27" borderId="44" xfId="190" applyNumberFormat="1" applyFont="1" applyFill="1" applyBorder="1" applyAlignment="1">
      <alignment horizontal="center" vertical="center"/>
    </xf>
    <xf numFmtId="167" fontId="90" fillId="41" borderId="105" xfId="190" applyNumberFormat="1" applyFont="1" applyFill="1" applyBorder="1" applyAlignment="1">
      <alignment horizontal="center" vertical="center"/>
    </xf>
    <xf numFmtId="167" fontId="90" fillId="41" borderId="42" xfId="190" applyNumberFormat="1" applyFont="1" applyFill="1" applyBorder="1" applyAlignment="1">
      <alignment horizontal="center" vertical="center"/>
    </xf>
    <xf numFmtId="167" fontId="90" fillId="41" borderId="54" xfId="190" applyNumberFormat="1" applyFont="1" applyFill="1" applyBorder="1" applyAlignment="1">
      <alignment horizontal="center" vertical="center"/>
    </xf>
    <xf numFmtId="0" fontId="26" fillId="41" borderId="16" xfId="190" applyFont="1" applyFill="1" applyBorder="1" applyAlignment="1">
      <alignment horizontal="center" vertical="center" wrapText="1"/>
    </xf>
    <xf numFmtId="0" fontId="26" fillId="41" borderId="26" xfId="190" applyFont="1" applyFill="1" applyBorder="1" applyAlignment="1">
      <alignment horizontal="center" vertical="center" wrapText="1"/>
    </xf>
    <xf numFmtId="0" fontId="26" fillId="41" borderId="0" xfId="190" applyFont="1" applyFill="1" applyAlignment="1">
      <alignment horizontal="center" vertical="center" wrapText="1"/>
    </xf>
    <xf numFmtId="0" fontId="26" fillId="41" borderId="27" xfId="190" applyFont="1" applyFill="1" applyBorder="1" applyAlignment="1">
      <alignment horizontal="center" vertical="center" wrapText="1"/>
    </xf>
    <xf numFmtId="0" fontId="26" fillId="41" borderId="62" xfId="190" applyFont="1" applyFill="1" applyBorder="1" applyAlignment="1">
      <alignment horizontal="center" vertical="center" wrapText="1"/>
    </xf>
    <xf numFmtId="0" fontId="26" fillId="41" borderId="104" xfId="190" applyFont="1" applyFill="1" applyBorder="1" applyAlignment="1">
      <alignment horizontal="center" vertical="center" wrapText="1"/>
    </xf>
    <xf numFmtId="0" fontId="73" fillId="0" borderId="111" xfId="190" applyFont="1" applyBorder="1" applyAlignment="1">
      <alignment horizontal="center" vertical="center"/>
    </xf>
    <xf numFmtId="0" fontId="73" fillId="0" borderId="112" xfId="190" applyFont="1" applyBorder="1" applyAlignment="1">
      <alignment horizontal="center" vertical="center"/>
    </xf>
    <xf numFmtId="0" fontId="25" fillId="41" borderId="82" xfId="190" applyFont="1" applyFill="1" applyBorder="1" applyAlignment="1">
      <alignment horizontal="center" vertical="center"/>
    </xf>
    <xf numFmtId="0" fontId="25" fillId="41" borderId="80" xfId="190" applyFont="1" applyFill="1" applyBorder="1" applyAlignment="1">
      <alignment horizontal="center" vertical="center"/>
    </xf>
    <xf numFmtId="0" fontId="25" fillId="41" borderId="81" xfId="190" applyFont="1" applyFill="1" applyBorder="1" applyAlignment="1">
      <alignment horizontal="center" vertical="center"/>
    </xf>
    <xf numFmtId="38" fontId="26" fillId="0" borderId="40" xfId="190" applyNumberFormat="1" applyFont="1" applyBorder="1" applyAlignment="1">
      <alignment horizontal="center" vertical="center"/>
    </xf>
    <xf numFmtId="38" fontId="26" fillId="0" borderId="68" xfId="190" applyNumberFormat="1" applyFont="1" applyBorder="1" applyAlignment="1">
      <alignment horizontal="center" vertical="center"/>
    </xf>
    <xf numFmtId="0" fontId="25" fillId="41" borderId="97" xfId="190" applyFont="1" applyFill="1" applyBorder="1" applyAlignment="1">
      <alignment horizontal="center" vertical="center" wrapText="1"/>
    </xf>
    <xf numFmtId="0" fontId="25" fillId="41" borderId="13" xfId="190" applyFont="1" applyFill="1" applyBorder="1" applyAlignment="1">
      <alignment horizontal="center" vertical="center" wrapText="1"/>
    </xf>
    <xf numFmtId="0" fontId="25" fillId="41" borderId="96" xfId="190" applyFont="1" applyFill="1" applyBorder="1" applyAlignment="1">
      <alignment horizontal="center" vertical="center"/>
    </xf>
    <xf numFmtId="38" fontId="26" fillId="0" borderId="96" xfId="190" applyNumberFormat="1" applyFont="1" applyBorder="1" applyAlignment="1">
      <alignment horizontal="right" vertical="center"/>
    </xf>
    <xf numFmtId="38" fontId="26" fillId="0" borderId="98" xfId="190" applyNumberFormat="1" applyFont="1" applyBorder="1" applyAlignment="1">
      <alignment horizontal="right" vertical="center"/>
    </xf>
    <xf numFmtId="38" fontId="30" fillId="41" borderId="32" xfId="92" applyNumberFormat="1" applyFont="1" applyFill="1" applyBorder="1" applyAlignment="1">
      <alignment horizontal="right" vertical="center"/>
    </xf>
    <xf numFmtId="38" fontId="30" fillId="41" borderId="19" xfId="92" applyNumberFormat="1" applyFont="1" applyFill="1" applyBorder="1" applyAlignment="1">
      <alignment horizontal="right" vertical="center"/>
    </xf>
    <xf numFmtId="0" fontId="27" fillId="41" borderId="32" xfId="190" applyFont="1" applyFill="1" applyBorder="1" applyAlignment="1">
      <alignment horizontal="center" vertical="center"/>
    </xf>
    <xf numFmtId="0" fontId="27" fillId="41" borderId="13" xfId="190" applyFont="1" applyFill="1" applyBorder="1" applyAlignment="1">
      <alignment horizontal="center" vertical="center"/>
    </xf>
    <xf numFmtId="0" fontId="25" fillId="41" borderId="32" xfId="190" applyFont="1" applyFill="1" applyBorder="1" applyAlignment="1">
      <alignment horizontal="center" vertical="center"/>
    </xf>
    <xf numFmtId="0" fontId="25" fillId="41" borderId="13" xfId="190" applyFont="1" applyFill="1" applyBorder="1" applyAlignment="1">
      <alignment horizontal="center" vertical="center"/>
    </xf>
    <xf numFmtId="38" fontId="26" fillId="41" borderId="32" xfId="190" applyNumberFormat="1" applyFont="1" applyFill="1" applyBorder="1" applyAlignment="1">
      <alignment horizontal="right" vertical="center"/>
    </xf>
    <xf numFmtId="38" fontId="26" fillId="41" borderId="19" xfId="190" applyNumberFormat="1" applyFont="1" applyFill="1" applyBorder="1" applyAlignment="1">
      <alignment horizontal="right" vertical="center"/>
    </xf>
    <xf numFmtId="9" fontId="26" fillId="0" borderId="32" xfId="134" applyFont="1" applyBorder="1" applyAlignment="1">
      <alignment horizontal="right" vertical="center"/>
    </xf>
    <xf numFmtId="9" fontId="26" fillId="0" borderId="19" xfId="134" applyFont="1" applyBorder="1" applyAlignment="1">
      <alignment horizontal="right" vertical="center"/>
    </xf>
    <xf numFmtId="38" fontId="26" fillId="0" borderId="96" xfId="190" applyNumberFormat="1" applyFont="1" applyBorder="1" applyAlignment="1">
      <alignment horizontal="center" vertical="center"/>
    </xf>
    <xf numFmtId="38" fontId="26" fillId="0" borderId="97" xfId="190" applyNumberFormat="1" applyFont="1" applyBorder="1" applyAlignment="1">
      <alignment horizontal="center" vertical="center"/>
    </xf>
    <xf numFmtId="0" fontId="25" fillId="41" borderId="83" xfId="190" applyFont="1" applyFill="1" applyBorder="1" applyAlignment="1">
      <alignment horizontal="center" vertical="center"/>
    </xf>
    <xf numFmtId="164" fontId="25" fillId="41" borderId="19" xfId="92" applyFont="1" applyFill="1" applyBorder="1" applyAlignment="1">
      <alignment horizontal="center" vertical="center"/>
    </xf>
    <xf numFmtId="164" fontId="25" fillId="41" borderId="13" xfId="92" applyFont="1" applyFill="1" applyBorder="1" applyAlignment="1">
      <alignment horizontal="center" vertical="center"/>
    </xf>
    <xf numFmtId="38" fontId="30" fillId="0" borderId="40" xfId="92" applyNumberFormat="1" applyFont="1" applyFill="1" applyBorder="1" applyAlignment="1">
      <alignment horizontal="center" vertical="center"/>
    </xf>
    <xf numFmtId="38" fontId="30" fillId="0" borderId="68" xfId="92" applyNumberFormat="1" applyFont="1" applyFill="1" applyBorder="1" applyAlignment="1">
      <alignment horizontal="center" vertical="center"/>
    </xf>
    <xf numFmtId="38" fontId="30" fillId="0" borderId="37" xfId="92" applyNumberFormat="1" applyFont="1" applyFill="1" applyBorder="1" applyAlignment="1">
      <alignment horizontal="center" vertical="center"/>
    </xf>
    <xf numFmtId="0" fontId="30" fillId="41" borderId="82" xfId="190" applyFont="1" applyFill="1" applyBorder="1" applyAlignment="1">
      <alignment horizontal="center" vertical="center"/>
    </xf>
    <xf numFmtId="0" fontId="30" fillId="41" borderId="80" xfId="190" applyFont="1" applyFill="1" applyBorder="1" applyAlignment="1">
      <alignment horizontal="center" vertical="center"/>
    </xf>
    <xf numFmtId="0" fontId="30" fillId="41" borderId="81" xfId="190" applyFont="1" applyFill="1" applyBorder="1" applyAlignment="1">
      <alignment horizontal="center" vertical="center"/>
    </xf>
    <xf numFmtId="0" fontId="25" fillId="41" borderId="19" xfId="190" applyFont="1" applyFill="1" applyBorder="1" applyAlignment="1">
      <alignment horizontal="center" vertical="center"/>
    </xf>
    <xf numFmtId="38" fontId="26" fillId="47" borderId="21" xfId="190" applyNumberFormat="1" applyFont="1" applyFill="1" applyBorder="1" applyAlignment="1">
      <alignment horizontal="center" vertical="center"/>
    </xf>
    <xf numFmtId="38" fontId="26" fillId="47" borderId="0" xfId="190" applyNumberFormat="1" applyFont="1" applyFill="1" applyAlignment="1">
      <alignment horizontal="center" vertical="center"/>
    </xf>
    <xf numFmtId="9" fontId="26" fillId="0" borderId="32" xfId="134" applyFont="1" applyBorder="1" applyAlignment="1">
      <alignment horizontal="center" vertical="center"/>
    </xf>
    <xf numFmtId="9" fontId="26" fillId="0" borderId="13" xfId="134" applyFont="1" applyBorder="1" applyAlignment="1">
      <alignment horizontal="center" vertical="center"/>
    </xf>
    <xf numFmtId="0" fontId="30" fillId="41" borderId="26" xfId="190" applyFont="1" applyFill="1" applyBorder="1" applyAlignment="1">
      <alignment horizontal="center" vertical="center" textRotation="255" wrapText="1"/>
    </xf>
    <xf numFmtId="0" fontId="30" fillId="41" borderId="27" xfId="190" applyFont="1" applyFill="1" applyBorder="1" applyAlignment="1">
      <alignment horizontal="center" vertical="center" textRotation="255" wrapText="1"/>
    </xf>
    <xf numFmtId="1" fontId="26" fillId="47" borderId="32" xfId="190" applyNumberFormat="1" applyFont="1" applyFill="1" applyBorder="1" applyAlignment="1">
      <alignment horizontal="center" vertical="center"/>
    </xf>
    <xf numFmtId="1" fontId="26" fillId="47" borderId="19" xfId="190" applyNumberFormat="1" applyFont="1" applyFill="1" applyBorder="1" applyAlignment="1">
      <alignment horizontal="center" vertical="center"/>
    </xf>
    <xf numFmtId="1" fontId="26" fillId="47" borderId="13" xfId="190" applyNumberFormat="1" applyFont="1" applyFill="1" applyBorder="1" applyAlignment="1">
      <alignment horizontal="center" vertical="center"/>
    </xf>
    <xf numFmtId="38" fontId="26" fillId="0" borderId="37" xfId="190" applyNumberFormat="1" applyFont="1" applyBorder="1" applyAlignment="1">
      <alignment horizontal="center" vertical="center"/>
    </xf>
    <xf numFmtId="3" fontId="30" fillId="0" borderId="83" xfId="190" applyNumberFormat="1" applyFont="1" applyBorder="1" applyAlignment="1">
      <alignment horizontal="center" vertical="center"/>
    </xf>
    <xf numFmtId="0" fontId="25" fillId="41" borderId="44" xfId="190" applyFont="1" applyFill="1" applyBorder="1" applyAlignment="1">
      <alignment horizontal="center" vertical="center"/>
    </xf>
    <xf numFmtId="38" fontId="26" fillId="41" borderId="32" xfId="92" applyNumberFormat="1" applyFont="1" applyFill="1" applyBorder="1" applyAlignment="1">
      <alignment horizontal="right" vertical="center"/>
    </xf>
    <xf numFmtId="38" fontId="26" fillId="41" borderId="19" xfId="92" applyNumberFormat="1" applyFont="1" applyFill="1" applyBorder="1" applyAlignment="1">
      <alignment horizontal="right" vertical="center"/>
    </xf>
    <xf numFmtId="9" fontId="26" fillId="0" borderId="40" xfId="134" applyFont="1" applyBorder="1" applyAlignment="1">
      <alignment horizontal="center" vertical="center"/>
    </xf>
    <xf numFmtId="9" fontId="26" fillId="0" borderId="68" xfId="134" applyFont="1" applyBorder="1" applyAlignment="1">
      <alignment horizontal="center" vertical="center"/>
    </xf>
    <xf numFmtId="38" fontId="30" fillId="41" borderId="32" xfId="190" applyNumberFormat="1" applyFont="1" applyFill="1" applyBorder="1" applyAlignment="1">
      <alignment horizontal="right" vertical="center"/>
    </xf>
    <xf numFmtId="38" fontId="30" fillId="41" borderId="19" xfId="190" applyNumberFormat="1" applyFont="1" applyFill="1" applyBorder="1" applyAlignment="1">
      <alignment horizontal="right" vertical="center"/>
    </xf>
    <xf numFmtId="3" fontId="30" fillId="0" borderId="40" xfId="134" applyNumberFormat="1" applyFont="1" applyFill="1" applyBorder="1" applyAlignment="1">
      <alignment horizontal="center" vertical="center"/>
    </xf>
    <xf numFmtId="3" fontId="30" fillId="0" borderId="68" xfId="134" applyNumberFormat="1" applyFont="1" applyFill="1" applyBorder="1" applyAlignment="1">
      <alignment horizontal="center" vertical="center"/>
    </xf>
    <xf numFmtId="3" fontId="30" fillId="0" borderId="37" xfId="134" applyNumberFormat="1" applyFont="1" applyFill="1" applyBorder="1" applyAlignment="1">
      <alignment horizontal="center" vertical="center"/>
    </xf>
    <xf numFmtId="0" fontId="30" fillId="41" borderId="83" xfId="190" applyFont="1" applyFill="1" applyBorder="1" applyAlignment="1">
      <alignment horizontal="center" vertical="center" wrapText="1"/>
    </xf>
    <xf numFmtId="0" fontId="30" fillId="41" borderId="83" xfId="190" applyFont="1" applyFill="1" applyBorder="1" applyAlignment="1">
      <alignment horizontal="center" vertical="center"/>
    </xf>
    <xf numFmtId="0" fontId="25" fillId="0" borderId="96" xfId="190" applyFont="1" applyBorder="1" applyAlignment="1">
      <alignment horizontal="center" vertical="center"/>
    </xf>
    <xf numFmtId="0" fontId="25" fillId="0" borderId="97" xfId="190" applyFont="1" applyBorder="1" applyAlignment="1">
      <alignment horizontal="center" vertical="center"/>
    </xf>
    <xf numFmtId="0" fontId="25" fillId="0" borderId="32" xfId="190" applyFont="1" applyBorder="1" applyAlignment="1">
      <alignment horizontal="center" vertical="center"/>
    </xf>
    <xf numFmtId="0" fontId="25" fillId="0" borderId="13" xfId="190" applyFont="1" applyBorder="1" applyAlignment="1">
      <alignment horizontal="center" vertical="center"/>
    </xf>
    <xf numFmtId="0" fontId="25" fillId="0" borderId="38" xfId="190" applyFont="1" applyBorder="1" applyAlignment="1">
      <alignment horizontal="center" vertical="center"/>
    </xf>
    <xf numFmtId="0" fontId="25" fillId="0" borderId="44" xfId="190" applyFont="1" applyBorder="1" applyAlignment="1">
      <alignment horizontal="center" vertical="center"/>
    </xf>
    <xf numFmtId="170" fontId="26" fillId="0" borderId="38" xfId="190" applyNumberFormat="1" applyFont="1" applyBorder="1" applyAlignment="1">
      <alignment horizontal="center" vertical="center"/>
    </xf>
    <xf numFmtId="170" fontId="26" fillId="0" borderId="41" xfId="190" applyNumberFormat="1" applyFont="1" applyBorder="1" applyAlignment="1">
      <alignment horizontal="center" vertical="center"/>
    </xf>
    <xf numFmtId="170" fontId="26" fillId="0" borderId="44" xfId="190" applyNumberFormat="1" applyFont="1" applyBorder="1" applyAlignment="1">
      <alignment horizontal="center" vertical="center"/>
    </xf>
    <xf numFmtId="38" fontId="26" fillId="41" borderId="32" xfId="92" applyNumberFormat="1" applyFont="1" applyFill="1" applyBorder="1" applyAlignment="1">
      <alignment horizontal="center" vertical="center"/>
    </xf>
    <xf numFmtId="38" fontId="26" fillId="41" borderId="19" xfId="92" applyNumberFormat="1" applyFont="1" applyFill="1" applyBorder="1" applyAlignment="1">
      <alignment horizontal="center" vertical="center"/>
    </xf>
    <xf numFmtId="38" fontId="26" fillId="41" borderId="13" xfId="92" applyNumberFormat="1" applyFont="1" applyFill="1" applyBorder="1" applyAlignment="1">
      <alignment horizontal="center" vertical="center"/>
    </xf>
    <xf numFmtId="38" fontId="30" fillId="0" borderId="38" xfId="92" applyNumberFormat="1" applyFont="1" applyFill="1" applyBorder="1" applyAlignment="1">
      <alignment horizontal="right" vertical="center"/>
    </xf>
    <xf numFmtId="38" fontId="30" fillId="0" borderId="41" xfId="92" applyNumberFormat="1" applyFont="1" applyFill="1" applyBorder="1" applyAlignment="1">
      <alignment horizontal="right" vertical="center"/>
    </xf>
    <xf numFmtId="0" fontId="25" fillId="41" borderId="24" xfId="190" applyFont="1" applyFill="1" applyBorder="1" applyAlignment="1">
      <alignment horizontal="center" vertical="center"/>
    </xf>
    <xf numFmtId="0" fontId="25" fillId="41" borderId="26" xfId="190" applyFont="1" applyFill="1" applyBorder="1" applyAlignment="1">
      <alignment horizontal="center" vertical="center"/>
    </xf>
    <xf numFmtId="0" fontId="25" fillId="41" borderId="21" xfId="190" applyFont="1" applyFill="1" applyBorder="1" applyAlignment="1">
      <alignment horizontal="center" vertical="center"/>
    </xf>
    <xf numFmtId="0" fontId="25" fillId="41" borderId="27" xfId="190" applyFont="1" applyFill="1" applyBorder="1" applyAlignment="1">
      <alignment horizontal="center" vertical="center"/>
    </xf>
    <xf numFmtId="0" fontId="25" fillId="41" borderId="30" xfId="190" applyFont="1" applyFill="1" applyBorder="1" applyAlignment="1">
      <alignment horizontal="center" vertical="center"/>
    </xf>
    <xf numFmtId="0" fontId="25" fillId="41" borderId="34" xfId="190" applyFont="1" applyFill="1" applyBorder="1" applyAlignment="1">
      <alignment horizontal="center" vertical="center"/>
    </xf>
    <xf numFmtId="0" fontId="25" fillId="41" borderId="16" xfId="190" applyFont="1" applyFill="1" applyBorder="1" applyAlignment="1">
      <alignment horizontal="center" vertical="center"/>
    </xf>
    <xf numFmtId="0" fontId="25" fillId="41" borderId="14" xfId="190" applyFont="1" applyFill="1" applyBorder="1" applyAlignment="1">
      <alignment horizontal="center" vertical="center"/>
    </xf>
    <xf numFmtId="3" fontId="26" fillId="51" borderId="24" xfId="134" applyNumberFormat="1" applyFont="1" applyFill="1" applyBorder="1" applyAlignment="1">
      <alignment horizontal="center" vertical="center" wrapText="1"/>
    </xf>
    <xf numFmtId="3" fontId="26" fillId="51" borderId="30" xfId="134" applyNumberFormat="1" applyFont="1" applyFill="1" applyBorder="1" applyAlignment="1">
      <alignment horizontal="center" vertical="center" wrapText="1"/>
    </xf>
    <xf numFmtId="3" fontId="26" fillId="51" borderId="16" xfId="134" applyNumberFormat="1" applyFont="1" applyFill="1" applyBorder="1" applyAlignment="1">
      <alignment horizontal="center" vertical="center"/>
    </xf>
    <xf numFmtId="3" fontId="26" fillId="51" borderId="14" xfId="134" applyNumberFormat="1" applyFont="1" applyFill="1" applyBorder="1" applyAlignment="1">
      <alignment horizontal="center" vertical="center"/>
    </xf>
    <xf numFmtId="38" fontId="30" fillId="0" borderId="24" xfId="190" applyNumberFormat="1" applyFont="1" applyBorder="1" applyAlignment="1">
      <alignment horizontal="center" vertical="center"/>
    </xf>
    <xf numFmtId="38" fontId="30" fillId="0" borderId="30" xfId="190" applyNumberFormat="1" applyFont="1" applyBorder="1" applyAlignment="1">
      <alignment horizontal="center" vertical="center"/>
    </xf>
    <xf numFmtId="170" fontId="26" fillId="0" borderId="111" xfId="190" applyNumberFormat="1" applyFont="1" applyBorder="1" applyAlignment="1">
      <alignment horizontal="center" vertical="center"/>
    </xf>
    <xf numFmtId="170" fontId="26" fillId="0" borderId="115" xfId="190" applyNumberFormat="1" applyFont="1" applyBorder="1" applyAlignment="1">
      <alignment horizontal="center" vertical="center"/>
    </xf>
    <xf numFmtId="170" fontId="26" fillId="0" borderId="112" xfId="190" applyNumberFormat="1" applyFont="1" applyBorder="1" applyAlignment="1">
      <alignment horizontal="center" vertical="center"/>
    </xf>
    <xf numFmtId="38" fontId="25" fillId="41" borderId="82" xfId="92" applyNumberFormat="1" applyFont="1" applyFill="1" applyBorder="1" applyAlignment="1">
      <alignment horizontal="center" vertical="center"/>
    </xf>
    <xf numFmtId="38" fontId="25" fillId="41" borderId="80" xfId="92" applyNumberFormat="1" applyFont="1" applyFill="1" applyBorder="1" applyAlignment="1">
      <alignment horizontal="center" vertical="center"/>
    </xf>
    <xf numFmtId="38" fontId="25" fillId="41" borderId="81" xfId="92" applyNumberFormat="1" applyFont="1" applyFill="1" applyBorder="1" applyAlignment="1">
      <alignment horizontal="center" vertical="center"/>
    </xf>
    <xf numFmtId="20" fontId="26" fillId="0" borderId="111" xfId="190" applyNumberFormat="1" applyFont="1" applyBorder="1" applyAlignment="1">
      <alignment horizontal="center" vertical="center"/>
    </xf>
    <xf numFmtId="20" fontId="26" fillId="0" borderId="112" xfId="190" applyNumberFormat="1" applyFont="1" applyBorder="1" applyAlignment="1">
      <alignment horizontal="center" vertical="center"/>
    </xf>
    <xf numFmtId="3" fontId="26" fillId="27" borderId="32" xfId="190" applyNumberFormat="1" applyFont="1" applyFill="1" applyBorder="1" applyAlignment="1">
      <alignment horizontal="center" vertical="center"/>
    </xf>
    <xf numFmtId="3" fontId="26" fillId="27" borderId="13" xfId="190" applyNumberFormat="1" applyFont="1" applyFill="1" applyBorder="1" applyAlignment="1">
      <alignment horizontal="center" vertical="center"/>
    </xf>
    <xf numFmtId="3" fontId="26" fillId="0" borderId="32" xfId="190" applyNumberFormat="1" applyFont="1" applyBorder="1" applyAlignment="1">
      <alignment horizontal="center" vertical="center"/>
    </xf>
    <xf numFmtId="3" fontId="26" fillId="0" borderId="13" xfId="190" applyNumberFormat="1" applyFont="1" applyBorder="1" applyAlignment="1">
      <alignment horizontal="center" vertical="center"/>
    </xf>
    <xf numFmtId="3" fontId="26" fillId="27" borderId="45" xfId="190" applyNumberFormat="1" applyFont="1" applyFill="1" applyBorder="1" applyAlignment="1">
      <alignment horizontal="center" vertical="center"/>
    </xf>
    <xf numFmtId="3" fontId="26" fillId="27" borderId="50" xfId="190" applyNumberFormat="1" applyFont="1" applyFill="1" applyBorder="1" applyAlignment="1">
      <alignment horizontal="center" vertical="center"/>
    </xf>
    <xf numFmtId="3" fontId="26" fillId="0" borderId="45" xfId="190" applyNumberFormat="1" applyFont="1" applyBorder="1" applyAlignment="1">
      <alignment horizontal="center" vertical="center"/>
    </xf>
    <xf numFmtId="3" fontId="26" fillId="0" borderId="50" xfId="190" applyNumberFormat="1" applyFont="1" applyBorder="1" applyAlignment="1">
      <alignment horizontal="center" vertical="center"/>
    </xf>
    <xf numFmtId="3" fontId="26" fillId="27" borderId="38" xfId="190" applyNumberFormat="1" applyFont="1" applyFill="1" applyBorder="1" applyAlignment="1">
      <alignment horizontal="center" vertical="center"/>
    </xf>
    <xf numFmtId="3" fontId="26" fillId="27" borderId="44" xfId="190" applyNumberFormat="1" applyFont="1" applyFill="1" applyBorder="1" applyAlignment="1">
      <alignment horizontal="center" vertical="center"/>
    </xf>
    <xf numFmtId="3" fontId="26" fillId="0" borderId="38" xfId="190" applyNumberFormat="1" applyFont="1" applyBorder="1" applyAlignment="1">
      <alignment horizontal="center" vertical="center"/>
    </xf>
    <xf numFmtId="3" fontId="26" fillId="0" borderId="44" xfId="190" applyNumberFormat="1" applyFont="1" applyBorder="1" applyAlignment="1">
      <alignment horizontal="center" vertical="center"/>
    </xf>
    <xf numFmtId="3" fontId="79" fillId="27" borderId="38" xfId="190" applyNumberFormat="1" applyFont="1" applyFill="1" applyBorder="1" applyAlignment="1">
      <alignment horizontal="center" vertical="center"/>
    </xf>
    <xf numFmtId="3" fontId="79" fillId="27" borderId="109" xfId="190" applyNumberFormat="1" applyFont="1" applyFill="1" applyBorder="1" applyAlignment="1">
      <alignment horizontal="center" vertical="center"/>
    </xf>
    <xf numFmtId="0" fontId="26" fillId="41" borderId="82" xfId="190" applyFont="1" applyFill="1" applyBorder="1" applyAlignment="1">
      <alignment horizontal="center" vertical="center"/>
    </xf>
    <xf numFmtId="0" fontId="26" fillId="41" borderId="81" xfId="190" applyFont="1" applyFill="1" applyBorder="1" applyAlignment="1">
      <alignment horizontal="center" vertical="center"/>
    </xf>
    <xf numFmtId="3" fontId="26" fillId="41" borderId="82" xfId="190" applyNumberFormat="1" applyFont="1" applyFill="1" applyBorder="1" applyAlignment="1">
      <alignment horizontal="center" vertical="center"/>
    </xf>
    <xf numFmtId="3" fontId="26" fillId="41" borderId="81" xfId="190" applyNumberFormat="1" applyFont="1" applyFill="1" applyBorder="1" applyAlignment="1">
      <alignment horizontal="center" vertical="center"/>
    </xf>
    <xf numFmtId="3" fontId="26" fillId="27" borderId="96" xfId="190" applyNumberFormat="1" applyFont="1" applyFill="1" applyBorder="1" applyAlignment="1">
      <alignment horizontal="center" vertical="center"/>
    </xf>
    <xf numFmtId="3" fontId="26" fillId="27" borderId="97" xfId="190" applyNumberFormat="1" applyFont="1" applyFill="1" applyBorder="1" applyAlignment="1">
      <alignment horizontal="center" vertical="center"/>
    </xf>
    <xf numFmtId="175" fontId="26" fillId="0" borderId="32" xfId="190" applyNumberFormat="1" applyFont="1" applyBorder="1" applyAlignment="1">
      <alignment horizontal="center" vertical="center"/>
    </xf>
    <xf numFmtId="175" fontId="26" fillId="0" borderId="13" xfId="190" applyNumberFormat="1" applyFont="1" applyBorder="1" applyAlignment="1">
      <alignment horizontal="center" vertical="center"/>
    </xf>
    <xf numFmtId="3" fontId="79" fillId="27" borderId="32" xfId="190" applyNumberFormat="1" applyFont="1" applyFill="1" applyBorder="1" applyAlignment="1">
      <alignment horizontal="center" vertical="center"/>
    </xf>
    <xf numFmtId="3" fontId="79" fillId="27" borderId="108" xfId="190" applyNumberFormat="1" applyFont="1" applyFill="1" applyBorder="1" applyAlignment="1">
      <alignment horizontal="center" vertical="center"/>
    </xf>
    <xf numFmtId="175" fontId="26" fillId="0" borderId="45" xfId="190" applyNumberFormat="1" applyFont="1" applyBorder="1" applyAlignment="1">
      <alignment horizontal="center" vertical="center"/>
    </xf>
    <xf numFmtId="175" fontId="26" fillId="0" borderId="50" xfId="190" applyNumberFormat="1" applyFont="1" applyBorder="1" applyAlignment="1">
      <alignment horizontal="center" vertical="center"/>
    </xf>
    <xf numFmtId="3" fontId="79" fillId="27" borderId="45" xfId="190" applyNumberFormat="1" applyFont="1" applyFill="1" applyBorder="1" applyAlignment="1">
      <alignment horizontal="center" vertical="center"/>
    </xf>
    <xf numFmtId="3" fontId="79" fillId="27" borderId="107" xfId="190" applyNumberFormat="1" applyFont="1" applyFill="1" applyBorder="1" applyAlignment="1">
      <alignment horizontal="center" vertical="center"/>
    </xf>
    <xf numFmtId="164" fontId="25" fillId="41" borderId="40" xfId="92" applyFont="1" applyFill="1" applyBorder="1" applyAlignment="1">
      <alignment horizontal="center" vertical="center"/>
    </xf>
    <xf numFmtId="164" fontId="25" fillId="41" borderId="68" xfId="92" applyFont="1" applyFill="1" applyBorder="1" applyAlignment="1">
      <alignment horizontal="center" vertical="center"/>
    </xf>
    <xf numFmtId="0" fontId="27" fillId="41" borderId="19" xfId="190" applyFont="1" applyFill="1" applyBorder="1" applyAlignment="1">
      <alignment horizontal="center" vertical="center"/>
    </xf>
    <xf numFmtId="38" fontId="26" fillId="41" borderId="82" xfId="92" applyNumberFormat="1" applyFont="1" applyFill="1" applyBorder="1" applyAlignment="1">
      <alignment horizontal="center" vertical="center" wrapText="1"/>
    </xf>
    <xf numFmtId="38" fontId="26" fillId="41" borderId="81" xfId="92" applyNumberFormat="1" applyFont="1" applyFill="1" applyBorder="1" applyAlignment="1">
      <alignment horizontal="center" vertical="center" wrapText="1"/>
    </xf>
    <xf numFmtId="38" fontId="26" fillId="41" borderId="82" xfId="92" applyNumberFormat="1" applyFont="1" applyFill="1" applyBorder="1" applyAlignment="1">
      <alignment horizontal="center" vertical="center"/>
    </xf>
    <xf numFmtId="38" fontId="26" fillId="41" borderId="81" xfId="92" applyNumberFormat="1" applyFont="1" applyFill="1" applyBorder="1" applyAlignment="1">
      <alignment horizontal="center" vertical="center"/>
    </xf>
    <xf numFmtId="38" fontId="79" fillId="41" borderId="82" xfId="92" applyNumberFormat="1" applyFont="1" applyFill="1" applyBorder="1" applyAlignment="1">
      <alignment horizontal="center" vertical="center" wrapText="1"/>
    </xf>
    <xf numFmtId="38" fontId="79" fillId="41" borderId="81" xfId="92" applyNumberFormat="1" applyFont="1" applyFill="1" applyBorder="1" applyAlignment="1">
      <alignment horizontal="center" vertical="center" wrapText="1"/>
    </xf>
    <xf numFmtId="38" fontId="79" fillId="41" borderId="57" xfId="92" applyNumberFormat="1" applyFont="1" applyFill="1" applyBorder="1" applyAlignment="1">
      <alignment horizontal="center" vertical="center" wrapText="1"/>
    </xf>
    <xf numFmtId="0" fontId="30" fillId="41" borderId="82" xfId="190" applyFont="1" applyFill="1" applyBorder="1" applyAlignment="1">
      <alignment horizontal="center" vertical="center" wrapText="1"/>
    </xf>
    <xf numFmtId="0" fontId="30" fillId="41" borderId="57" xfId="190" applyFont="1" applyFill="1" applyBorder="1" applyAlignment="1">
      <alignment horizontal="center" vertical="center"/>
    </xf>
    <xf numFmtId="38" fontId="26" fillId="0" borderId="96" xfId="92" applyNumberFormat="1" applyFont="1" applyFill="1" applyBorder="1" applyAlignment="1">
      <alignment horizontal="right" vertical="center"/>
    </xf>
    <xf numFmtId="38" fontId="26" fillId="0" borderId="98" xfId="92" applyNumberFormat="1" applyFont="1" applyFill="1" applyBorder="1" applyAlignment="1">
      <alignment horizontal="right" vertical="center"/>
    </xf>
    <xf numFmtId="3" fontId="26" fillId="51" borderId="26" xfId="134" applyNumberFormat="1" applyFont="1" applyFill="1" applyBorder="1" applyAlignment="1">
      <alignment horizontal="center" vertical="center"/>
    </xf>
    <xf numFmtId="3" fontId="26" fillId="51" borderId="34" xfId="134" applyNumberFormat="1" applyFont="1" applyFill="1" applyBorder="1" applyAlignment="1">
      <alignment horizontal="center" vertical="center"/>
    </xf>
    <xf numFmtId="38" fontId="25" fillId="41" borderId="24" xfId="92" applyNumberFormat="1" applyFont="1" applyFill="1" applyBorder="1" applyAlignment="1">
      <alignment horizontal="center" vertical="center"/>
    </xf>
    <xf numFmtId="38" fontId="25" fillId="41" borderId="26" xfId="92" applyNumberFormat="1" applyFont="1" applyFill="1" applyBorder="1" applyAlignment="1">
      <alignment horizontal="center" vertical="center"/>
    </xf>
    <xf numFmtId="0" fontId="59" fillId="0" borderId="66" xfId="190" applyFont="1" applyBorder="1" applyAlignment="1">
      <alignment horizontal="left" vertical="center"/>
    </xf>
    <xf numFmtId="0" fontId="59" fillId="0" borderId="67" xfId="190" applyFont="1" applyBorder="1" applyAlignment="1">
      <alignment horizontal="left" vertical="center"/>
    </xf>
    <xf numFmtId="0" fontId="59" fillId="0" borderId="80" xfId="190" applyFont="1" applyBorder="1" applyAlignment="1">
      <alignment horizontal="left" vertical="center"/>
    </xf>
    <xf numFmtId="0" fontId="59" fillId="0" borderId="57" xfId="190" applyFont="1" applyBorder="1" applyAlignment="1">
      <alignment horizontal="left" vertical="center"/>
    </xf>
    <xf numFmtId="181" fontId="59" fillId="0" borderId="80" xfId="190" applyNumberFormat="1" applyFont="1" applyBorder="1" applyAlignment="1">
      <alignment horizontal="left" vertical="center"/>
    </xf>
    <xf numFmtId="181" fontId="59" fillId="0" borderId="57" xfId="190" applyNumberFormat="1" applyFont="1" applyBorder="1" applyAlignment="1">
      <alignment horizontal="left" vertical="center"/>
    </xf>
    <xf numFmtId="0" fontId="25" fillId="41" borderId="29" xfId="190" applyFont="1" applyFill="1" applyBorder="1" applyAlignment="1">
      <alignment horizontal="center" vertical="center"/>
    </xf>
    <xf numFmtId="0" fontId="25" fillId="41" borderId="39" xfId="190" applyFont="1" applyFill="1" applyBorder="1" applyAlignment="1">
      <alignment horizontal="center" vertical="center"/>
    </xf>
    <xf numFmtId="0" fontId="25" fillId="41" borderId="29" xfId="190" applyFont="1" applyFill="1" applyBorder="1" applyAlignment="1">
      <alignment horizontal="center" vertical="center" wrapText="1"/>
    </xf>
    <xf numFmtId="0" fontId="25" fillId="41" borderId="39" xfId="190" applyFont="1" applyFill="1" applyBorder="1" applyAlignment="1">
      <alignment horizontal="center" vertical="center" wrapText="1"/>
    </xf>
    <xf numFmtId="0" fontId="59" fillId="0" borderId="85" xfId="190" applyFont="1" applyBorder="1" applyAlignment="1">
      <alignment horizontal="left" vertical="center"/>
    </xf>
    <xf numFmtId="0" fontId="59" fillId="0" borderId="99" xfId="190" applyFont="1" applyBorder="1" applyAlignment="1">
      <alignment horizontal="left" vertical="center"/>
    </xf>
    <xf numFmtId="0" fontId="25" fillId="41" borderId="60" xfId="190" applyFont="1" applyFill="1" applyBorder="1" applyAlignment="1">
      <alignment horizontal="center" vertical="center"/>
    </xf>
    <xf numFmtId="0" fontId="25" fillId="41" borderId="0" xfId="190" applyFont="1" applyFill="1" applyAlignment="1">
      <alignment horizontal="center" vertical="center"/>
    </xf>
    <xf numFmtId="0" fontId="25" fillId="41" borderId="17" xfId="190" applyFont="1" applyFill="1" applyBorder="1" applyAlignment="1">
      <alignment horizontal="center" vertical="center"/>
    </xf>
    <xf numFmtId="0" fontId="25" fillId="41" borderId="96" xfId="190" quotePrefix="1" applyFont="1" applyFill="1" applyBorder="1" applyAlignment="1">
      <alignment horizontal="center" vertical="center"/>
    </xf>
    <xf numFmtId="0" fontId="25" fillId="41" borderId="98" xfId="190" quotePrefix="1" applyFont="1" applyFill="1" applyBorder="1" applyAlignment="1">
      <alignment horizontal="center" vertical="center"/>
    </xf>
    <xf numFmtId="0" fontId="25" fillId="41" borderId="97" xfId="190" quotePrefix="1" applyFont="1" applyFill="1" applyBorder="1" applyAlignment="1">
      <alignment horizontal="center" vertical="center"/>
    </xf>
    <xf numFmtId="178" fontId="23" fillId="41" borderId="58" xfId="190" applyNumberFormat="1" applyFont="1" applyFill="1" applyBorder="1" applyAlignment="1">
      <alignment horizontal="center" vertical="center"/>
    </xf>
    <xf numFmtId="178" fontId="23" fillId="41" borderId="47" xfId="190" applyNumberFormat="1" applyFont="1" applyFill="1" applyBorder="1" applyAlignment="1">
      <alignment horizontal="center" vertical="center"/>
    </xf>
    <xf numFmtId="178" fontId="23" fillId="41" borderId="103" xfId="190" applyNumberFormat="1" applyFont="1" applyFill="1" applyBorder="1" applyAlignment="1">
      <alignment horizontal="center" vertical="center"/>
    </xf>
    <xf numFmtId="178" fontId="23" fillId="41" borderId="60" xfId="190" applyNumberFormat="1" applyFont="1" applyFill="1" applyBorder="1" applyAlignment="1">
      <alignment horizontal="center" vertical="center"/>
    </xf>
    <xf numFmtId="178" fontId="23" fillId="41" borderId="0" xfId="190" applyNumberFormat="1" applyFont="1" applyFill="1" applyAlignment="1">
      <alignment horizontal="center" vertical="center"/>
    </xf>
    <xf numFmtId="178" fontId="23" fillId="41" borderId="27" xfId="190" applyNumberFormat="1" applyFont="1" applyFill="1" applyBorder="1" applyAlignment="1">
      <alignment horizontal="center" vertical="center"/>
    </xf>
    <xf numFmtId="178" fontId="23" fillId="41" borderId="61" xfId="190" applyNumberFormat="1" applyFont="1" applyFill="1" applyBorder="1" applyAlignment="1">
      <alignment horizontal="center" vertical="center"/>
    </xf>
    <xf numFmtId="178" fontId="23" fillId="41" borderId="62" xfId="190" applyNumberFormat="1" applyFont="1" applyFill="1" applyBorder="1" applyAlignment="1">
      <alignment horizontal="center" vertical="center"/>
    </xf>
    <xf numFmtId="178" fontId="23" fillId="41" borderId="104" xfId="190" applyNumberFormat="1" applyFont="1" applyFill="1" applyBorder="1" applyAlignment="1">
      <alignment horizontal="center" vertical="center"/>
    </xf>
    <xf numFmtId="177" fontId="59" fillId="0" borderId="64" xfId="190" applyNumberFormat="1" applyFont="1" applyBorder="1" applyAlignment="1">
      <alignment horizontal="center" vertical="center"/>
    </xf>
    <xf numFmtId="177" fontId="59" fillId="0" borderId="66" xfId="190" applyNumberFormat="1" applyFont="1" applyBorder="1" applyAlignment="1">
      <alignment horizontal="center" vertical="center"/>
    </xf>
    <xf numFmtId="177" fontId="59" fillId="0" borderId="82" xfId="190" applyNumberFormat="1" applyFont="1" applyBorder="1" applyAlignment="1">
      <alignment horizontal="center" vertical="center"/>
    </xf>
    <xf numFmtId="177" fontId="59" fillId="0" borderId="80" xfId="190" applyNumberFormat="1" applyFont="1" applyBorder="1" applyAlignment="1">
      <alignment horizontal="center" vertical="center"/>
    </xf>
    <xf numFmtId="177" fontId="59" fillId="0" borderId="84" xfId="190" applyNumberFormat="1" applyFont="1" applyBorder="1" applyAlignment="1">
      <alignment horizontal="center" vertical="center"/>
    </xf>
    <xf numFmtId="177" fontId="59" fillId="0" borderId="85" xfId="190" applyNumberFormat="1" applyFont="1" applyBorder="1" applyAlignment="1">
      <alignment horizontal="center" vertical="center"/>
    </xf>
    <xf numFmtId="0" fontId="25" fillId="41" borderId="51" xfId="190" applyFont="1" applyFill="1" applyBorder="1" applyAlignment="1">
      <alignment horizontal="center" vertical="center"/>
    </xf>
    <xf numFmtId="164" fontId="25" fillId="41" borderId="32" xfId="92" applyFont="1" applyFill="1" applyBorder="1" applyAlignment="1">
      <alignment horizontal="center" vertical="center"/>
    </xf>
    <xf numFmtId="170" fontId="25" fillId="0" borderId="32" xfId="190" applyNumberFormat="1" applyFont="1" applyBorder="1" applyAlignment="1">
      <alignment horizontal="center" vertical="center"/>
    </xf>
    <xf numFmtId="170" fontId="25" fillId="0" borderId="19" xfId="190" applyNumberFormat="1" applyFont="1" applyBorder="1" applyAlignment="1">
      <alignment horizontal="center" vertical="center"/>
    </xf>
    <xf numFmtId="170" fontId="25" fillId="0" borderId="13" xfId="190" applyNumberFormat="1" applyFont="1" applyBorder="1" applyAlignment="1">
      <alignment horizontal="center" vertical="center"/>
    </xf>
    <xf numFmtId="38" fontId="26" fillId="41" borderId="57" xfId="92" applyNumberFormat="1" applyFont="1" applyFill="1" applyBorder="1" applyAlignment="1">
      <alignment horizontal="center" vertical="center"/>
    </xf>
    <xf numFmtId="175" fontId="26" fillId="41" borderId="82" xfId="190" applyNumberFormat="1" applyFont="1" applyFill="1" applyBorder="1" applyAlignment="1">
      <alignment horizontal="center" vertical="center"/>
    </xf>
    <xf numFmtId="175" fontId="26" fillId="41" borderId="81" xfId="190" applyNumberFormat="1" applyFont="1" applyFill="1" applyBorder="1" applyAlignment="1">
      <alignment horizontal="center" vertical="center"/>
    </xf>
    <xf numFmtId="3" fontId="26" fillId="41" borderId="57" xfId="190" applyNumberFormat="1" applyFont="1" applyFill="1" applyBorder="1" applyAlignment="1">
      <alignment horizontal="center" vertical="center"/>
    </xf>
    <xf numFmtId="3" fontId="79" fillId="27" borderId="96" xfId="190" applyNumberFormat="1" applyFont="1" applyFill="1" applyBorder="1" applyAlignment="1">
      <alignment horizontal="center" vertical="center"/>
    </xf>
    <xf numFmtId="3" fontId="79" fillId="27" borderId="110" xfId="190" applyNumberFormat="1" applyFont="1" applyFill="1" applyBorder="1" applyAlignment="1">
      <alignment horizontal="center" vertical="center"/>
    </xf>
    <xf numFmtId="3" fontId="26" fillId="0" borderId="96" xfId="190" applyNumberFormat="1" applyFont="1" applyBorder="1" applyAlignment="1">
      <alignment horizontal="center" vertical="center"/>
    </xf>
    <xf numFmtId="3" fontId="26" fillId="0" borderId="97" xfId="190" applyNumberFormat="1" applyFont="1" applyBorder="1" applyAlignment="1">
      <alignment horizontal="center" vertical="center"/>
    </xf>
    <xf numFmtId="175" fontId="26" fillId="0" borderId="38" xfId="190" applyNumberFormat="1" applyFont="1" applyBorder="1" applyAlignment="1">
      <alignment horizontal="center" vertical="center"/>
    </xf>
    <xf numFmtId="175" fontId="26" fillId="0" borderId="44" xfId="190" applyNumberFormat="1" applyFont="1" applyBorder="1" applyAlignment="1">
      <alignment horizontal="center" vertical="center"/>
    </xf>
    <xf numFmtId="3" fontId="79" fillId="41" borderId="82" xfId="190" applyNumberFormat="1" applyFont="1" applyFill="1" applyBorder="1" applyAlignment="1">
      <alignment horizontal="center" vertical="center"/>
    </xf>
    <xf numFmtId="3" fontId="79" fillId="41" borderId="57" xfId="190" applyNumberFormat="1" applyFont="1" applyFill="1" applyBorder="1" applyAlignment="1">
      <alignment horizontal="center" vertical="center"/>
    </xf>
    <xf numFmtId="175" fontId="26" fillId="0" borderId="96" xfId="190" applyNumberFormat="1" applyFont="1" applyBorder="1" applyAlignment="1">
      <alignment horizontal="center" vertical="center"/>
    </xf>
    <xf numFmtId="175" fontId="26" fillId="0" borderId="97" xfId="190" applyNumberFormat="1" applyFont="1" applyBorder="1" applyAlignment="1">
      <alignment horizontal="center" vertical="center"/>
    </xf>
    <xf numFmtId="43" fontId="26" fillId="27" borderId="32" xfId="91" applyFont="1" applyFill="1" applyBorder="1" applyAlignment="1">
      <alignment horizontal="center" vertical="center"/>
    </xf>
    <xf numFmtId="43" fontId="26" fillId="27" borderId="13" xfId="91" applyFont="1" applyFill="1" applyBorder="1" applyAlignment="1">
      <alignment horizontal="center" vertical="center"/>
    </xf>
    <xf numFmtId="43" fontId="26" fillId="27" borderId="96" xfId="91" applyFont="1" applyFill="1" applyBorder="1" applyAlignment="1">
      <alignment horizontal="center" vertical="center"/>
    </xf>
    <xf numFmtId="43" fontId="26" fillId="27" borderId="97" xfId="91" applyFont="1" applyFill="1" applyBorder="1" applyAlignment="1">
      <alignment horizontal="center" vertical="center"/>
    </xf>
    <xf numFmtId="38" fontId="26" fillId="41" borderId="80" xfId="92" applyNumberFormat="1" applyFont="1" applyFill="1" applyBorder="1" applyAlignment="1">
      <alignment horizontal="center" vertical="center"/>
    </xf>
    <xf numFmtId="3" fontId="26" fillId="29" borderId="96" xfId="190" applyNumberFormat="1" applyFont="1" applyFill="1" applyBorder="1" applyAlignment="1">
      <alignment horizontal="center" vertical="center"/>
    </xf>
    <xf numFmtId="3" fontId="26" fillId="29" borderId="98" xfId="190" applyNumberFormat="1" applyFont="1" applyFill="1" applyBorder="1" applyAlignment="1">
      <alignment horizontal="center" vertical="center"/>
    </xf>
    <xf numFmtId="3" fontId="26" fillId="29" borderId="97" xfId="190" applyNumberFormat="1" applyFont="1" applyFill="1" applyBorder="1" applyAlignment="1">
      <alignment horizontal="center" vertical="center"/>
    </xf>
    <xf numFmtId="3" fontId="30" fillId="29" borderId="96" xfId="190" applyNumberFormat="1" applyFont="1" applyFill="1" applyBorder="1" applyAlignment="1">
      <alignment horizontal="center" vertical="center"/>
    </xf>
    <xf numFmtId="3" fontId="30" fillId="29" borderId="98" xfId="190" applyNumberFormat="1" applyFont="1" applyFill="1" applyBorder="1" applyAlignment="1">
      <alignment horizontal="center" vertical="center"/>
    </xf>
    <xf numFmtId="3" fontId="30" fillId="29" borderId="110" xfId="190" applyNumberFormat="1" applyFont="1" applyFill="1" applyBorder="1" applyAlignment="1">
      <alignment horizontal="center" vertical="center"/>
    </xf>
    <xf numFmtId="3" fontId="26" fillId="0" borderId="19" xfId="190" applyNumberFormat="1" applyFont="1" applyBorder="1" applyAlignment="1">
      <alignment horizontal="center" vertical="center"/>
    </xf>
    <xf numFmtId="3" fontId="30" fillId="0" borderId="32" xfId="190" applyNumberFormat="1" applyFont="1" applyBorder="1" applyAlignment="1">
      <alignment horizontal="center" vertical="center"/>
    </xf>
    <xf numFmtId="3" fontId="30" fillId="0" borderId="19" xfId="190" applyNumberFormat="1" applyFont="1" applyBorder="1" applyAlignment="1">
      <alignment horizontal="center" vertical="center"/>
    </xf>
    <xf numFmtId="3" fontId="30" fillId="0" borderId="108" xfId="190" applyNumberFormat="1" applyFont="1" applyBorder="1" applyAlignment="1">
      <alignment horizontal="center" vertical="center"/>
    </xf>
    <xf numFmtId="43" fontId="26" fillId="27" borderId="38" xfId="91" applyFont="1" applyFill="1" applyBorder="1" applyAlignment="1">
      <alignment horizontal="center" vertical="center"/>
    </xf>
    <xf numFmtId="43" fontId="26" fillId="27" borderId="44" xfId="91" applyFont="1" applyFill="1" applyBorder="1" applyAlignment="1">
      <alignment horizontal="center" vertical="center"/>
    </xf>
    <xf numFmtId="0" fontId="73" fillId="0" borderId="24" xfId="190" applyFont="1" applyBorder="1" applyAlignment="1">
      <alignment horizontal="center" vertical="center"/>
    </xf>
    <xf numFmtId="0" fontId="73" fillId="0" borderId="26" xfId="190" applyFont="1" applyBorder="1" applyAlignment="1">
      <alignment horizontal="center" vertical="center"/>
    </xf>
    <xf numFmtId="0" fontId="73" fillId="0" borderId="21" xfId="190" applyFont="1" applyBorder="1" applyAlignment="1">
      <alignment horizontal="center" vertical="center"/>
    </xf>
    <xf numFmtId="0" fontId="73" fillId="0" borderId="27" xfId="190" applyFont="1" applyBorder="1" applyAlignment="1">
      <alignment horizontal="center" vertical="center"/>
    </xf>
    <xf numFmtId="3" fontId="26" fillId="29" borderId="45" xfId="190" applyNumberFormat="1" applyFont="1" applyFill="1" applyBorder="1" applyAlignment="1">
      <alignment horizontal="center" vertical="center"/>
    </xf>
    <xf numFmtId="3" fontId="26" fillId="29" borderId="49" xfId="190" applyNumberFormat="1" applyFont="1" applyFill="1" applyBorder="1" applyAlignment="1">
      <alignment horizontal="center" vertical="center"/>
    </xf>
    <xf numFmtId="3" fontId="26" fillId="29" borderId="50" xfId="190" applyNumberFormat="1" applyFont="1" applyFill="1" applyBorder="1" applyAlignment="1">
      <alignment horizontal="center" vertical="center"/>
    </xf>
    <xf numFmtId="3" fontId="26" fillId="29" borderId="32" xfId="190" applyNumberFormat="1" applyFont="1" applyFill="1" applyBorder="1" applyAlignment="1">
      <alignment horizontal="center" vertical="center"/>
    </xf>
    <xf numFmtId="3" fontId="26" fillId="29" borderId="19" xfId="190" applyNumberFormat="1" applyFont="1" applyFill="1" applyBorder="1" applyAlignment="1">
      <alignment horizontal="center" vertical="center"/>
    </xf>
    <xf numFmtId="3" fontId="26" fillId="29" borderId="13" xfId="190" applyNumberFormat="1" applyFont="1" applyFill="1" applyBorder="1" applyAlignment="1">
      <alignment horizontal="center" vertical="center"/>
    </xf>
    <xf numFmtId="179" fontId="26" fillId="41" borderId="82" xfId="134" applyNumberFormat="1" applyFont="1" applyFill="1" applyBorder="1" applyAlignment="1">
      <alignment horizontal="center" vertical="center"/>
    </xf>
    <xf numFmtId="179" fontId="26" fillId="41" borderId="80" xfId="134" applyNumberFormat="1" applyFont="1" applyFill="1" applyBorder="1" applyAlignment="1">
      <alignment horizontal="center" vertical="center"/>
    </xf>
    <xf numFmtId="179" fontId="26" fillId="41" borderId="57" xfId="134" applyNumberFormat="1" applyFont="1" applyFill="1" applyBorder="1" applyAlignment="1">
      <alignment horizontal="center" vertical="center"/>
    </xf>
    <xf numFmtId="20" fontId="26" fillId="0" borderId="38" xfId="190" applyNumberFormat="1" applyFont="1" applyBorder="1" applyAlignment="1">
      <alignment horizontal="center" vertical="center"/>
    </xf>
    <xf numFmtId="20" fontId="26" fillId="0" borderId="44" xfId="190" applyNumberFormat="1" applyFont="1" applyBorder="1" applyAlignment="1">
      <alignment horizontal="center" vertical="center"/>
    </xf>
    <xf numFmtId="3" fontId="30" fillId="29" borderId="32" xfId="190" applyNumberFormat="1" applyFont="1" applyFill="1" applyBorder="1" applyAlignment="1">
      <alignment horizontal="center" vertical="center"/>
    </xf>
    <xf numFmtId="3" fontId="30" fillId="29" borderId="19" xfId="190" applyNumberFormat="1" applyFont="1" applyFill="1" applyBorder="1" applyAlignment="1">
      <alignment horizontal="center" vertical="center"/>
    </xf>
    <xf numFmtId="3" fontId="30" fillId="29" borderId="108" xfId="190" applyNumberFormat="1" applyFont="1" applyFill="1" applyBorder="1" applyAlignment="1">
      <alignment horizontal="center" vertical="center"/>
    </xf>
    <xf numFmtId="3" fontId="35" fillId="44" borderId="51" xfId="0" applyNumberFormat="1" applyFont="1" applyFill="1" applyBorder="1" applyAlignment="1">
      <alignment horizontal="center" vertical="center" wrapText="1"/>
    </xf>
    <xf numFmtId="3" fontId="35" fillId="44" borderId="29" xfId="0" applyNumberFormat="1" applyFont="1" applyFill="1" applyBorder="1" applyAlignment="1">
      <alignment horizontal="center" vertical="center" wrapText="1"/>
    </xf>
    <xf numFmtId="3" fontId="35" fillId="44" borderId="52" xfId="0" applyNumberFormat="1" applyFont="1" applyFill="1" applyBorder="1" applyAlignment="1">
      <alignment horizontal="center" vertical="center" wrapText="1"/>
    </xf>
    <xf numFmtId="3" fontId="35" fillId="44" borderId="72" xfId="0" applyNumberFormat="1" applyFont="1" applyFill="1" applyBorder="1" applyAlignment="1">
      <alignment horizontal="center" vertical="center" wrapText="1"/>
    </xf>
    <xf numFmtId="3" fontId="35" fillId="44" borderId="70" xfId="0" applyNumberFormat="1" applyFont="1" applyFill="1" applyBorder="1" applyAlignment="1">
      <alignment horizontal="center" vertical="center" wrapText="1"/>
    </xf>
    <xf numFmtId="3" fontId="35" fillId="44" borderId="73" xfId="0" applyNumberFormat="1" applyFont="1" applyFill="1" applyBorder="1" applyAlignment="1">
      <alignment horizontal="center" vertical="center" wrapText="1"/>
    </xf>
    <xf numFmtId="176" fontId="77" fillId="0" borderId="58" xfId="0" applyNumberFormat="1" applyFont="1" applyBorder="1" applyAlignment="1">
      <alignment horizontal="center" vertical="center"/>
    </xf>
    <xf numFmtId="176" fontId="77" fillId="0" borderId="47" xfId="0" applyNumberFormat="1" applyFont="1" applyBorder="1" applyAlignment="1">
      <alignment horizontal="center" vertical="center"/>
    </xf>
    <xf numFmtId="176" fontId="77" fillId="0" borderId="59" xfId="0" applyNumberFormat="1" applyFont="1" applyBorder="1" applyAlignment="1">
      <alignment horizontal="center" vertical="center"/>
    </xf>
    <xf numFmtId="171" fontId="35" fillId="0" borderId="53" xfId="0" applyNumberFormat="1" applyFont="1" applyBorder="1" applyAlignment="1">
      <alignment horizontal="center" vertical="center" wrapText="1"/>
    </xf>
    <xf numFmtId="171" fontId="35" fillId="0" borderId="42" xfId="0" applyNumberFormat="1" applyFont="1" applyBorder="1" applyAlignment="1">
      <alignment horizontal="center" vertical="center" wrapText="1"/>
    </xf>
    <xf numFmtId="171" fontId="35" fillId="0" borderId="54" xfId="0" applyNumberFormat="1" applyFont="1" applyBorder="1" applyAlignment="1">
      <alignment horizontal="center" vertical="center" wrapText="1"/>
    </xf>
    <xf numFmtId="177" fontId="0" fillId="0" borderId="58" xfId="0" applyNumberFormat="1" applyBorder="1" applyAlignment="1">
      <alignment horizontal="left" vertical="center"/>
    </xf>
    <xf numFmtId="177" fontId="0" fillId="0" borderId="47" xfId="0" applyNumberFormat="1" applyBorder="1" applyAlignment="1">
      <alignment horizontal="left" vertical="center"/>
    </xf>
    <xf numFmtId="3" fontId="35" fillId="38" borderId="51" xfId="0" applyNumberFormat="1" applyFont="1" applyFill="1" applyBorder="1" applyAlignment="1">
      <alignment horizontal="center" vertical="center" wrapText="1"/>
    </xf>
    <xf numFmtId="3" fontId="35" fillId="38" borderId="29" xfId="0" applyNumberFormat="1" applyFont="1" applyFill="1" applyBorder="1" applyAlignment="1">
      <alignment horizontal="center" vertical="center" wrapText="1"/>
    </xf>
    <xf numFmtId="3" fontId="35" fillId="38" borderId="52" xfId="0" applyNumberFormat="1" applyFont="1" applyFill="1" applyBorder="1" applyAlignment="1">
      <alignment horizontal="center" vertical="center" wrapText="1"/>
    </xf>
    <xf numFmtId="3" fontId="35" fillId="35" borderId="72" xfId="0" applyNumberFormat="1" applyFont="1" applyFill="1" applyBorder="1" applyAlignment="1">
      <alignment horizontal="center" vertical="center" wrapText="1"/>
    </xf>
    <xf numFmtId="3" fontId="35" fillId="35" borderId="70" xfId="0" applyNumberFormat="1" applyFont="1" applyFill="1" applyBorder="1" applyAlignment="1">
      <alignment horizontal="center" vertical="center" wrapText="1"/>
    </xf>
    <xf numFmtId="3" fontId="35" fillId="35" borderId="73" xfId="0" applyNumberFormat="1" applyFont="1" applyFill="1" applyBorder="1" applyAlignment="1">
      <alignment horizontal="center" vertical="center" wrapText="1"/>
    </xf>
    <xf numFmtId="3" fontId="35" fillId="0" borderId="84" xfId="0" applyNumberFormat="1" applyFont="1" applyBorder="1" applyAlignment="1">
      <alignment horizontal="center" vertical="center" wrapText="1" shrinkToFit="1"/>
    </xf>
    <xf numFmtId="3" fontId="35" fillId="0" borderId="86" xfId="0" applyNumberFormat="1" applyFont="1" applyBorder="1" applyAlignment="1">
      <alignment horizontal="center" vertical="center" wrapText="1" shrinkToFit="1"/>
    </xf>
    <xf numFmtId="0" fontId="35" fillId="0" borderId="82" xfId="0" applyFont="1" applyBorder="1" applyAlignment="1">
      <alignment horizontal="center" vertical="center" wrapText="1"/>
    </xf>
    <xf numFmtId="0" fontId="35" fillId="0" borderId="81" xfId="0" applyFont="1" applyBorder="1" applyAlignment="1">
      <alignment horizontal="center" vertical="center" wrapText="1"/>
    </xf>
    <xf numFmtId="3" fontId="35" fillId="30" borderId="84" xfId="0" applyNumberFormat="1" applyFont="1" applyFill="1" applyBorder="1" applyAlignment="1">
      <alignment horizontal="center" vertical="center" wrapText="1" shrinkToFit="1"/>
    </xf>
    <xf numFmtId="3" fontId="35" fillId="30" borderId="85" xfId="0" applyNumberFormat="1" applyFont="1" applyFill="1" applyBorder="1" applyAlignment="1">
      <alignment horizontal="center" vertical="center" wrapText="1" shrinkToFit="1"/>
    </xf>
    <xf numFmtId="3" fontId="35" fillId="30" borderId="86" xfId="0" applyNumberFormat="1" applyFont="1" applyFill="1" applyBorder="1" applyAlignment="1">
      <alignment horizontal="center" vertical="center" wrapText="1" shrinkToFit="1"/>
    </xf>
    <xf numFmtId="0" fontId="35" fillId="0" borderId="80" xfId="0" applyFont="1" applyBorder="1" applyAlignment="1">
      <alignment horizontal="center" vertical="center" wrapText="1"/>
    </xf>
    <xf numFmtId="3" fontId="35" fillId="29" borderId="84" xfId="0" applyNumberFormat="1" applyFont="1" applyFill="1" applyBorder="1" applyAlignment="1">
      <alignment horizontal="center" vertical="center" wrapText="1" shrinkToFit="1"/>
    </xf>
    <xf numFmtId="3" fontId="35" fillId="29" borderId="85" xfId="0" applyNumberFormat="1" applyFont="1" applyFill="1" applyBorder="1" applyAlignment="1">
      <alignment horizontal="center" vertical="center" wrapText="1" shrinkToFit="1"/>
    </xf>
    <xf numFmtId="3" fontId="35" fillId="29" borderId="86" xfId="0" applyNumberFormat="1" applyFont="1" applyFill="1" applyBorder="1" applyAlignment="1">
      <alignment horizontal="center" vertical="center" wrapText="1" shrinkToFit="1"/>
    </xf>
    <xf numFmtId="177" fontId="0" fillId="0" borderId="60" xfId="0" applyNumberFormat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61" xfId="0" applyNumberFormat="1" applyBorder="1" applyAlignment="1">
      <alignment horizontal="left" vertical="center"/>
    </xf>
    <xf numFmtId="177" fontId="0" fillId="0" borderId="62" xfId="0" applyNumberFormat="1" applyBorder="1" applyAlignment="1">
      <alignment horizontal="left" vertical="center"/>
    </xf>
    <xf numFmtId="3" fontId="35" fillId="0" borderId="0" xfId="0" applyNumberFormat="1" applyFont="1" applyAlignment="1">
      <alignment horizontal="center" vertical="center"/>
    </xf>
    <xf numFmtId="3" fontId="35" fillId="37" borderId="51" xfId="0" applyNumberFormat="1" applyFont="1" applyFill="1" applyBorder="1" applyAlignment="1">
      <alignment horizontal="center" vertical="center" wrapText="1"/>
    </xf>
    <xf numFmtId="3" fontId="35" fillId="37" borderId="29" xfId="0" applyNumberFormat="1" applyFont="1" applyFill="1" applyBorder="1" applyAlignment="1">
      <alignment horizontal="center" vertical="center" wrapText="1"/>
    </xf>
    <xf numFmtId="3" fontId="35" fillId="37" borderId="52" xfId="0" applyNumberFormat="1" applyFont="1" applyFill="1" applyBorder="1" applyAlignment="1">
      <alignment horizontal="center" vertical="center" wrapText="1"/>
    </xf>
    <xf numFmtId="3" fontId="35" fillId="0" borderId="51" xfId="0" applyNumberFormat="1" applyFont="1" applyBorder="1" applyAlignment="1">
      <alignment horizontal="center" vertical="center"/>
    </xf>
    <xf numFmtId="3" fontId="35" fillId="0" borderId="17" xfId="0" applyNumberFormat="1" applyFont="1" applyBorder="1" applyAlignment="1">
      <alignment horizontal="center" vertical="center"/>
    </xf>
    <xf numFmtId="3" fontId="35" fillId="0" borderId="64" xfId="0" applyNumberFormat="1" applyFont="1" applyBorder="1" applyAlignment="1">
      <alignment horizontal="center" vertical="center"/>
    </xf>
    <xf numFmtId="3" fontId="35" fillId="0" borderId="66" xfId="0" applyNumberFormat="1" applyFont="1" applyBorder="1" applyAlignment="1">
      <alignment horizontal="center" vertical="center"/>
    </xf>
    <xf numFmtId="3" fontId="35" fillId="0" borderId="65" xfId="0" applyNumberFormat="1" applyFont="1" applyBorder="1" applyAlignment="1">
      <alignment horizontal="center" vertical="center"/>
    </xf>
    <xf numFmtId="3" fontId="35" fillId="0" borderId="64" xfId="0" applyNumberFormat="1" applyFont="1" applyBorder="1" applyAlignment="1">
      <alignment horizontal="center" vertical="center" wrapText="1"/>
    </xf>
    <xf numFmtId="3" fontId="35" fillId="0" borderId="66" xfId="0" applyNumberFormat="1" applyFont="1" applyBorder="1" applyAlignment="1">
      <alignment horizontal="center" vertical="center" wrapText="1"/>
    </xf>
    <xf numFmtId="3" fontId="35" fillId="0" borderId="65" xfId="0" applyNumberFormat="1" applyFont="1" applyBorder="1" applyAlignment="1">
      <alignment horizontal="center" vertical="center" wrapText="1"/>
    </xf>
    <xf numFmtId="3" fontId="35" fillId="29" borderId="81" xfId="0" applyNumberFormat="1" applyFont="1" applyFill="1" applyBorder="1" applyAlignment="1">
      <alignment horizontal="center" vertical="center" wrapText="1"/>
    </xf>
    <xf numFmtId="3" fontId="35" fillId="29" borderId="83" xfId="0" applyNumberFormat="1" applyFont="1" applyFill="1" applyBorder="1" applyAlignment="1">
      <alignment horizontal="center" vertical="center" wrapText="1"/>
    </xf>
    <xf numFmtId="3" fontId="35" fillId="30" borderId="82" xfId="0" applyNumberFormat="1" applyFont="1" applyFill="1" applyBorder="1" applyAlignment="1">
      <alignment horizontal="center" vertical="center" wrapText="1" shrinkToFit="1"/>
    </xf>
    <xf numFmtId="3" fontId="35" fillId="30" borderId="81" xfId="0" applyNumberFormat="1" applyFont="1" applyFill="1" applyBorder="1" applyAlignment="1">
      <alignment horizontal="center" vertical="center" wrapText="1" shrinkToFit="1"/>
    </xf>
    <xf numFmtId="3" fontId="35" fillId="29" borderId="85" xfId="0" applyNumberFormat="1" applyFont="1" applyFill="1" applyBorder="1" applyAlignment="1">
      <alignment horizontal="center" vertical="center" wrapText="1"/>
    </xf>
    <xf numFmtId="3" fontId="35" fillId="29" borderId="86" xfId="0" applyNumberFormat="1" applyFont="1" applyFill="1" applyBorder="1" applyAlignment="1">
      <alignment horizontal="center" vertical="center" wrapText="1"/>
    </xf>
    <xf numFmtId="3" fontId="36" fillId="29" borderId="80" xfId="0" applyNumberFormat="1" applyFont="1" applyFill="1" applyBorder="1" applyAlignment="1">
      <alignment horizontal="center" vertical="center"/>
    </xf>
    <xf numFmtId="3" fontId="36" fillId="29" borderId="81" xfId="0" applyNumberFormat="1" applyFont="1" applyFill="1" applyBorder="1" applyAlignment="1">
      <alignment horizontal="center" vertical="center"/>
    </xf>
    <xf numFmtId="3" fontId="36" fillId="31" borderId="82" xfId="0" applyNumberFormat="1" applyFont="1" applyFill="1" applyBorder="1" applyAlignment="1">
      <alignment horizontal="center" vertical="center"/>
    </xf>
    <xf numFmtId="3" fontId="36" fillId="31" borderId="80" xfId="0" applyNumberFormat="1" applyFont="1" applyFill="1" applyBorder="1" applyAlignment="1">
      <alignment horizontal="center" vertical="center"/>
    </xf>
    <xf numFmtId="3" fontId="36" fillId="31" borderId="81" xfId="0" applyNumberFormat="1" applyFont="1" applyFill="1" applyBorder="1" applyAlignment="1">
      <alignment horizontal="center" vertical="center"/>
    </xf>
    <xf numFmtId="3" fontId="36" fillId="29" borderId="85" xfId="0" applyNumberFormat="1" applyFont="1" applyFill="1" applyBorder="1" applyAlignment="1">
      <alignment horizontal="center" vertical="center"/>
    </xf>
    <xf numFmtId="3" fontId="36" fillId="29" borderId="86" xfId="0" applyNumberFormat="1" applyFont="1" applyFill="1" applyBorder="1" applyAlignment="1">
      <alignment horizontal="center" vertical="center"/>
    </xf>
    <xf numFmtId="3" fontId="36" fillId="31" borderId="84" xfId="0" applyNumberFormat="1" applyFont="1" applyFill="1" applyBorder="1" applyAlignment="1">
      <alignment horizontal="center" vertical="center"/>
    </xf>
    <xf numFmtId="3" fontId="36" fillId="31" borderId="85" xfId="0" applyNumberFormat="1" applyFont="1" applyFill="1" applyBorder="1" applyAlignment="1">
      <alignment horizontal="center" vertical="center"/>
    </xf>
    <xf numFmtId="3" fontId="36" fillId="31" borderId="86" xfId="0" applyNumberFormat="1" applyFont="1" applyFill="1" applyBorder="1" applyAlignment="1">
      <alignment horizontal="center" vertical="center"/>
    </xf>
    <xf numFmtId="3" fontId="35" fillId="43" borderId="82" xfId="0" applyNumberFormat="1" applyFont="1" applyFill="1" applyBorder="1" applyAlignment="1">
      <alignment horizontal="center" vertical="center" wrapText="1" shrinkToFit="1"/>
    </xf>
    <xf numFmtId="3" fontId="35" fillId="43" borderId="81" xfId="0" applyNumberFormat="1" applyFont="1" applyFill="1" applyBorder="1" applyAlignment="1">
      <alignment horizontal="center" vertical="center" wrapText="1" shrinkToFit="1"/>
    </xf>
    <xf numFmtId="3" fontId="35" fillId="32" borderId="82" xfId="0" applyNumberFormat="1" applyFont="1" applyFill="1" applyBorder="1" applyAlignment="1">
      <alignment horizontal="center" vertical="center" wrapText="1" shrinkToFit="1"/>
    </xf>
    <xf numFmtId="3" fontId="35" fillId="32" borderId="81" xfId="0" applyNumberFormat="1" applyFont="1" applyFill="1" applyBorder="1" applyAlignment="1">
      <alignment horizontal="center" vertical="center" wrapText="1" shrinkToFit="1"/>
    </xf>
    <xf numFmtId="3" fontId="35" fillId="26" borderId="82" xfId="0" applyNumberFormat="1" applyFont="1" applyFill="1" applyBorder="1" applyAlignment="1">
      <alignment horizontal="center" vertical="center" wrapText="1" shrinkToFit="1"/>
    </xf>
    <xf numFmtId="3" fontId="35" fillId="26" borderId="81" xfId="0" applyNumberFormat="1" applyFont="1" applyFill="1" applyBorder="1" applyAlignment="1">
      <alignment horizontal="center" vertical="center" wrapText="1" shrinkToFit="1"/>
    </xf>
    <xf numFmtId="3" fontId="35" fillId="28" borderId="82" xfId="0" applyNumberFormat="1" applyFont="1" applyFill="1" applyBorder="1" applyAlignment="1">
      <alignment horizontal="center" vertical="center" wrapText="1" shrinkToFit="1"/>
    </xf>
    <xf numFmtId="3" fontId="35" fillId="28" borderId="81" xfId="0" applyNumberFormat="1" applyFont="1" applyFill="1" applyBorder="1" applyAlignment="1">
      <alignment horizontal="center" vertical="center" wrapText="1" shrinkToFit="1"/>
    </xf>
    <xf numFmtId="3" fontId="24" fillId="39" borderId="24" xfId="0" applyNumberFormat="1" applyFont="1" applyFill="1" applyBorder="1" applyAlignment="1">
      <alignment horizontal="center" vertical="center"/>
    </xf>
    <xf numFmtId="3" fontId="24" fillId="39" borderId="16" xfId="0" applyNumberFormat="1" applyFont="1" applyFill="1" applyBorder="1" applyAlignment="1">
      <alignment horizontal="center" vertical="center"/>
    </xf>
    <xf numFmtId="3" fontId="24" fillId="39" borderId="26" xfId="0" applyNumberFormat="1" applyFont="1" applyFill="1" applyBorder="1" applyAlignment="1">
      <alignment horizontal="center" vertical="center"/>
    </xf>
    <xf numFmtId="3" fontId="24" fillId="39" borderId="30" xfId="0" applyNumberFormat="1" applyFont="1" applyFill="1" applyBorder="1" applyAlignment="1">
      <alignment horizontal="center" vertical="center"/>
    </xf>
    <xf numFmtId="3" fontId="24" fillId="39" borderId="14" xfId="0" applyNumberFormat="1" applyFont="1" applyFill="1" applyBorder="1" applyAlignment="1">
      <alignment horizontal="center" vertical="center"/>
    </xf>
    <xf numFmtId="3" fontId="24" fillId="39" borderId="34" xfId="0" applyNumberFormat="1" applyFont="1" applyFill="1" applyBorder="1" applyAlignment="1">
      <alignment horizontal="center" vertical="center"/>
    </xf>
    <xf numFmtId="3" fontId="24" fillId="39" borderId="83" xfId="0" applyNumberFormat="1" applyFont="1" applyFill="1" applyBorder="1" applyAlignment="1">
      <alignment horizontal="center" vertical="center"/>
    </xf>
    <xf numFmtId="3" fontId="24" fillId="39" borderId="82" xfId="0" applyNumberFormat="1" applyFont="1" applyFill="1" applyBorder="1" applyAlignment="1">
      <alignment horizontal="center" vertical="center"/>
    </xf>
    <xf numFmtId="3" fontId="24" fillId="39" borderId="80" xfId="0" applyNumberFormat="1" applyFont="1" applyFill="1" applyBorder="1" applyAlignment="1">
      <alignment horizontal="center" vertical="center"/>
    </xf>
    <xf numFmtId="3" fontId="24" fillId="39" borderId="81" xfId="0" applyNumberFormat="1" applyFont="1" applyFill="1" applyBorder="1" applyAlignment="1">
      <alignment horizontal="center" vertical="center"/>
    </xf>
    <xf numFmtId="3" fontId="24" fillId="0" borderId="30" xfId="0" applyNumberFormat="1" applyFont="1" applyBorder="1" applyAlignment="1">
      <alignment horizontal="center" vertical="center"/>
    </xf>
    <xf numFmtId="3" fontId="24" fillId="0" borderId="34" xfId="0" applyNumberFormat="1" applyFont="1" applyBorder="1" applyAlignment="1">
      <alignment horizontal="center" vertical="center"/>
    </xf>
    <xf numFmtId="3" fontId="24" fillId="0" borderId="40" xfId="0" applyNumberFormat="1" applyFont="1" applyBorder="1" applyAlignment="1">
      <alignment horizontal="center" vertical="center"/>
    </xf>
    <xf numFmtId="3" fontId="24" fillId="0" borderId="21" xfId="0" applyNumberFormat="1" applyFont="1" applyBorder="1" applyAlignment="1">
      <alignment horizontal="center" vertical="center"/>
    </xf>
    <xf numFmtId="3" fontId="24" fillId="0" borderId="45" xfId="0" applyNumberFormat="1" applyFont="1" applyBorder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3" fontId="85" fillId="0" borderId="0" xfId="0" applyNumberFormat="1" applyFont="1" applyAlignment="1">
      <alignment horizontal="center" vertical="center"/>
    </xf>
    <xf numFmtId="3" fontId="24" fillId="0" borderId="32" xfId="0" applyNumberFormat="1" applyFont="1" applyBorder="1" applyAlignment="1">
      <alignment horizontal="center" vertical="center" wrapText="1"/>
    </xf>
    <xf numFmtId="3" fontId="24" fillId="0" borderId="13" xfId="0" applyNumberFormat="1" applyFont="1" applyBorder="1" applyAlignment="1">
      <alignment horizontal="center" vertical="center" wrapText="1"/>
    </xf>
    <xf numFmtId="3" fontId="24" fillId="0" borderId="96" xfId="0" applyNumberFormat="1" applyFont="1" applyBorder="1" applyAlignment="1">
      <alignment horizontal="center" vertical="center"/>
    </xf>
    <xf numFmtId="3" fontId="24" fillId="0" borderId="97" xfId="0" applyNumberFormat="1" applyFont="1" applyBorder="1" applyAlignment="1">
      <alignment horizontal="center" vertical="center"/>
    </xf>
    <xf numFmtId="3" fontId="24" fillId="0" borderId="32" xfId="0" applyNumberFormat="1" applyFont="1" applyBorder="1" applyAlignment="1">
      <alignment horizontal="center" vertical="center"/>
    </xf>
    <xf numFmtId="3" fontId="24" fillId="0" borderId="13" xfId="0" applyNumberFormat="1" applyFont="1" applyBorder="1" applyAlignment="1">
      <alignment horizontal="center" vertical="center"/>
    </xf>
  </cellXfs>
  <cellStyles count="312">
    <cellStyle name="20% - Accent1" xfId="1" xr:uid="{00000000-0005-0000-0000-000000000000}"/>
    <cellStyle name="20% - Accent1 2" xfId="2" xr:uid="{00000000-0005-0000-0000-000001000000}"/>
    <cellStyle name="20% - Accent1 3" xfId="193" xr:uid="{00000000-0005-0000-0000-000002000000}"/>
    <cellStyle name="20% - Accent2" xfId="3" xr:uid="{00000000-0005-0000-0000-000003000000}"/>
    <cellStyle name="20% - Accent2 2" xfId="4" xr:uid="{00000000-0005-0000-0000-000004000000}"/>
    <cellStyle name="20% - Accent2 3" xfId="194" xr:uid="{00000000-0005-0000-0000-000005000000}"/>
    <cellStyle name="20% - Accent3" xfId="5" xr:uid="{00000000-0005-0000-0000-000006000000}"/>
    <cellStyle name="20% - Accent3 2" xfId="6" xr:uid="{00000000-0005-0000-0000-000007000000}"/>
    <cellStyle name="20% - Accent3 3" xfId="195" xr:uid="{00000000-0005-0000-0000-000008000000}"/>
    <cellStyle name="20% - Accent4" xfId="7" xr:uid="{00000000-0005-0000-0000-000009000000}"/>
    <cellStyle name="20% - Accent4 2" xfId="8" xr:uid="{00000000-0005-0000-0000-00000A000000}"/>
    <cellStyle name="20% - Accent4 3" xfId="196" xr:uid="{00000000-0005-0000-0000-00000B000000}"/>
    <cellStyle name="20% - Accent5" xfId="9" xr:uid="{00000000-0005-0000-0000-00000C000000}"/>
    <cellStyle name="20% - Accent5 2" xfId="10" xr:uid="{00000000-0005-0000-0000-00000D000000}"/>
    <cellStyle name="20% - Accent5 3" xfId="197" xr:uid="{00000000-0005-0000-0000-00000E000000}"/>
    <cellStyle name="20% - Accent6" xfId="11" xr:uid="{00000000-0005-0000-0000-00000F000000}"/>
    <cellStyle name="20% - Accent6 2" xfId="12" xr:uid="{00000000-0005-0000-0000-000010000000}"/>
    <cellStyle name="20% - Accent6 3" xfId="198" xr:uid="{00000000-0005-0000-0000-000011000000}"/>
    <cellStyle name="20% - 강조색1" xfId="13" xr:uid="{00000000-0005-0000-0000-000012000000}"/>
    <cellStyle name="20% - 강조색1 2" xfId="14" xr:uid="{00000000-0005-0000-0000-000013000000}"/>
    <cellStyle name="20% - 강조색2" xfId="15" xr:uid="{00000000-0005-0000-0000-000014000000}"/>
    <cellStyle name="20% - 강조색2 2" xfId="16" xr:uid="{00000000-0005-0000-0000-000015000000}"/>
    <cellStyle name="20% - 강조색3" xfId="17" xr:uid="{00000000-0005-0000-0000-000016000000}"/>
    <cellStyle name="20% - 강조색3 2" xfId="18" xr:uid="{00000000-0005-0000-0000-000017000000}"/>
    <cellStyle name="20% - 강조색4" xfId="19" xr:uid="{00000000-0005-0000-0000-000018000000}"/>
    <cellStyle name="20% - 강조색4 2" xfId="20" xr:uid="{00000000-0005-0000-0000-000019000000}"/>
    <cellStyle name="20% - 강조색5" xfId="21" xr:uid="{00000000-0005-0000-0000-00001A000000}"/>
    <cellStyle name="20% - 강조색5 2" xfId="22" xr:uid="{00000000-0005-0000-0000-00001B000000}"/>
    <cellStyle name="20% - 강조색6" xfId="23" xr:uid="{00000000-0005-0000-0000-00001C000000}"/>
    <cellStyle name="20% - 강조색6 2" xfId="24" xr:uid="{00000000-0005-0000-0000-00001D000000}"/>
    <cellStyle name="40% - Accent1" xfId="25" xr:uid="{00000000-0005-0000-0000-00001E000000}"/>
    <cellStyle name="40% - Accent1 2" xfId="26" xr:uid="{00000000-0005-0000-0000-00001F000000}"/>
    <cellStyle name="40% - Accent1 3" xfId="199" xr:uid="{00000000-0005-0000-0000-000020000000}"/>
    <cellStyle name="40% - Accent2" xfId="27" xr:uid="{00000000-0005-0000-0000-000021000000}"/>
    <cellStyle name="40% - Accent2 2" xfId="28" xr:uid="{00000000-0005-0000-0000-000022000000}"/>
    <cellStyle name="40% - Accent2 3" xfId="200" xr:uid="{00000000-0005-0000-0000-000023000000}"/>
    <cellStyle name="40% - Accent3" xfId="29" xr:uid="{00000000-0005-0000-0000-000024000000}"/>
    <cellStyle name="40% - Accent3 2" xfId="30" xr:uid="{00000000-0005-0000-0000-000025000000}"/>
    <cellStyle name="40% - Accent3 3" xfId="201" xr:uid="{00000000-0005-0000-0000-000026000000}"/>
    <cellStyle name="40% - Accent4" xfId="31" xr:uid="{00000000-0005-0000-0000-000027000000}"/>
    <cellStyle name="40% - Accent4 2" xfId="32" xr:uid="{00000000-0005-0000-0000-000028000000}"/>
    <cellStyle name="40% - Accent4 3" xfId="202" xr:uid="{00000000-0005-0000-0000-000029000000}"/>
    <cellStyle name="40% - Accent5" xfId="33" xr:uid="{00000000-0005-0000-0000-00002A000000}"/>
    <cellStyle name="40% - Accent5 2" xfId="34" xr:uid="{00000000-0005-0000-0000-00002B000000}"/>
    <cellStyle name="40% - Accent5 3" xfId="203" xr:uid="{00000000-0005-0000-0000-00002C000000}"/>
    <cellStyle name="40% - Accent6" xfId="35" xr:uid="{00000000-0005-0000-0000-00002D000000}"/>
    <cellStyle name="40% - Accent6 2" xfId="36" xr:uid="{00000000-0005-0000-0000-00002E000000}"/>
    <cellStyle name="40% - Accent6 3" xfId="204" xr:uid="{00000000-0005-0000-0000-00002F000000}"/>
    <cellStyle name="40% - 강조색1" xfId="37" xr:uid="{00000000-0005-0000-0000-000030000000}"/>
    <cellStyle name="40% - 강조색1 2" xfId="38" xr:uid="{00000000-0005-0000-0000-000031000000}"/>
    <cellStyle name="40% - 강조색2" xfId="39" xr:uid="{00000000-0005-0000-0000-000032000000}"/>
    <cellStyle name="40% - 강조색2 2" xfId="40" xr:uid="{00000000-0005-0000-0000-000033000000}"/>
    <cellStyle name="40% - 강조색3" xfId="41" xr:uid="{00000000-0005-0000-0000-000034000000}"/>
    <cellStyle name="40% - 강조색3 2" xfId="42" xr:uid="{00000000-0005-0000-0000-000035000000}"/>
    <cellStyle name="40% - 강조색4" xfId="43" xr:uid="{00000000-0005-0000-0000-000036000000}"/>
    <cellStyle name="40% - 강조색4 2" xfId="44" xr:uid="{00000000-0005-0000-0000-000037000000}"/>
    <cellStyle name="40% - 강조색5" xfId="45" xr:uid="{00000000-0005-0000-0000-000038000000}"/>
    <cellStyle name="40% - 강조색5 2" xfId="46" xr:uid="{00000000-0005-0000-0000-000039000000}"/>
    <cellStyle name="40% - 강조색6" xfId="47" xr:uid="{00000000-0005-0000-0000-00003A000000}"/>
    <cellStyle name="40% - 강조색6 2" xfId="48" xr:uid="{00000000-0005-0000-0000-00003B000000}"/>
    <cellStyle name="60% - Accent1" xfId="49" xr:uid="{00000000-0005-0000-0000-00003C000000}"/>
    <cellStyle name="60% - Accent1 2" xfId="50" xr:uid="{00000000-0005-0000-0000-00003D000000}"/>
    <cellStyle name="60% - Accent1 3" xfId="205" xr:uid="{00000000-0005-0000-0000-00003E000000}"/>
    <cellStyle name="60% - Accent2" xfId="51" xr:uid="{00000000-0005-0000-0000-00003F000000}"/>
    <cellStyle name="60% - Accent2 2" xfId="52" xr:uid="{00000000-0005-0000-0000-000040000000}"/>
    <cellStyle name="60% - Accent2 3" xfId="206" xr:uid="{00000000-0005-0000-0000-000041000000}"/>
    <cellStyle name="60% - Accent3" xfId="53" xr:uid="{00000000-0005-0000-0000-000042000000}"/>
    <cellStyle name="60% - Accent3 2" xfId="54" xr:uid="{00000000-0005-0000-0000-000043000000}"/>
    <cellStyle name="60% - Accent3 3" xfId="207" xr:uid="{00000000-0005-0000-0000-000044000000}"/>
    <cellStyle name="60% - Accent4" xfId="55" xr:uid="{00000000-0005-0000-0000-000045000000}"/>
    <cellStyle name="60% - Accent4 2" xfId="56" xr:uid="{00000000-0005-0000-0000-000046000000}"/>
    <cellStyle name="60% - Accent4 3" xfId="208" xr:uid="{00000000-0005-0000-0000-000047000000}"/>
    <cellStyle name="60% - Accent5" xfId="57" xr:uid="{00000000-0005-0000-0000-000048000000}"/>
    <cellStyle name="60% - Accent5 2" xfId="58" xr:uid="{00000000-0005-0000-0000-000049000000}"/>
    <cellStyle name="60% - Accent5 3" xfId="209" xr:uid="{00000000-0005-0000-0000-00004A000000}"/>
    <cellStyle name="60% - Accent6" xfId="59" xr:uid="{00000000-0005-0000-0000-00004B000000}"/>
    <cellStyle name="60% - Accent6 2" xfId="60" xr:uid="{00000000-0005-0000-0000-00004C000000}"/>
    <cellStyle name="60% - Accent6 3" xfId="210" xr:uid="{00000000-0005-0000-0000-00004D000000}"/>
    <cellStyle name="60% - 강조색1" xfId="61" xr:uid="{00000000-0005-0000-0000-00004E000000}"/>
    <cellStyle name="60% - 강조색1 2" xfId="62" xr:uid="{00000000-0005-0000-0000-00004F000000}"/>
    <cellStyle name="60% - 강조색2" xfId="63" xr:uid="{00000000-0005-0000-0000-000050000000}"/>
    <cellStyle name="60% - 강조색2 2" xfId="64" xr:uid="{00000000-0005-0000-0000-000051000000}"/>
    <cellStyle name="60% - 강조색3" xfId="65" xr:uid="{00000000-0005-0000-0000-000052000000}"/>
    <cellStyle name="60% - 강조색3 2" xfId="66" xr:uid="{00000000-0005-0000-0000-000053000000}"/>
    <cellStyle name="60% - 강조색4" xfId="67" xr:uid="{00000000-0005-0000-0000-000054000000}"/>
    <cellStyle name="60% - 강조색4 2" xfId="68" xr:uid="{00000000-0005-0000-0000-000055000000}"/>
    <cellStyle name="60% - 강조색5" xfId="69" xr:uid="{00000000-0005-0000-0000-000056000000}"/>
    <cellStyle name="60% - 강조색5 2" xfId="70" xr:uid="{00000000-0005-0000-0000-000057000000}"/>
    <cellStyle name="60% - 강조색6" xfId="71" xr:uid="{00000000-0005-0000-0000-000058000000}"/>
    <cellStyle name="60% - 강조색6 2" xfId="72" xr:uid="{00000000-0005-0000-0000-000059000000}"/>
    <cellStyle name="Accent1" xfId="73" xr:uid="{00000000-0005-0000-0000-00005A000000}"/>
    <cellStyle name="Accent1 2" xfId="74" xr:uid="{00000000-0005-0000-0000-00005B000000}"/>
    <cellStyle name="Accent1 3" xfId="211" xr:uid="{00000000-0005-0000-0000-00005C000000}"/>
    <cellStyle name="Accent2" xfId="75" xr:uid="{00000000-0005-0000-0000-00005D000000}"/>
    <cellStyle name="Accent2 2" xfId="76" xr:uid="{00000000-0005-0000-0000-00005E000000}"/>
    <cellStyle name="Accent2 3" xfId="212" xr:uid="{00000000-0005-0000-0000-00005F000000}"/>
    <cellStyle name="Accent3" xfId="77" xr:uid="{00000000-0005-0000-0000-000060000000}"/>
    <cellStyle name="Accent3 2" xfId="78" xr:uid="{00000000-0005-0000-0000-000061000000}"/>
    <cellStyle name="Accent3 3" xfId="213" xr:uid="{00000000-0005-0000-0000-000062000000}"/>
    <cellStyle name="Accent4" xfId="79" xr:uid="{00000000-0005-0000-0000-000063000000}"/>
    <cellStyle name="Accent4 2" xfId="80" xr:uid="{00000000-0005-0000-0000-000064000000}"/>
    <cellStyle name="Accent4 3" xfId="214" xr:uid="{00000000-0005-0000-0000-000065000000}"/>
    <cellStyle name="Accent5" xfId="81" xr:uid="{00000000-0005-0000-0000-000066000000}"/>
    <cellStyle name="Accent5 2" xfId="82" xr:uid="{00000000-0005-0000-0000-000067000000}"/>
    <cellStyle name="Accent5 3" xfId="215" xr:uid="{00000000-0005-0000-0000-000068000000}"/>
    <cellStyle name="Accent6" xfId="83" xr:uid="{00000000-0005-0000-0000-000069000000}"/>
    <cellStyle name="Accent6 2" xfId="84" xr:uid="{00000000-0005-0000-0000-00006A000000}"/>
    <cellStyle name="Accent6 3" xfId="216" xr:uid="{00000000-0005-0000-0000-00006B000000}"/>
    <cellStyle name="Bad" xfId="85" xr:uid="{00000000-0005-0000-0000-00006C000000}"/>
    <cellStyle name="Bad 2" xfId="86" xr:uid="{00000000-0005-0000-0000-00006D000000}"/>
    <cellStyle name="Bad 3" xfId="217" xr:uid="{00000000-0005-0000-0000-00006E000000}"/>
    <cellStyle name="Calculation" xfId="87" xr:uid="{00000000-0005-0000-0000-00006F000000}"/>
    <cellStyle name="Calculation 2" xfId="88" xr:uid="{00000000-0005-0000-0000-000070000000}"/>
    <cellStyle name="Calculation 2 2" xfId="298" xr:uid="{00000000-0005-0000-0000-000071000000}"/>
    <cellStyle name="Calculation 3" xfId="218" xr:uid="{00000000-0005-0000-0000-000072000000}"/>
    <cellStyle name="Calculation 3 2" xfId="287" xr:uid="{00000000-0005-0000-0000-000073000000}"/>
    <cellStyle name="Calculation 4" xfId="307" xr:uid="{00000000-0005-0000-0000-000074000000}"/>
    <cellStyle name="Check Cell" xfId="89" xr:uid="{00000000-0005-0000-0000-000075000000}"/>
    <cellStyle name="Check Cell 2" xfId="90" xr:uid="{00000000-0005-0000-0000-000076000000}"/>
    <cellStyle name="Check Cell 3" xfId="219" xr:uid="{00000000-0005-0000-0000-000077000000}"/>
    <cellStyle name="Comma" xfId="91" builtinId="3"/>
    <cellStyle name="Comma [0]_Coal Production 0710" xfId="92" xr:uid="{00000000-0005-0000-0000-00007A000000}"/>
    <cellStyle name="Comma 10" xfId="93" xr:uid="{00000000-0005-0000-0000-00007B000000}"/>
    <cellStyle name="Comma 10 2" xfId="221" xr:uid="{00000000-0005-0000-0000-00007C000000}"/>
    <cellStyle name="Comma 11" xfId="94" xr:uid="{00000000-0005-0000-0000-00007D000000}"/>
    <cellStyle name="Comma 11 2" xfId="222" xr:uid="{00000000-0005-0000-0000-00007E000000}"/>
    <cellStyle name="Comma 12" xfId="95" xr:uid="{00000000-0005-0000-0000-00007F000000}"/>
    <cellStyle name="Comma 12 2" xfId="223" xr:uid="{00000000-0005-0000-0000-000080000000}"/>
    <cellStyle name="Comma 13" xfId="96" xr:uid="{00000000-0005-0000-0000-000081000000}"/>
    <cellStyle name="Comma 13 2" xfId="224" xr:uid="{00000000-0005-0000-0000-000082000000}"/>
    <cellStyle name="Comma 14" xfId="97" xr:uid="{00000000-0005-0000-0000-000083000000}"/>
    <cellStyle name="Comma 14 2" xfId="225" xr:uid="{00000000-0005-0000-0000-000084000000}"/>
    <cellStyle name="Comma 15" xfId="98" xr:uid="{00000000-0005-0000-0000-000085000000}"/>
    <cellStyle name="Comma 15 2" xfId="226" xr:uid="{00000000-0005-0000-0000-000086000000}"/>
    <cellStyle name="Comma 16" xfId="99" xr:uid="{00000000-0005-0000-0000-000087000000}"/>
    <cellStyle name="Comma 16 2" xfId="227" xr:uid="{00000000-0005-0000-0000-000088000000}"/>
    <cellStyle name="Comma 17" xfId="100" xr:uid="{00000000-0005-0000-0000-000089000000}"/>
    <cellStyle name="Comma 17 2" xfId="228" xr:uid="{00000000-0005-0000-0000-00008A000000}"/>
    <cellStyle name="Comma 18" xfId="101" xr:uid="{00000000-0005-0000-0000-00008B000000}"/>
    <cellStyle name="Comma 18 2" xfId="229" xr:uid="{00000000-0005-0000-0000-00008C000000}"/>
    <cellStyle name="Comma 19" xfId="220" xr:uid="{00000000-0005-0000-0000-00008D000000}"/>
    <cellStyle name="Comma 2" xfId="102" xr:uid="{00000000-0005-0000-0000-00008E000000}"/>
    <cellStyle name="Comma 2 2" xfId="260" xr:uid="{00000000-0005-0000-0000-00008F000000}"/>
    <cellStyle name="Comma 2 2 2" xfId="279" xr:uid="{00000000-0005-0000-0000-000090000000}"/>
    <cellStyle name="Comma 2 3" xfId="230" xr:uid="{00000000-0005-0000-0000-000091000000}"/>
    <cellStyle name="Comma 20" xfId="263" xr:uid="{00000000-0005-0000-0000-000092000000}"/>
    <cellStyle name="Comma 21" xfId="264" xr:uid="{00000000-0005-0000-0000-000093000000}"/>
    <cellStyle name="Comma 22" xfId="265" xr:uid="{00000000-0005-0000-0000-000094000000}"/>
    <cellStyle name="Comma 23" xfId="266" xr:uid="{00000000-0005-0000-0000-000095000000}"/>
    <cellStyle name="Comma 3" xfId="103" xr:uid="{00000000-0005-0000-0000-000096000000}"/>
    <cellStyle name="Comma 3 2" xfId="231" xr:uid="{00000000-0005-0000-0000-000097000000}"/>
    <cellStyle name="Comma 4" xfId="104" xr:uid="{00000000-0005-0000-0000-000098000000}"/>
    <cellStyle name="Comma 4 2" xfId="232" xr:uid="{00000000-0005-0000-0000-000099000000}"/>
    <cellStyle name="Comma 5" xfId="105" xr:uid="{00000000-0005-0000-0000-00009A000000}"/>
    <cellStyle name="Comma 5 2" xfId="233" xr:uid="{00000000-0005-0000-0000-00009B000000}"/>
    <cellStyle name="Comma 6" xfId="106" xr:uid="{00000000-0005-0000-0000-00009C000000}"/>
    <cellStyle name="Comma 6 2" xfId="234" xr:uid="{00000000-0005-0000-0000-00009D000000}"/>
    <cellStyle name="Comma 7" xfId="107" xr:uid="{00000000-0005-0000-0000-00009E000000}"/>
    <cellStyle name="Comma 7 2" xfId="235" xr:uid="{00000000-0005-0000-0000-00009F000000}"/>
    <cellStyle name="Comma 8" xfId="108" xr:uid="{00000000-0005-0000-0000-0000A0000000}"/>
    <cellStyle name="Comma 8 2" xfId="236" xr:uid="{00000000-0005-0000-0000-0000A1000000}"/>
    <cellStyle name="Comma 9" xfId="109" xr:uid="{00000000-0005-0000-0000-0000A2000000}"/>
    <cellStyle name="Comma 9 2" xfId="237" xr:uid="{00000000-0005-0000-0000-0000A3000000}"/>
    <cellStyle name="Currency [0]" xfId="310" builtinId="7"/>
    <cellStyle name="Explanatory Text" xfId="110" xr:uid="{00000000-0005-0000-0000-0000A5000000}"/>
    <cellStyle name="Explanatory Text 2" xfId="111" xr:uid="{00000000-0005-0000-0000-0000A6000000}"/>
    <cellStyle name="Explanatory Text 3" xfId="238" xr:uid="{00000000-0005-0000-0000-0000A7000000}"/>
    <cellStyle name="Followed Hyperlink" xfId="278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0" builtinId="9" hidden="1"/>
    <cellStyle name="Followed Hyperlink" xfId="268" builtinId="9" hidden="1"/>
    <cellStyle name="Good" xfId="112" xr:uid="{00000000-0005-0000-0000-0000AE000000}"/>
    <cellStyle name="Good 2" xfId="113" xr:uid="{00000000-0005-0000-0000-0000AF000000}"/>
    <cellStyle name="Good 3" xfId="239" xr:uid="{00000000-0005-0000-0000-0000B0000000}"/>
    <cellStyle name="Heading 1" xfId="114" xr:uid="{00000000-0005-0000-0000-0000B1000000}"/>
    <cellStyle name="Heading 1 2" xfId="115" xr:uid="{00000000-0005-0000-0000-0000B2000000}"/>
    <cellStyle name="Heading 1 3" xfId="240" xr:uid="{00000000-0005-0000-0000-0000B3000000}"/>
    <cellStyle name="Heading 2" xfId="116" xr:uid="{00000000-0005-0000-0000-0000B4000000}"/>
    <cellStyle name="Heading 2 2" xfId="117" xr:uid="{00000000-0005-0000-0000-0000B5000000}"/>
    <cellStyle name="Heading 2 3" xfId="241" xr:uid="{00000000-0005-0000-0000-0000B6000000}"/>
    <cellStyle name="Heading 3" xfId="118" xr:uid="{00000000-0005-0000-0000-0000B7000000}"/>
    <cellStyle name="Heading 3 2" xfId="119" xr:uid="{00000000-0005-0000-0000-0000B8000000}"/>
    <cellStyle name="Heading 3 3" xfId="242" xr:uid="{00000000-0005-0000-0000-0000B9000000}"/>
    <cellStyle name="Heading 4" xfId="120" xr:uid="{00000000-0005-0000-0000-0000BA000000}"/>
    <cellStyle name="Heading 4 2" xfId="121" xr:uid="{00000000-0005-0000-0000-0000BB000000}"/>
    <cellStyle name="Heading 4 3" xfId="243" xr:uid="{00000000-0005-0000-0000-0000BC000000}"/>
    <cellStyle name="Hyperlink" xfId="273" builtinId="8" hidden="1"/>
    <cellStyle name="Hyperlink" xfId="275" builtinId="8" hidden="1"/>
    <cellStyle name="Hyperlink" xfId="277" builtinId="8" hidden="1"/>
    <cellStyle name="Hyperlink" xfId="269" builtinId="8" hidden="1"/>
    <cellStyle name="Hyperlink" xfId="271" builtinId="8" hidden="1"/>
    <cellStyle name="Hyperlink" xfId="267" builtinId="8" hidden="1"/>
    <cellStyle name="Input" xfId="122" xr:uid="{00000000-0005-0000-0000-0000C3000000}"/>
    <cellStyle name="Input 2" xfId="123" xr:uid="{00000000-0005-0000-0000-0000C4000000}"/>
    <cellStyle name="Input 2 2" xfId="306" xr:uid="{00000000-0005-0000-0000-0000C5000000}"/>
    <cellStyle name="Input 3" xfId="244" xr:uid="{00000000-0005-0000-0000-0000C6000000}"/>
    <cellStyle name="Input 3 2" xfId="286" xr:uid="{00000000-0005-0000-0000-0000C7000000}"/>
    <cellStyle name="Input 4" xfId="297" xr:uid="{00000000-0005-0000-0000-0000C8000000}"/>
    <cellStyle name="Linked Cell" xfId="124" xr:uid="{00000000-0005-0000-0000-0000C9000000}"/>
    <cellStyle name="Linked Cell 2" xfId="125" xr:uid="{00000000-0005-0000-0000-0000CA000000}"/>
    <cellStyle name="Linked Cell 3" xfId="245" xr:uid="{00000000-0005-0000-0000-0000CB000000}"/>
    <cellStyle name="Neutral" xfId="126" xr:uid="{00000000-0005-0000-0000-0000CC000000}"/>
    <cellStyle name="Neutral 2" xfId="127" xr:uid="{00000000-0005-0000-0000-0000CD000000}"/>
    <cellStyle name="Neutral 3" xfId="246" xr:uid="{00000000-0005-0000-0000-0000CE000000}"/>
    <cellStyle name="Normal" xfId="0" builtinId="0"/>
    <cellStyle name="Normal 2" xfId="128" xr:uid="{00000000-0005-0000-0000-0000D0000000}"/>
    <cellStyle name="Normal 2 15" xfId="280" xr:uid="{00000000-0005-0000-0000-0000D1000000}"/>
    <cellStyle name="Normal 2 2" xfId="261" xr:uid="{00000000-0005-0000-0000-0000D2000000}"/>
    <cellStyle name="Normal 2 3" xfId="247" xr:uid="{00000000-0005-0000-0000-0000D3000000}"/>
    <cellStyle name="Normal 3" xfId="129" xr:uid="{00000000-0005-0000-0000-0000D4000000}"/>
    <cellStyle name="Normal 3 2" xfId="248" xr:uid="{00000000-0005-0000-0000-0000D5000000}"/>
    <cellStyle name="Normal 3 3" xfId="281" xr:uid="{00000000-0005-0000-0000-0000D6000000}"/>
    <cellStyle name="Normal 4" xfId="192" xr:uid="{00000000-0005-0000-0000-0000D7000000}"/>
    <cellStyle name="Normal 5" xfId="259" xr:uid="{00000000-0005-0000-0000-0000D8000000}"/>
    <cellStyle name="Normal 5 2" xfId="308" xr:uid="{00000000-0005-0000-0000-0000D9000000}"/>
    <cellStyle name="Normal 6" xfId="191" xr:uid="{00000000-0005-0000-0000-0000DA000000}"/>
    <cellStyle name="Normal 7" xfId="311" xr:uid="{00000000-0005-0000-0000-000039010000}"/>
    <cellStyle name="Note" xfId="130" xr:uid="{00000000-0005-0000-0000-0000DB000000}"/>
    <cellStyle name="Note 2" xfId="131" xr:uid="{00000000-0005-0000-0000-0000DC000000}"/>
    <cellStyle name="Note 2 2" xfId="250" xr:uid="{00000000-0005-0000-0000-0000DD000000}"/>
    <cellStyle name="Note 2 2 2" xfId="285" xr:uid="{00000000-0005-0000-0000-0000DE000000}"/>
    <cellStyle name="Note 2 3" xfId="305" xr:uid="{00000000-0005-0000-0000-0000DF000000}"/>
    <cellStyle name="Note 3" xfId="249" xr:uid="{00000000-0005-0000-0000-0000E0000000}"/>
    <cellStyle name="Note 3 2" xfId="299" xr:uid="{00000000-0005-0000-0000-0000E1000000}"/>
    <cellStyle name="Note 4" xfId="296" xr:uid="{00000000-0005-0000-0000-0000E2000000}"/>
    <cellStyle name="Output" xfId="132" xr:uid="{00000000-0005-0000-0000-0000E3000000}"/>
    <cellStyle name="Output 2" xfId="133" xr:uid="{00000000-0005-0000-0000-0000E4000000}"/>
    <cellStyle name="Output 2 2" xfId="304" xr:uid="{00000000-0005-0000-0000-0000E5000000}"/>
    <cellStyle name="Output 3" xfId="251" xr:uid="{00000000-0005-0000-0000-0000E6000000}"/>
    <cellStyle name="Output 3 2" xfId="284" xr:uid="{00000000-0005-0000-0000-0000E7000000}"/>
    <cellStyle name="Output 4" xfId="295" xr:uid="{00000000-0005-0000-0000-0000E8000000}"/>
    <cellStyle name="Percent" xfId="134" builtinId="5"/>
    <cellStyle name="Percent 2" xfId="135" xr:uid="{00000000-0005-0000-0000-0000EA000000}"/>
    <cellStyle name="Percent 2 2" xfId="262" xr:uid="{00000000-0005-0000-0000-0000EB000000}"/>
    <cellStyle name="Percent 2 3" xfId="253" xr:uid="{00000000-0005-0000-0000-0000EC000000}"/>
    <cellStyle name="Percent 3" xfId="136" xr:uid="{00000000-0005-0000-0000-0000ED000000}"/>
    <cellStyle name="Percent 3 2" xfId="254" xr:uid="{00000000-0005-0000-0000-0000EE000000}"/>
    <cellStyle name="Percent 4" xfId="252" xr:uid="{00000000-0005-0000-0000-0000EF000000}"/>
    <cellStyle name="Title" xfId="137" xr:uid="{00000000-0005-0000-0000-0000F0000000}"/>
    <cellStyle name="Title 2" xfId="138" xr:uid="{00000000-0005-0000-0000-0000F1000000}"/>
    <cellStyle name="Title 3" xfId="255" xr:uid="{00000000-0005-0000-0000-0000F2000000}"/>
    <cellStyle name="Total" xfId="139" xr:uid="{00000000-0005-0000-0000-0000F3000000}"/>
    <cellStyle name="Total 2" xfId="140" xr:uid="{00000000-0005-0000-0000-0000F4000000}"/>
    <cellStyle name="Total 2 2" xfId="309" xr:uid="{00000000-0005-0000-0000-0000F5000000}"/>
    <cellStyle name="Total 3" xfId="256" xr:uid="{00000000-0005-0000-0000-0000F6000000}"/>
    <cellStyle name="Total 3 2" xfId="283" xr:uid="{00000000-0005-0000-0000-0000F7000000}"/>
    <cellStyle name="Total 4" xfId="303" xr:uid="{00000000-0005-0000-0000-0000F8000000}"/>
    <cellStyle name="Warning Text" xfId="141" xr:uid="{00000000-0005-0000-0000-0000F9000000}"/>
    <cellStyle name="Warning Text 2" xfId="142" xr:uid="{00000000-0005-0000-0000-0000FA000000}"/>
    <cellStyle name="Warning Text 3" xfId="257" xr:uid="{00000000-0005-0000-0000-0000FB000000}"/>
    <cellStyle name="강조색1" xfId="143" xr:uid="{00000000-0005-0000-0000-0000FC000000}"/>
    <cellStyle name="강조색1 2" xfId="144" xr:uid="{00000000-0005-0000-0000-0000FD000000}"/>
    <cellStyle name="강조색2" xfId="145" xr:uid="{00000000-0005-0000-0000-0000FE000000}"/>
    <cellStyle name="강조색2 2" xfId="146" xr:uid="{00000000-0005-0000-0000-0000FF000000}"/>
    <cellStyle name="강조색3" xfId="147" xr:uid="{00000000-0005-0000-0000-000000010000}"/>
    <cellStyle name="강조색3 2" xfId="148" xr:uid="{00000000-0005-0000-0000-000001010000}"/>
    <cellStyle name="강조색4" xfId="149" xr:uid="{00000000-0005-0000-0000-000002010000}"/>
    <cellStyle name="강조색4 2" xfId="150" xr:uid="{00000000-0005-0000-0000-000003010000}"/>
    <cellStyle name="강조색5" xfId="151" xr:uid="{00000000-0005-0000-0000-000004010000}"/>
    <cellStyle name="강조색5 2" xfId="152" xr:uid="{00000000-0005-0000-0000-000005010000}"/>
    <cellStyle name="강조색6" xfId="153" xr:uid="{00000000-0005-0000-0000-000006010000}"/>
    <cellStyle name="강조색6 2" xfId="154" xr:uid="{00000000-0005-0000-0000-000007010000}"/>
    <cellStyle name="경고문" xfId="155" xr:uid="{00000000-0005-0000-0000-000008010000}"/>
    <cellStyle name="경고문 2" xfId="156" xr:uid="{00000000-0005-0000-0000-000009010000}"/>
    <cellStyle name="계산" xfId="157" xr:uid="{00000000-0005-0000-0000-00000A010000}"/>
    <cellStyle name="계산 2" xfId="158" xr:uid="{00000000-0005-0000-0000-00000B010000}"/>
    <cellStyle name="계산 2 2" xfId="302" xr:uid="{00000000-0005-0000-0000-00000C010000}"/>
    <cellStyle name="계산 3" xfId="294" xr:uid="{00000000-0005-0000-0000-00000D010000}"/>
    <cellStyle name="나쁨" xfId="159" xr:uid="{00000000-0005-0000-0000-00000E010000}"/>
    <cellStyle name="나쁨 2" xfId="160" xr:uid="{00000000-0005-0000-0000-00000F010000}"/>
    <cellStyle name="메모" xfId="161" xr:uid="{00000000-0005-0000-0000-000010010000}"/>
    <cellStyle name="메모 2" xfId="162" xr:uid="{00000000-0005-0000-0000-000011010000}"/>
    <cellStyle name="메모 2 2" xfId="258" xr:uid="{00000000-0005-0000-0000-000012010000}"/>
    <cellStyle name="메모 2 2 2" xfId="282" xr:uid="{00000000-0005-0000-0000-000013010000}"/>
    <cellStyle name="메모 2 3" xfId="292" xr:uid="{00000000-0005-0000-0000-000014010000}"/>
    <cellStyle name="메모 3" xfId="293" xr:uid="{00000000-0005-0000-0000-000015010000}"/>
    <cellStyle name="보통" xfId="163" xr:uid="{00000000-0005-0000-0000-000016010000}"/>
    <cellStyle name="보통 2" xfId="164" xr:uid="{00000000-0005-0000-0000-000017010000}"/>
    <cellStyle name="설명 텍스트" xfId="165" xr:uid="{00000000-0005-0000-0000-000018010000}"/>
    <cellStyle name="설명 텍스트 2" xfId="166" xr:uid="{00000000-0005-0000-0000-000019010000}"/>
    <cellStyle name="셀 확인" xfId="167" xr:uid="{00000000-0005-0000-0000-00001A010000}"/>
    <cellStyle name="셀 확인 2" xfId="168" xr:uid="{00000000-0005-0000-0000-00001B010000}"/>
    <cellStyle name="연결된 셀" xfId="169" xr:uid="{00000000-0005-0000-0000-00001C010000}"/>
    <cellStyle name="연결된 셀 2" xfId="170" xr:uid="{00000000-0005-0000-0000-00001D010000}"/>
    <cellStyle name="요약" xfId="171" xr:uid="{00000000-0005-0000-0000-00001E010000}"/>
    <cellStyle name="요약 2" xfId="172" xr:uid="{00000000-0005-0000-0000-00001F010000}"/>
    <cellStyle name="요약 2 2" xfId="291" xr:uid="{00000000-0005-0000-0000-000020010000}"/>
    <cellStyle name="요약 3" xfId="301" xr:uid="{00000000-0005-0000-0000-000021010000}"/>
    <cellStyle name="입력" xfId="173" xr:uid="{00000000-0005-0000-0000-000022010000}"/>
    <cellStyle name="입력 2" xfId="174" xr:uid="{00000000-0005-0000-0000-000023010000}"/>
    <cellStyle name="입력 2 2" xfId="300" xr:uid="{00000000-0005-0000-0000-000024010000}"/>
    <cellStyle name="입력 3" xfId="290" xr:uid="{00000000-0005-0000-0000-000025010000}"/>
    <cellStyle name="제목" xfId="175" xr:uid="{00000000-0005-0000-0000-000026010000}"/>
    <cellStyle name="제목 1" xfId="176" xr:uid="{00000000-0005-0000-0000-000027010000}"/>
    <cellStyle name="제목 1 2" xfId="177" xr:uid="{00000000-0005-0000-0000-000028010000}"/>
    <cellStyle name="제목 2" xfId="178" xr:uid="{00000000-0005-0000-0000-000029010000}"/>
    <cellStyle name="제목 2 2" xfId="179" xr:uid="{00000000-0005-0000-0000-00002A010000}"/>
    <cellStyle name="제목 3" xfId="180" xr:uid="{00000000-0005-0000-0000-00002B010000}"/>
    <cellStyle name="제목 3 2" xfId="181" xr:uid="{00000000-0005-0000-0000-00002C010000}"/>
    <cellStyle name="제목 4" xfId="182" xr:uid="{00000000-0005-0000-0000-00002D010000}"/>
    <cellStyle name="제목 4 2" xfId="183" xr:uid="{00000000-0005-0000-0000-00002E010000}"/>
    <cellStyle name="제목 5" xfId="184" xr:uid="{00000000-0005-0000-0000-00002F010000}"/>
    <cellStyle name="좋음" xfId="185" xr:uid="{00000000-0005-0000-0000-000030010000}"/>
    <cellStyle name="좋음 2" xfId="186" xr:uid="{00000000-0005-0000-0000-000031010000}"/>
    <cellStyle name="출력" xfId="187" xr:uid="{00000000-0005-0000-0000-000032010000}"/>
    <cellStyle name="출력 2" xfId="188" xr:uid="{00000000-0005-0000-0000-000033010000}"/>
    <cellStyle name="출력 2 2" xfId="288" xr:uid="{00000000-0005-0000-0000-000034010000}"/>
    <cellStyle name="출력 3" xfId="289" xr:uid="{00000000-0005-0000-0000-000035010000}"/>
    <cellStyle name="표준_Vol_Sump_2010-Mar" xfId="189" xr:uid="{00000000-0005-0000-0000-000036010000}"/>
    <cellStyle name="표준_생산속보" xfId="190" xr:uid="{00000000-0005-0000-0000-00003701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5050"/>
      <color rgb="FFB9F9C4"/>
      <color rgb="FF8AFB77"/>
      <color rgb="FF7EF492"/>
      <color rgb="FF77FB84"/>
      <color rgb="FF45F956"/>
      <color rgb="FF94F6A4"/>
      <color rgb="FFA7F7B4"/>
      <color rgb="FFCC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(Jan!$A$47:$A$50,Jan!$A$52,Jan!$A$54:$A$57)</c15:sqref>
                  </c15:fullRef>
                </c:ext>
              </c:extLst>
              <c:f>(Jan!$A$47:$A$50,Jan!$A$52,Jan!$A$54,Jan!$A$56:$A$57)</c:f>
              <c:strCache>
                <c:ptCount val="8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C</c:v>
                </c:pt>
                <c:pt idx="7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(Jan!$B$47:$B$50,Jan!$B$52,Jan!$B$54:$B$57)</c15:sqref>
                  </c15:fullRef>
                </c:ext>
              </c:extLst>
              <c:f>(Jan!$B$47:$B$50,Jan!$B$52,Jan!$B$54,Jan!$B$56:$B$57)</c:f>
              <c:numCache>
                <c:formatCode>#,##0</c:formatCode>
                <c:ptCount val="8"/>
                <c:pt idx="0">
                  <c:v>70000</c:v>
                </c:pt>
                <c:pt idx="1">
                  <c:v>150000</c:v>
                </c:pt>
                <c:pt idx="2">
                  <c:v>239999.99999999997</c:v>
                </c:pt>
                <c:pt idx="3">
                  <c:v>50000</c:v>
                </c:pt>
                <c:pt idx="4">
                  <c:v>80000</c:v>
                </c:pt>
                <c:pt idx="5">
                  <c:v>600000</c:v>
                </c:pt>
                <c:pt idx="7">
                  <c:v>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A-4EEF-B0ED-C32C237134D8}"/>
            </c:ext>
          </c:extLst>
        </c:ser>
        <c:ser>
          <c:idx val="1"/>
          <c:order val="1"/>
          <c:tx>
            <c:strRef>
              <c:f>Jan!$C$46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(Jan!$A$47:$A$50,Jan!$A$52,Jan!$A$54:$A$57)</c15:sqref>
                  </c15:fullRef>
                </c:ext>
              </c:extLst>
              <c:f>(Jan!$A$47:$A$50,Jan!$A$52,Jan!$A$54,Jan!$A$56:$A$57)</c:f>
              <c:strCache>
                <c:ptCount val="8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C</c:v>
                </c:pt>
                <c:pt idx="7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(Jan!$C$47:$C$50,Jan!$C$52,Jan!$C$54:$C$57)</c15:sqref>
                  </c15:fullRef>
                </c:ext>
              </c:extLst>
              <c:f>(Jan!$C$47:$C$50,Jan!$C$52,Jan!$C$54,Jan!$C$56:$C$57)</c:f>
              <c:numCache>
                <c:formatCode>#,##0</c:formatCode>
                <c:ptCount val="8"/>
                <c:pt idx="0">
                  <c:v>54950</c:v>
                </c:pt>
                <c:pt idx="1">
                  <c:v>202480</c:v>
                </c:pt>
                <c:pt idx="2">
                  <c:v>272378</c:v>
                </c:pt>
                <c:pt idx="3">
                  <c:v>36986</c:v>
                </c:pt>
                <c:pt idx="4">
                  <c:v>73819</c:v>
                </c:pt>
                <c:pt idx="5">
                  <c:v>647737</c:v>
                </c:pt>
                <c:pt idx="7">
                  <c:v>1025342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A-4EEF-B0ED-C32C2371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Aug!$B$47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(Aug!$A$48:$A$51,Aug!$A$53,Aug!$A$55:$A$57)</c15:sqref>
                  </c15:fullRef>
                </c:ext>
              </c:extLst>
              <c:f>(Aug!$A$48:$A$51,Aug!$A$53,Aug!$A$55,Aug!$A$57)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(Aug!$B$48:$B$51,Aug!$B$53,Aug!$B$55:$B$57)</c15:sqref>
                  </c15:fullRef>
                </c:ext>
              </c:extLst>
              <c:f>(Aug!$B$48:$B$51,Aug!$B$53,Aug!$B$55,Aug!$B$57)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2-4E2C-8008-DFF2B7F1E121}"/>
            </c:ext>
          </c:extLst>
        </c:ser>
        <c:ser>
          <c:idx val="1"/>
          <c:order val="1"/>
          <c:tx>
            <c:strRef>
              <c:f>Aug!$C$47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(Aug!$A$48:$A$51,Aug!$A$53,Aug!$A$55:$A$57)</c15:sqref>
                  </c15:fullRef>
                </c:ext>
              </c:extLst>
              <c:f>(Aug!$A$48:$A$51,Aug!$A$53,Aug!$A$55,Aug!$A$57)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(Aug!$C$48:$C$51,Aug!$C$53,Aug!$C$55:$C$57)</c15:sqref>
                  </c15:fullRef>
                </c:ext>
              </c:extLst>
              <c:f>(Aug!$C$48:$C$51,Aug!$C$53,Aug!$C$55,Aug!$C$57)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2-4E2C-8008-DFF2B7F1E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Aug!$B$47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Aug!$A$63:$A$66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Aug!$B$63:$B$66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FAE-97EA-07152633626F}"/>
            </c:ext>
          </c:extLst>
        </c:ser>
        <c:ser>
          <c:idx val="1"/>
          <c:order val="1"/>
          <c:tx>
            <c:strRef>
              <c:f>Aug!$C$47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Aug!$A$63:$A$66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Aug!$C$63:$C$66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3-4FAE-97EA-071526336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Aug!$B$47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Aug!$A$71:$A$73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Aug!$B$71:$B$73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D-4DC7-8C17-42DB84F5EA8A}"/>
            </c:ext>
          </c:extLst>
        </c:ser>
        <c:ser>
          <c:idx val="1"/>
          <c:order val="1"/>
          <c:tx>
            <c:strRef>
              <c:f>Aug!$C$47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Aug!$A$71:$A$73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Aug!$C$71:$C$73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D-4DC7-8C17-42DB84F5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(Sep!$A$47:$A$50,Sep!$A$52,Sep!$A$54:$A$56)</c15:sqref>
                  </c15:fullRef>
                </c:ext>
              </c:extLst>
              <c:f>(Sep!$A$47:$A$50,Sep!$A$52,Sep!$A$54,Sep!$A$56)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(Sep!$B$47:$B$50,Sep!$B$52,Sep!$B$54:$B$56)</c15:sqref>
                  </c15:fullRef>
                </c:ext>
              </c:extLst>
              <c:f>(Sep!$B$47:$B$50,Sep!$B$52,Sep!$B$54,Sep!$B$56)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2-4888-B2E9-52F5645585B1}"/>
            </c:ext>
          </c:extLst>
        </c:ser>
        <c:ser>
          <c:idx val="1"/>
          <c:order val="1"/>
          <c:tx>
            <c:strRef>
              <c:f>Sep!$C$46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(Sep!$A$47:$A$50,Sep!$A$52,Sep!$A$54:$A$56)</c15:sqref>
                  </c15:fullRef>
                </c:ext>
              </c:extLst>
              <c:f>(Sep!$A$47:$A$50,Sep!$A$52,Sep!$A$54,Sep!$A$56)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(Sep!$C$47:$C$50,Sep!$C$52,Sep!$C$54:$C$56)</c15:sqref>
                  </c15:fullRef>
                </c:ext>
              </c:extLst>
              <c:f>(Sep!$C$47:$C$50,Sep!$C$52,Sep!$C$54,Sep!$C$56)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2-4888-B2E9-52F56455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Sep!$A$62:$A$65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Sep!$B$62:$B$65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5-4DB4-AB4D-AB509A38AD82}"/>
            </c:ext>
          </c:extLst>
        </c:ser>
        <c:ser>
          <c:idx val="1"/>
          <c:order val="1"/>
          <c:tx>
            <c:strRef>
              <c:f>Sep!$C$46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Sep!$A$62:$A$65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Sep!$C$62:$C$65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5-4DB4-AB4D-AB509A38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Sep!$A$70:$A$72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Sep!$B$70:$B$72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2-42EB-85CB-3949B7CD33F7}"/>
            </c:ext>
          </c:extLst>
        </c:ser>
        <c:ser>
          <c:idx val="1"/>
          <c:order val="1"/>
          <c:tx>
            <c:strRef>
              <c:f>Sep!$C$46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Sep!$A$70:$A$72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Sep!$C$70:$C$72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2-42EB-85CB-3949B7CD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(Oct!$A$48:$A$51,Oct!$A$53,Oct!$A$55:$A$57)</c15:sqref>
                  </c15:fullRef>
                </c:ext>
              </c:extLst>
              <c:f>(Oct!$A$48:$A$51,Oct!$A$53,Oct!$A$55,Oct!$A$57)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(Oct!$B$48:$B$51,Oct!$B$53,Oct!$B$55:$B$57)</c15:sqref>
                  </c15:fullRef>
                </c:ext>
              </c:extLst>
              <c:f>(Oct!$B$48:$B$51,Oct!$B$53,Oct!$B$55,Oct!$B$57)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8-470E-BD57-35F132E0E32F}"/>
            </c:ext>
          </c:extLst>
        </c:ser>
        <c:ser>
          <c:idx val="1"/>
          <c:order val="1"/>
          <c:tx>
            <c:strRef>
              <c:f>Oct!$C$47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(Oct!$A$48:$A$51,Oct!$A$53,Oct!$A$55:$A$57)</c15:sqref>
                  </c15:fullRef>
                </c:ext>
              </c:extLst>
              <c:f>(Oct!$A$48:$A$51,Oct!$A$53,Oct!$A$55,Oct!$A$57)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(Oct!$C$48:$C$51,Oct!$C$53,Oct!$C$55:$C$57)</c15:sqref>
                  </c15:fullRef>
                </c:ext>
              </c:extLst>
              <c:f>(Oct!$C$48:$C$51,Oct!$C$53,Oct!$C$55,Oct!$C$57)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8-470E-BD57-35F132E0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Oct!$A$63:$A$66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Oct!$B$63:$B$66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C-4916-81BC-943C551F7BBA}"/>
            </c:ext>
          </c:extLst>
        </c:ser>
        <c:ser>
          <c:idx val="1"/>
          <c:order val="1"/>
          <c:tx>
            <c:strRef>
              <c:f>Oct!$C$47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Oct!$A$63:$A$66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Oct!$C$63:$C$66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C-4916-81BC-943C551F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Oct!$A$71:$A$73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Oct!$B$71:$B$73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F-427D-89BC-D6FD0B0D8EF7}"/>
            </c:ext>
          </c:extLst>
        </c:ser>
        <c:ser>
          <c:idx val="1"/>
          <c:order val="1"/>
          <c:tx>
            <c:strRef>
              <c:f>Oct!$C$47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Oct!$A$71:$A$73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Oct!$C$71:$C$73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F-427D-89BC-D6FD0B0D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(Nov!$A$47:$A$50,Nov!$A$52,Nov!$A$54:$A$56)</c15:sqref>
                  </c15:fullRef>
                </c:ext>
              </c:extLst>
              <c:f>(Nov!$A$47:$A$50,Nov!$A$52,Nov!$A$54,Nov!$A$56)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(Nov!$B$47:$B$50,Nov!$B$52,Nov!$B$54:$B$56)</c15:sqref>
                  </c15:fullRef>
                </c:ext>
              </c:extLst>
              <c:f>(Nov!$B$47:$B$50,Nov!$B$52,Nov!$B$54,Nov!$B$56)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F-4066-9140-CA779EAED63F}"/>
            </c:ext>
          </c:extLst>
        </c:ser>
        <c:ser>
          <c:idx val="1"/>
          <c:order val="1"/>
          <c:tx>
            <c:strRef>
              <c:f>Nov!$C$46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(Nov!$A$47:$A$50,Nov!$A$52,Nov!$A$54:$A$56)</c15:sqref>
                  </c15:fullRef>
                </c:ext>
              </c:extLst>
              <c:f>(Nov!$A$47:$A$50,Nov!$A$52,Nov!$A$54,Nov!$A$56)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(Nov!$C$47:$C$50,Nov!$C$52,Nov!$C$54:$C$56)</c15:sqref>
                  </c15:fullRef>
                </c:ext>
              </c:extLst>
              <c:f>(Nov!$C$47:$C$50,Nov!$C$52,Nov!$C$54,Nov!$C$56)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F-4066-9140-CA779EAE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Jan!$A$63:$A$66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Jan!$B$63:$B$66</c:f>
              <c:numCache>
                <c:formatCode>#,##0</c:formatCode>
                <c:ptCount val="4"/>
                <c:pt idx="0">
                  <c:v>540000</c:v>
                </c:pt>
                <c:pt idx="1">
                  <c:v>1150000</c:v>
                </c:pt>
                <c:pt idx="2">
                  <c:v>600000</c:v>
                </c:pt>
                <c:pt idx="3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0-45BC-B482-6DC282490F4E}"/>
            </c:ext>
          </c:extLst>
        </c:ser>
        <c:ser>
          <c:idx val="1"/>
          <c:order val="1"/>
          <c:tx>
            <c:strRef>
              <c:f>Jan!$C$46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Jan!$A$63:$A$66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Jan!$C$63:$C$66</c:f>
              <c:numCache>
                <c:formatCode>#,##0</c:formatCode>
                <c:ptCount val="4"/>
                <c:pt idx="0">
                  <c:v>573921</c:v>
                </c:pt>
                <c:pt idx="1">
                  <c:v>1107848</c:v>
                </c:pt>
                <c:pt idx="2">
                  <c:v>647737</c:v>
                </c:pt>
                <c:pt idx="3">
                  <c:v>73819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0-45BC-B482-6DC28249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Nov!$A$62:$A$65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Nov!$B$62:$B$65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6-4CCF-BC2F-0D1D0F61B789}"/>
            </c:ext>
          </c:extLst>
        </c:ser>
        <c:ser>
          <c:idx val="1"/>
          <c:order val="1"/>
          <c:tx>
            <c:strRef>
              <c:f>Nov!$C$46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Nov!$A$62:$A$65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Nov!$C$62:$C$65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6-4CCF-BC2F-0D1D0F61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Nov!$A$70:$A$72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Nov!$B$70:$B$72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E-421E-AF89-ABB9B8278FA3}"/>
            </c:ext>
          </c:extLst>
        </c:ser>
        <c:ser>
          <c:idx val="1"/>
          <c:order val="1"/>
          <c:tx>
            <c:strRef>
              <c:f>Nov!$C$46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Nov!$A$70:$A$72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Nov!$C$70:$C$72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E-421E-AF89-ABB9B827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(Dec!$A$48:$A$51,Dec!$A$53,Dec!$A$55:$A$57)</c15:sqref>
                  </c15:fullRef>
                </c:ext>
              </c:extLst>
              <c:f>(Dec!$A$48:$A$51,Dec!$A$53,Dec!$A$55,Dec!$A$57)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(Dec!$B$48:$B$51,Dec!$B$53,Dec!$B$55:$B$57)</c15:sqref>
                  </c15:fullRef>
                </c:ext>
              </c:extLst>
              <c:f>(Dec!$B$48:$B$51,Dec!$B$53,Dec!$B$55,Dec!$B$57)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E-4EEA-9C64-80A0BD019E79}"/>
            </c:ext>
          </c:extLst>
        </c:ser>
        <c:ser>
          <c:idx val="1"/>
          <c:order val="1"/>
          <c:tx>
            <c:strRef>
              <c:f>Dec!$C$47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(Dec!$A$48:$A$51,Dec!$A$53,Dec!$A$55:$A$57)</c15:sqref>
                  </c15:fullRef>
                </c:ext>
              </c:extLst>
              <c:f>(Dec!$A$48:$A$51,Dec!$A$53,Dec!$A$55,Dec!$A$57)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(Dec!$C$48:$C$51,Dec!$C$53,Dec!$C$55:$C$57)</c15:sqref>
                  </c15:fullRef>
                </c:ext>
              </c:extLst>
              <c:f>(Dec!$C$48:$C$51,Dec!$C$53,Dec!$C$55,Dec!$C$57)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E-4EEA-9C64-80A0BD01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Dec!$A$63:$A$66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Dec!$B$63:$B$66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0-4683-B682-1231AE024CB3}"/>
            </c:ext>
          </c:extLst>
        </c:ser>
        <c:ser>
          <c:idx val="1"/>
          <c:order val="1"/>
          <c:tx>
            <c:strRef>
              <c:f>Dec!$C$47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Dec!$A$63:$A$66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Dec!$C$63:$C$66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0-4683-B682-1231AE02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Dec!$A$71:$A$73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Dec!$B$71:$B$73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0-46D7-A70F-FDBE8DFDF63A}"/>
            </c:ext>
          </c:extLst>
        </c:ser>
        <c:ser>
          <c:idx val="1"/>
          <c:order val="1"/>
          <c:tx>
            <c:strRef>
              <c:f>Dec!$C$47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Dec!$A$71:$A$73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Dec!$C$71:$C$73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0-46D7-A70F-FDBE8DFD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Mar!$B$47</c:f>
              <c:strCache>
                <c:ptCount val="1"/>
                <c:pt idx="0">
                  <c:v>50,000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(Mar!$A$48:$A$51,Mar!$A$53,Mar!$A$55:$A$57)</c15:sqref>
                  </c15:fullRef>
                </c:ext>
              </c:extLst>
              <c:f>(Mar!$A$48:$A$51,Mar!$A$53,Mar!$A$55,Mar!$A$57)</c:f>
              <c:strCache>
                <c:ptCount val="7"/>
                <c:pt idx="0">
                  <c:v>RTM</c:v>
                </c:pt>
                <c:pt idx="1">
                  <c:v>RTS-CF</c:v>
                </c:pt>
                <c:pt idx="2">
                  <c:v>RTS-G</c:v>
                </c:pt>
                <c:pt idx="3">
                  <c:v>SM#6</c:v>
                </c:pt>
                <c:pt idx="4">
                  <c:v>Roto S-Tot</c:v>
                </c:pt>
                <c:pt idx="5">
                  <c:v>SM B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(Mar!$B$48:$B$51,Mar!$B$53,Mar!$B$55:$B$57)</c15:sqref>
                  </c15:fullRef>
                </c:ext>
              </c:extLst>
              <c:f>(Mar!$B$48:$B$51,Mar!$B$53,Mar!$B$55,Mar!$B$57)</c:f>
              <c:numCache>
                <c:formatCode>#,##0</c:formatCode>
                <c:ptCount val="7"/>
                <c:pt idx="0">
                  <c:v>160000</c:v>
                </c:pt>
                <c:pt idx="1">
                  <c:v>250000</c:v>
                </c:pt>
                <c:pt idx="2">
                  <c:v>70000</c:v>
                </c:pt>
                <c:pt idx="3">
                  <c:v>75000</c:v>
                </c:pt>
                <c:pt idx="4">
                  <c:v>675000</c:v>
                </c:pt>
                <c:pt idx="5">
                  <c:v>120000</c:v>
                </c:pt>
                <c:pt idx="6">
                  <c:v>1080000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5-4FF9-BB70-54F3CCBFF12B}"/>
            </c:ext>
          </c:extLst>
        </c:ser>
        <c:ser>
          <c:idx val="1"/>
          <c:order val="1"/>
          <c:tx>
            <c:strRef>
              <c:f>Mar!$C$47</c:f>
              <c:strCache>
                <c:ptCount val="1"/>
                <c:pt idx="0">
                  <c:v>73,383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(Mar!$A$48:$A$51,Mar!$A$53,Mar!$A$55:$A$57)</c15:sqref>
                  </c15:fullRef>
                </c:ext>
              </c:extLst>
              <c:f>(Mar!$A$48:$A$51,Mar!$A$53,Mar!$A$55,Mar!$A$57)</c:f>
              <c:strCache>
                <c:ptCount val="7"/>
                <c:pt idx="0">
                  <c:v>RTM</c:v>
                </c:pt>
                <c:pt idx="1">
                  <c:v>RTS-CF</c:v>
                </c:pt>
                <c:pt idx="2">
                  <c:v>RTS-G</c:v>
                </c:pt>
                <c:pt idx="3">
                  <c:v>SM#6</c:v>
                </c:pt>
                <c:pt idx="4">
                  <c:v>Roto S-Tot</c:v>
                </c:pt>
                <c:pt idx="5">
                  <c:v>SM B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(Mar!$C$48:$C$51,Mar!$C$53,Mar!$C$55:$C$57)</c15:sqref>
                  </c15:fullRef>
                </c:ext>
              </c:extLst>
              <c:f>(Mar!$C$48:$C$51,Mar!$C$53,Mar!$C$55,Mar!$C$57)</c:f>
              <c:numCache>
                <c:formatCode>#,##0</c:formatCode>
                <c:ptCount val="7"/>
                <c:pt idx="0">
                  <c:v>167084.20000000001</c:v>
                </c:pt>
                <c:pt idx="1">
                  <c:v>319948.09999999998</c:v>
                </c:pt>
                <c:pt idx="2">
                  <c:v>34542.9</c:v>
                </c:pt>
                <c:pt idx="3">
                  <c:v>7388</c:v>
                </c:pt>
                <c:pt idx="4">
                  <c:v>675624.7</c:v>
                </c:pt>
                <c:pt idx="5">
                  <c:v>0</c:v>
                </c:pt>
                <c:pt idx="6">
                  <c:v>893968.6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5-4FF9-BB70-54F3CCBF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Mar!$B$47</c:f>
              <c:strCache>
                <c:ptCount val="1"/>
                <c:pt idx="0">
                  <c:v>50,000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Mar!$A$63:$A$66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Mar!$B$63:$B$66</c:f>
              <c:numCache>
                <c:formatCode>#,##0</c:formatCode>
                <c:ptCount val="4"/>
                <c:pt idx="0">
                  <c:v>605000</c:v>
                </c:pt>
                <c:pt idx="1">
                  <c:v>1200000</c:v>
                </c:pt>
                <c:pt idx="2">
                  <c:v>700000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1-4A85-AEBB-D1AD2F62333B}"/>
            </c:ext>
          </c:extLst>
        </c:ser>
        <c:ser>
          <c:idx val="1"/>
          <c:order val="1"/>
          <c:tx>
            <c:strRef>
              <c:f>Mar!$C$47</c:f>
              <c:strCache>
                <c:ptCount val="1"/>
                <c:pt idx="0">
                  <c:v>73,383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Mar!$A$63:$A$66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Mar!$C$63:$C$66</c:f>
              <c:numCache>
                <c:formatCode>#,##0</c:formatCode>
                <c:ptCount val="4"/>
                <c:pt idx="0">
                  <c:v>602346.5</c:v>
                </c:pt>
                <c:pt idx="1">
                  <c:v>893968.6</c:v>
                </c:pt>
                <c:pt idx="2">
                  <c:v>657249.80000000005</c:v>
                </c:pt>
                <c:pt idx="3">
                  <c:v>73278.2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1-4A85-AEBB-D1AD2F623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Mar!$B$47</c:f>
              <c:strCache>
                <c:ptCount val="1"/>
                <c:pt idx="0">
                  <c:v>50,000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Mar!$A$71:$A$73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Mar!$B$71:$B$73</c:f>
              <c:numCache>
                <c:formatCode>#,##0</c:formatCode>
                <c:ptCount val="3"/>
                <c:pt idx="0">
                  <c:v>1020000</c:v>
                </c:pt>
                <c:pt idx="1">
                  <c:v>1020000</c:v>
                </c:pt>
                <c:pt idx="2">
                  <c:v>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D-4DD5-AEFB-3C609878EAB8}"/>
            </c:ext>
          </c:extLst>
        </c:ser>
        <c:ser>
          <c:idx val="1"/>
          <c:order val="1"/>
          <c:tx>
            <c:strRef>
              <c:f>Mar!$C$47</c:f>
              <c:strCache>
                <c:ptCount val="1"/>
                <c:pt idx="0">
                  <c:v>73,383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Mar!$A$71:$A$73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Mar!$C$71:$C$73</c:f>
              <c:numCache>
                <c:formatCode>#,##0</c:formatCode>
                <c:ptCount val="3"/>
                <c:pt idx="0">
                  <c:v>950750</c:v>
                </c:pt>
                <c:pt idx="1">
                  <c:v>856888</c:v>
                </c:pt>
                <c:pt idx="2">
                  <c:v>524831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D-4DD5-AEFB-3C609878E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(Apr!$A$47:$A$52,Apr!$A$54:$A$57)</c:f>
              <c:strCache>
                <c:ptCount val="10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SM#6</c:v>
                </c:pt>
                <c:pt idx="5">
                  <c:v>SSB</c:v>
                </c:pt>
                <c:pt idx="6">
                  <c:v>SM A</c:v>
                </c:pt>
                <c:pt idx="7">
                  <c:v>SM B</c:v>
                </c:pt>
                <c:pt idx="8">
                  <c:v>SM C</c:v>
                </c:pt>
                <c:pt idx="9">
                  <c:v>SM D</c:v>
                </c:pt>
              </c:strCache>
            </c:strRef>
          </c:cat>
          <c:val>
            <c:numRef>
              <c:f>(Apr!$B$47:$B$52,Apr!$B$54:$B$57)</c:f>
              <c:numCache>
                <c:formatCode>#,##0</c:formatCode>
                <c:ptCount val="10"/>
                <c:pt idx="0">
                  <c:v>70000</c:v>
                </c:pt>
                <c:pt idx="1">
                  <c:v>170000</c:v>
                </c:pt>
                <c:pt idx="2">
                  <c:v>200000</c:v>
                </c:pt>
                <c:pt idx="3">
                  <c:v>70000</c:v>
                </c:pt>
                <c:pt idx="4">
                  <c:v>100000</c:v>
                </c:pt>
                <c:pt idx="5">
                  <c:v>70000</c:v>
                </c:pt>
                <c:pt idx="6">
                  <c:v>700000</c:v>
                </c:pt>
                <c:pt idx="7">
                  <c:v>60000.000000000007</c:v>
                </c:pt>
                <c:pt idx="9">
                  <c:v>1124000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6-4D47-9B23-93631F053155}"/>
            </c:ext>
          </c:extLst>
        </c:ser>
        <c:ser>
          <c:idx val="1"/>
          <c:order val="1"/>
          <c:tx>
            <c:strRef>
              <c:f>Apr!$C$46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(Apr!$A$47:$A$52,Apr!$A$54:$A$57)</c:f>
              <c:strCache>
                <c:ptCount val="10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SM#6</c:v>
                </c:pt>
                <c:pt idx="5">
                  <c:v>SSB</c:v>
                </c:pt>
                <c:pt idx="6">
                  <c:v>SM A</c:v>
                </c:pt>
                <c:pt idx="7">
                  <c:v>SM B</c:v>
                </c:pt>
                <c:pt idx="8">
                  <c:v>SM C</c:v>
                </c:pt>
                <c:pt idx="9">
                  <c:v>SM D</c:v>
                </c:pt>
              </c:strCache>
            </c:strRef>
          </c:cat>
          <c:val>
            <c:numRef>
              <c:f>(Apr!$C$47:$C$52,Apr!$C$54:$C$57)</c:f>
              <c:numCache>
                <c:formatCode>#,##0</c:formatCode>
                <c:ptCount val="10"/>
                <c:pt idx="0">
                  <c:v>61080</c:v>
                </c:pt>
                <c:pt idx="1">
                  <c:v>163017</c:v>
                </c:pt>
                <c:pt idx="2">
                  <c:v>289503</c:v>
                </c:pt>
                <c:pt idx="3">
                  <c:v>35136</c:v>
                </c:pt>
                <c:pt idx="4">
                  <c:v>39467</c:v>
                </c:pt>
                <c:pt idx="5">
                  <c:v>76924</c:v>
                </c:pt>
                <c:pt idx="6">
                  <c:v>191594</c:v>
                </c:pt>
                <c:pt idx="7">
                  <c:v>41575</c:v>
                </c:pt>
                <c:pt idx="9">
                  <c:v>904888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6-4D47-9B23-93631F05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Apr!$B$47</c:f>
              <c:strCache>
                <c:ptCount val="1"/>
                <c:pt idx="0">
                  <c:v>70,000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Apr!$A$63:$A$66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Apr!$B$63:$B$66</c:f>
              <c:numCache>
                <c:formatCode>#,##0</c:formatCode>
                <c:ptCount val="4"/>
                <c:pt idx="0">
                  <c:v>610000</c:v>
                </c:pt>
                <c:pt idx="1">
                  <c:v>1184000</c:v>
                </c:pt>
                <c:pt idx="2">
                  <c:v>700000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9-45F5-BD7B-F91AC9658C88}"/>
            </c:ext>
          </c:extLst>
        </c:ser>
        <c:ser>
          <c:idx val="1"/>
          <c:order val="1"/>
          <c:tx>
            <c:strRef>
              <c:f>Apr!$C$47</c:f>
              <c:strCache>
                <c:ptCount val="1"/>
                <c:pt idx="0">
                  <c:v>61,080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Apr!$A$63:$A$66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Apr!$C$63:$C$66</c:f>
              <c:numCache>
                <c:formatCode>#,##0</c:formatCode>
                <c:ptCount val="4"/>
                <c:pt idx="0">
                  <c:v>588203</c:v>
                </c:pt>
                <c:pt idx="1">
                  <c:v>946463</c:v>
                </c:pt>
                <c:pt idx="2">
                  <c:v>191594</c:v>
                </c:pt>
                <c:pt idx="3">
                  <c:v>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9-45F5-BD7B-F91AC9658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Jan!$A$71:$A$73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Jan!$B$71:$B$73</c:f>
              <c:numCache>
                <c:formatCode>#,##0</c:formatCode>
                <c:ptCount val="3"/>
                <c:pt idx="0">
                  <c:v>1040000</c:v>
                </c:pt>
                <c:pt idx="1">
                  <c:v>1040000</c:v>
                </c:pt>
                <c:pt idx="2">
                  <c:v>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4-40E2-83F7-8351CD0EB038}"/>
            </c:ext>
          </c:extLst>
        </c:ser>
        <c:ser>
          <c:idx val="1"/>
          <c:order val="1"/>
          <c:tx>
            <c:strRef>
              <c:f>Jan!$C$46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Jan!$A$71:$A$73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Jan!$C$71:$C$73</c:f>
              <c:numCache>
                <c:formatCode>#,##0</c:formatCode>
                <c:ptCount val="3"/>
                <c:pt idx="0">
                  <c:v>1064187</c:v>
                </c:pt>
                <c:pt idx="1">
                  <c:v>1041182</c:v>
                </c:pt>
                <c:pt idx="2">
                  <c:v>556408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4-40E2-83F7-8351CD0E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Apr!$B$47</c:f>
              <c:strCache>
                <c:ptCount val="1"/>
                <c:pt idx="0">
                  <c:v>70,000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Apr!$A$71:$A$73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Apr!$B$71:$B$73</c:f>
              <c:numCache>
                <c:formatCode>#,##0</c:formatCode>
                <c:ptCount val="3"/>
                <c:pt idx="0">
                  <c:v>1050000</c:v>
                </c:pt>
                <c:pt idx="1">
                  <c:v>949999.99999999988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9-419B-8F05-7F4326FDB444}"/>
            </c:ext>
          </c:extLst>
        </c:ser>
        <c:ser>
          <c:idx val="1"/>
          <c:order val="1"/>
          <c:tx>
            <c:strRef>
              <c:f>Apr!$C$47</c:f>
              <c:strCache>
                <c:ptCount val="1"/>
                <c:pt idx="0">
                  <c:v>61,080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Apr!$A$71:$A$73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Apr!$C$71:$C$73</c:f>
              <c:numCache>
                <c:formatCode>#,##0</c:formatCode>
                <c:ptCount val="3"/>
                <c:pt idx="0">
                  <c:v>714298</c:v>
                </c:pt>
                <c:pt idx="1">
                  <c:v>685662</c:v>
                </c:pt>
                <c:pt idx="2">
                  <c:v>370483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9-419B-8F05-7F4326FDB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(May!$A$47:$A$52,May!$A$54:$A$57)</c15:sqref>
                  </c15:fullRef>
                </c:ext>
              </c:extLst>
              <c:f>(May!$A$47:$A$52,May!$A$55:$A$57)</c:f>
              <c:strCache>
                <c:ptCount val="9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SM#6</c:v>
                </c:pt>
                <c:pt idx="5">
                  <c:v>SSB</c:v>
                </c:pt>
                <c:pt idx="6">
                  <c:v>SM B</c:v>
                </c:pt>
                <c:pt idx="7">
                  <c:v>SM C</c:v>
                </c:pt>
                <c:pt idx="8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(May!$B$47:$B$52,May!$B$54:$B$57)</c15:sqref>
                  </c15:fullRef>
                </c:ext>
              </c:extLst>
              <c:f>(May!$B$47:$B$52,May!$B$55:$B$57)</c:f>
              <c:numCache>
                <c:formatCode>#,##0</c:formatCode>
                <c:ptCount val="9"/>
                <c:pt idx="0">
                  <c:v>64000</c:v>
                </c:pt>
                <c:pt idx="1">
                  <c:v>175000</c:v>
                </c:pt>
                <c:pt idx="2">
                  <c:v>210000</c:v>
                </c:pt>
                <c:pt idx="3">
                  <c:v>50000</c:v>
                </c:pt>
                <c:pt idx="4">
                  <c:v>100000</c:v>
                </c:pt>
                <c:pt idx="5">
                  <c:v>70000</c:v>
                </c:pt>
                <c:pt idx="6">
                  <c:v>146000</c:v>
                </c:pt>
                <c:pt idx="7">
                  <c:v>76000</c:v>
                </c:pt>
                <c:pt idx="8">
                  <c:v>1262000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B-44B9-BED6-9CB7876BA7E1}"/>
            </c:ext>
          </c:extLst>
        </c:ser>
        <c:ser>
          <c:idx val="1"/>
          <c:order val="1"/>
          <c:tx>
            <c:strRef>
              <c:f>May!$C$46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(May!$A$47:$A$52,May!$A$54:$A$57)</c15:sqref>
                  </c15:fullRef>
                </c:ext>
              </c:extLst>
              <c:f>(May!$A$47:$A$52,May!$A$55:$A$57)</c:f>
              <c:strCache>
                <c:ptCount val="9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SM#6</c:v>
                </c:pt>
                <c:pt idx="5">
                  <c:v>SSB</c:v>
                </c:pt>
                <c:pt idx="6">
                  <c:v>SM B</c:v>
                </c:pt>
                <c:pt idx="7">
                  <c:v>SM C</c:v>
                </c:pt>
                <c:pt idx="8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(May!$C$47:$C$52,May!$C$54:$C$57)</c15:sqref>
                  </c15:fullRef>
                </c:ext>
              </c:extLst>
              <c:f>(May!$C$47:$C$52,May!$C$55:$C$57)</c:f>
              <c:numCache>
                <c:formatCode>#,##0</c:formatCode>
                <c:ptCount val="9"/>
                <c:pt idx="0">
                  <c:v>60418.799999999981</c:v>
                </c:pt>
                <c:pt idx="1">
                  <c:v>201608.10000000006</c:v>
                </c:pt>
                <c:pt idx="2">
                  <c:v>252094.09999999995</c:v>
                </c:pt>
                <c:pt idx="3">
                  <c:v>97803.8</c:v>
                </c:pt>
                <c:pt idx="4">
                  <c:v>79146.500000000029</c:v>
                </c:pt>
                <c:pt idx="5">
                  <c:v>92564.599999999977</c:v>
                </c:pt>
                <c:pt idx="6">
                  <c:v>85872.5</c:v>
                </c:pt>
                <c:pt idx="7">
                  <c:v>0</c:v>
                </c:pt>
                <c:pt idx="8">
                  <c:v>1270949.9100000001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B-44B9-BED6-9CB7876BA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May!$B$62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May!$A$63:$A$66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May!$B$63:$B$66</c:f>
              <c:numCache>
                <c:formatCode>#,##0</c:formatCode>
                <c:ptCount val="4"/>
                <c:pt idx="0">
                  <c:v>821000</c:v>
                </c:pt>
                <c:pt idx="1">
                  <c:v>1262000</c:v>
                </c:pt>
                <c:pt idx="2">
                  <c:v>722000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0-43DF-AA81-41E02965079D}"/>
            </c:ext>
          </c:extLst>
        </c:ser>
        <c:ser>
          <c:idx val="1"/>
          <c:order val="1"/>
          <c:tx>
            <c:strRef>
              <c:f>May!$C$62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May!$A$63:$A$66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May!$C$63:$C$66</c:f>
              <c:numCache>
                <c:formatCode>#,##0</c:formatCode>
                <c:ptCount val="4"/>
                <c:pt idx="0">
                  <c:v>776943.8</c:v>
                </c:pt>
                <c:pt idx="1">
                  <c:v>1270949.9100000001</c:v>
                </c:pt>
                <c:pt idx="2">
                  <c:v>587828.80000000016</c:v>
                </c:pt>
                <c:pt idx="3">
                  <c:v>92564.599999999977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0-43DF-AA81-41E02965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May!$B$70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May!$A$71:$A$73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May!$B$71:$B$73</c:f>
              <c:numCache>
                <c:formatCode>#,##0</c:formatCode>
                <c:ptCount val="3"/>
                <c:pt idx="0">
                  <c:v>1200000</c:v>
                </c:pt>
                <c:pt idx="1">
                  <c:v>1050000</c:v>
                </c:pt>
                <c:pt idx="2">
                  <c:v>625000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4-42C3-9B59-019B45F3AB7F}"/>
            </c:ext>
          </c:extLst>
        </c:ser>
        <c:ser>
          <c:idx val="1"/>
          <c:order val="1"/>
          <c:tx>
            <c:strRef>
              <c:f>May!$C$70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May!$A$71:$A$73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May!$C$71:$C$73</c:f>
              <c:numCache>
                <c:formatCode>#,##0</c:formatCode>
                <c:ptCount val="3"/>
                <c:pt idx="0">
                  <c:v>1125678</c:v>
                </c:pt>
                <c:pt idx="1">
                  <c:v>1077363</c:v>
                </c:pt>
                <c:pt idx="2">
                  <c:v>591051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4-42C3-9B59-019B45F3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(Jun!$A$47:$A$52,Jun!$A$54:$A$57)</c15:sqref>
                  </c15:fullRef>
                </c:ext>
              </c:extLst>
              <c:f>(Jun!$A$47:$A$52,Jun!$A$55:$A$57)</c:f>
              <c:strCache>
                <c:ptCount val="9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SM#6</c:v>
                </c:pt>
                <c:pt idx="5">
                  <c:v>SSB</c:v>
                </c:pt>
                <c:pt idx="6">
                  <c:v>SM B</c:v>
                </c:pt>
                <c:pt idx="7">
                  <c:v>SM C</c:v>
                </c:pt>
                <c:pt idx="8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(Jun!$B$47:$B$52,Jun!$B$54:$B$57)</c15:sqref>
                  </c15:fullRef>
                </c:ext>
              </c:extLst>
              <c:f>(Jun!$B$47:$B$52,Jun!$B$55:$B$57)</c:f>
              <c:numCache>
                <c:formatCode>#,##0</c:formatCode>
                <c:ptCount val="9"/>
                <c:pt idx="0">
                  <c:v>11666.666666666668</c:v>
                </c:pt>
                <c:pt idx="1">
                  <c:v>29166.666666666664</c:v>
                </c:pt>
                <c:pt idx="2">
                  <c:v>33333.333333333336</c:v>
                </c:pt>
                <c:pt idx="3">
                  <c:v>11666.666666666668</c:v>
                </c:pt>
                <c:pt idx="4">
                  <c:v>21666.666666666664</c:v>
                </c:pt>
                <c:pt idx="5">
                  <c:v>11666.666666666668</c:v>
                </c:pt>
                <c:pt idx="6">
                  <c:v>25000</c:v>
                </c:pt>
                <c:pt idx="7">
                  <c:v>14166.666666666664</c:v>
                </c:pt>
                <c:pt idx="8">
                  <c:v>188333.33333333331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D-40D7-B8A9-1647C5CA9837}"/>
            </c:ext>
          </c:extLst>
        </c:ser>
        <c:ser>
          <c:idx val="1"/>
          <c:order val="1"/>
          <c:tx>
            <c:strRef>
              <c:f>Jun!$C$46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(Jun!$A$47:$A$52,Jun!$A$54:$A$57)</c15:sqref>
                  </c15:fullRef>
                </c:ext>
              </c:extLst>
              <c:f>(Jun!$A$47:$A$52,Jun!$A$55:$A$57)</c:f>
              <c:strCache>
                <c:ptCount val="9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SM#6</c:v>
                </c:pt>
                <c:pt idx="5">
                  <c:v>SSB</c:v>
                </c:pt>
                <c:pt idx="6">
                  <c:v>SM B</c:v>
                </c:pt>
                <c:pt idx="7">
                  <c:v>SM C</c:v>
                </c:pt>
                <c:pt idx="8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(Jun!$C$47:$C$52,Jun!$C$54:$C$57)</c15:sqref>
                  </c15:fullRef>
                </c:ext>
              </c:extLst>
              <c:f>(Jun!$C$47:$C$52,Jun!$C$55:$C$57)</c:f>
              <c:numCache>
                <c:formatCode>#,##0</c:formatCode>
                <c:ptCount val="9"/>
                <c:pt idx="0">
                  <c:v>2354.8000000000002</c:v>
                </c:pt>
                <c:pt idx="1">
                  <c:v>33987.4</c:v>
                </c:pt>
                <c:pt idx="2">
                  <c:v>47097.799999999996</c:v>
                </c:pt>
                <c:pt idx="3">
                  <c:v>13135.2</c:v>
                </c:pt>
                <c:pt idx="4">
                  <c:v>26789.30000000001</c:v>
                </c:pt>
                <c:pt idx="5">
                  <c:v>12045.400000000001</c:v>
                </c:pt>
                <c:pt idx="6">
                  <c:v>38649.699999999997</c:v>
                </c:pt>
                <c:pt idx="7">
                  <c:v>0</c:v>
                </c:pt>
                <c:pt idx="8">
                  <c:v>222916.8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D-40D7-B8A9-1647C5CA9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Jun!$B$62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Jun!$A$63:$A$66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Jun!$B$63:$B$66</c:f>
              <c:numCache>
                <c:formatCode>#,##0</c:formatCode>
                <c:ptCount val="4"/>
                <c:pt idx="0">
                  <c:v>146666.66666666666</c:v>
                </c:pt>
                <c:pt idx="1">
                  <c:v>188333.33333333331</c:v>
                </c:pt>
                <c:pt idx="2">
                  <c:v>108333.33333333334</c:v>
                </c:pt>
                <c:pt idx="3">
                  <c:v>11666.666666666668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7-4823-AC27-3DA93421DBE6}"/>
            </c:ext>
          </c:extLst>
        </c:ser>
        <c:ser>
          <c:idx val="1"/>
          <c:order val="1"/>
          <c:tx>
            <c:strRef>
              <c:f>Jun!$C$62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Jun!$A$63:$A$66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Jun!$C$63:$C$66</c:f>
              <c:numCache>
                <c:formatCode>#,##0</c:formatCode>
                <c:ptCount val="4"/>
                <c:pt idx="0">
                  <c:v>162014.20000000001</c:v>
                </c:pt>
                <c:pt idx="1">
                  <c:v>222916.8</c:v>
                </c:pt>
                <c:pt idx="2">
                  <c:v>94072.700000000012</c:v>
                </c:pt>
                <c:pt idx="3">
                  <c:v>12045.400000000001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7-4823-AC27-3DA93421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Jun!$B$70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Jun!$A$71:$A$73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Jun!$B$71:$B$73</c:f>
              <c:numCache>
                <c:formatCode>#,##0</c:formatCode>
                <c:ptCount val="3"/>
                <c:pt idx="0">
                  <c:v>173571.42857142858</c:v>
                </c:pt>
                <c:pt idx="1">
                  <c:v>165535.71428571426</c:v>
                </c:pt>
                <c:pt idx="2">
                  <c:v>99642.85714285713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F-4D21-AF2E-9966296B117D}"/>
            </c:ext>
          </c:extLst>
        </c:ser>
        <c:ser>
          <c:idx val="1"/>
          <c:order val="1"/>
          <c:tx>
            <c:strRef>
              <c:f>Jun!$C$70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Jun!$A$71:$A$73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Jun!$C$71:$C$73</c:f>
              <c:numCache>
                <c:formatCode>#,##0</c:formatCode>
                <c:ptCount val="3"/>
                <c:pt idx="0">
                  <c:v>196388</c:v>
                </c:pt>
                <c:pt idx="1">
                  <c:v>179185</c:v>
                </c:pt>
                <c:pt idx="2">
                  <c:v>110845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F-4D21-AF2E-9966296B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Yearly!$C$23</c:f>
              <c:strCache>
                <c:ptCount val="1"/>
                <c:pt idx="0">
                  <c:v>B/Plan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Yearly!$A$24:$B$34</c:f>
              <c:multiLvlStrCache>
                <c:ptCount val="11"/>
                <c:lvl>
                  <c:pt idx="2">
                    <c:v>C-F</c:v>
                  </c:pt>
                  <c:pt idx="3">
                    <c:v>G</c:v>
                  </c:pt>
                  <c:pt idx="4">
                    <c:v>A, B, #6</c:v>
                  </c:pt>
                  <c:pt idx="5">
                    <c:v>#6</c:v>
                  </c:pt>
                  <c:pt idx="6">
                    <c:v>B</c:v>
                  </c:pt>
                  <c:pt idx="7">
                    <c:v>C</c:v>
                  </c:pt>
                  <c:pt idx="8">
                    <c:v>D</c:v>
                  </c:pt>
                </c:lvl>
                <c:lvl>
                  <c:pt idx="0">
                    <c:v>RTN</c:v>
                  </c:pt>
                  <c:pt idx="1">
                    <c:v>RTM</c:v>
                  </c:pt>
                  <c:pt idx="2">
                    <c:v>RTS</c:v>
                  </c:pt>
                  <c:pt idx="4">
                    <c:v>SM</c:v>
                  </c:pt>
                  <c:pt idx="9">
                    <c:v>SSB</c:v>
                  </c:pt>
                  <c:pt idx="10">
                    <c:v>BIU</c:v>
                  </c:pt>
                </c:lvl>
              </c:multiLvlStrCache>
            </c:multiLvlStrRef>
          </c:cat>
          <c:val>
            <c:numRef>
              <c:f>Yearly!$C$24:$C$34</c:f>
              <c:numCache>
                <c:formatCode>#,##0</c:formatCode>
                <c:ptCount val="11"/>
                <c:pt idx="0">
                  <c:v>1110000</c:v>
                </c:pt>
                <c:pt idx="1">
                  <c:v>1950000</c:v>
                </c:pt>
                <c:pt idx="2">
                  <c:v>2320000</c:v>
                </c:pt>
                <c:pt idx="3">
                  <c:v>1320000</c:v>
                </c:pt>
                <c:pt idx="4">
                  <c:v>6440000</c:v>
                </c:pt>
                <c:pt idx="5">
                  <c:v>2630000</c:v>
                </c:pt>
                <c:pt idx="6">
                  <c:v>2400000</c:v>
                </c:pt>
                <c:pt idx="7">
                  <c:v>670000</c:v>
                </c:pt>
                <c:pt idx="8">
                  <c:v>11320000</c:v>
                </c:pt>
                <c:pt idx="9">
                  <c:v>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A-46D0-9DD9-C653678D13DB}"/>
            </c:ext>
          </c:extLst>
        </c:ser>
        <c:ser>
          <c:idx val="0"/>
          <c:order val="1"/>
          <c:tx>
            <c:strRef>
              <c:f>Yearly!$P$23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multiLvlStrRef>
              <c:f>Yearly!$A$24:$B$34</c:f>
              <c:multiLvlStrCache>
                <c:ptCount val="11"/>
                <c:lvl>
                  <c:pt idx="2">
                    <c:v>C-F</c:v>
                  </c:pt>
                  <c:pt idx="3">
                    <c:v>G</c:v>
                  </c:pt>
                  <c:pt idx="4">
                    <c:v>A, B, #6</c:v>
                  </c:pt>
                  <c:pt idx="5">
                    <c:v>#6</c:v>
                  </c:pt>
                  <c:pt idx="6">
                    <c:v>B</c:v>
                  </c:pt>
                  <c:pt idx="7">
                    <c:v>C</c:v>
                  </c:pt>
                  <c:pt idx="8">
                    <c:v>D</c:v>
                  </c:pt>
                </c:lvl>
                <c:lvl>
                  <c:pt idx="0">
                    <c:v>RTN</c:v>
                  </c:pt>
                  <c:pt idx="1">
                    <c:v>RTM</c:v>
                  </c:pt>
                  <c:pt idx="2">
                    <c:v>RTS</c:v>
                  </c:pt>
                  <c:pt idx="4">
                    <c:v>SM</c:v>
                  </c:pt>
                  <c:pt idx="9">
                    <c:v>SSB</c:v>
                  </c:pt>
                  <c:pt idx="10">
                    <c:v>BIU</c:v>
                  </c:pt>
                </c:lvl>
              </c:multiLvlStrCache>
            </c:multiLvlStrRef>
          </c:cat>
          <c:val>
            <c:numRef>
              <c:f>Yearly!$P$24:$P$34</c:f>
              <c:numCache>
                <c:formatCode>#,##0</c:formatCode>
                <c:ptCount val="11"/>
                <c:pt idx="0">
                  <c:v>302965.89999999997</c:v>
                </c:pt>
                <c:pt idx="1">
                  <c:v>949252.70000000007</c:v>
                </c:pt>
                <c:pt idx="2">
                  <c:v>1503372</c:v>
                </c:pt>
                <c:pt idx="3">
                  <c:v>285168.90000000002</c:v>
                </c:pt>
                <c:pt idx="4">
                  <c:v>2791870.3000000003</c:v>
                </c:pt>
                <c:pt idx="5">
                  <c:v>159917.80000000005</c:v>
                </c:pt>
                <c:pt idx="6">
                  <c:v>283785.2</c:v>
                </c:pt>
                <c:pt idx="7">
                  <c:v>0</c:v>
                </c:pt>
                <c:pt idx="8">
                  <c:v>5249937.3099999996</c:v>
                </c:pt>
                <c:pt idx="9">
                  <c:v>415715.2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A-46D0-9DD9-C653678D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255168"/>
        <c:axId val="556432704"/>
      </c:barChart>
      <c:catAx>
        <c:axId val="54925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2704"/>
        <c:crosses val="autoZero"/>
        <c:auto val="1"/>
        <c:lblAlgn val="ctr"/>
        <c:lblOffset val="100"/>
        <c:noMultiLvlLbl val="0"/>
      </c:catAx>
      <c:valAx>
        <c:axId val="556432704"/>
        <c:scaling>
          <c:orientation val="minMax"/>
          <c:max val="140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49255168"/>
        <c:crosses val="autoZero"/>
        <c:crossBetween val="between"/>
        <c:dispUnits>
          <c:builtInUnit val="thousands"/>
          <c:dispUnitsLbl/>
        </c:dispUnits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paperSize="9"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Yearly!$B$57</c:f>
              <c:strCache>
                <c:ptCount val="1"/>
                <c:pt idx="0">
                  <c:v>B/Plan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Yearly!$A$58:$A$61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Yearly!$B$58:$B$61</c:f>
              <c:numCache>
                <c:formatCode>#,##0</c:formatCode>
                <c:ptCount val="4"/>
                <c:pt idx="0">
                  <c:v>9330000</c:v>
                </c:pt>
                <c:pt idx="1">
                  <c:v>14390000</c:v>
                </c:pt>
                <c:pt idx="2">
                  <c:v>6440000</c:v>
                </c:pt>
                <c:pt idx="3">
                  <c:v>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9-431D-9B9E-23444F97A573}"/>
            </c:ext>
          </c:extLst>
        </c:ser>
        <c:ser>
          <c:idx val="0"/>
          <c:order val="1"/>
          <c:tx>
            <c:strRef>
              <c:f>Yearly!$O$57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Yearly!$A$58:$A$61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Yearly!$O$58:$O$61</c:f>
              <c:numCache>
                <c:formatCode>#,##0</c:formatCode>
                <c:ptCount val="4"/>
                <c:pt idx="0">
                  <c:v>3200677.3</c:v>
                </c:pt>
                <c:pt idx="1">
                  <c:v>5533722.5099999998</c:v>
                </c:pt>
                <c:pt idx="2">
                  <c:v>2791870.3000000003</c:v>
                </c:pt>
                <c:pt idx="3">
                  <c:v>415715.2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9-431D-9B9E-23444F97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256704"/>
        <c:axId val="556484288"/>
      </c:barChart>
      <c:catAx>
        <c:axId val="54925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84288"/>
        <c:crosses val="autoZero"/>
        <c:auto val="1"/>
        <c:lblAlgn val="ctr"/>
        <c:lblOffset val="100"/>
        <c:noMultiLvlLbl val="0"/>
      </c:catAx>
      <c:valAx>
        <c:axId val="556484288"/>
        <c:scaling>
          <c:orientation val="minMax"/>
          <c:max val="17000000"/>
          <c:min val="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49256704"/>
        <c:crosses val="autoZero"/>
        <c:crossBetween val="between"/>
        <c:dispUnits>
          <c:builtInUnit val="thousands"/>
          <c:dispUnitsLbl/>
        </c:dispUnits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Yearly!$B$64</c:f>
              <c:strCache>
                <c:ptCount val="1"/>
                <c:pt idx="0">
                  <c:v>B/Plan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Yearly!$A$65:$A$67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MANDIRI</c:v>
                </c:pt>
              </c:strCache>
            </c:strRef>
          </c:cat>
          <c:val>
            <c:numRef>
              <c:f>Yearly!$B$65:$B$67</c:f>
              <c:numCache>
                <c:formatCode>#,##0</c:formatCode>
                <c:ptCount val="3"/>
                <c:pt idx="0">
                  <c:v>12000000</c:v>
                </c:pt>
                <c:pt idx="1">
                  <c:v>12000000</c:v>
                </c:pt>
                <c:pt idx="2">
                  <c:v>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C-4A1E-94A7-09E896CD4330}"/>
            </c:ext>
          </c:extLst>
        </c:ser>
        <c:ser>
          <c:idx val="0"/>
          <c:order val="1"/>
          <c:tx>
            <c:strRef>
              <c:f>Yearly!$O$64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Yearly!$A$65:$A$67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MANDIRI</c:v>
                </c:pt>
              </c:strCache>
            </c:strRef>
          </c:cat>
          <c:val>
            <c:numRef>
              <c:f>Yearly!$O$65:$O$67</c:f>
              <c:numCache>
                <c:formatCode>#,##0</c:formatCode>
                <c:ptCount val="3"/>
                <c:pt idx="0">
                  <c:v>5061712</c:v>
                </c:pt>
                <c:pt idx="1">
                  <c:v>4781513</c:v>
                </c:pt>
                <c:pt idx="2">
                  <c:v>2684813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C-4A1E-94A7-09E896CD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256704"/>
        <c:axId val="556484288"/>
      </c:barChart>
      <c:catAx>
        <c:axId val="54925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84288"/>
        <c:crosses val="autoZero"/>
        <c:auto val="1"/>
        <c:lblAlgn val="ctr"/>
        <c:lblOffset val="100"/>
        <c:noMultiLvlLbl val="0"/>
      </c:catAx>
      <c:valAx>
        <c:axId val="556484288"/>
        <c:scaling>
          <c:orientation val="minMax"/>
          <c:max val="15000000"/>
          <c:min val="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49256704"/>
        <c:crosses val="autoZero"/>
        <c:crossBetween val="between"/>
        <c:dispUnits>
          <c:builtInUnit val="thousands"/>
          <c:dispUnitsLbl/>
        </c:dispUnits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(Feb!$A$47:$A$50,Feb!$A$52,Feb!$A$54:$A$57)</c15:sqref>
                  </c15:fullRef>
                </c:ext>
              </c:extLst>
              <c:f>(Feb!$A$47:$A$50,Feb!$A$52,Feb!$A$54,Feb!$A$56:$A$57)</c:f>
              <c:strCache>
                <c:ptCount val="8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C</c:v>
                </c:pt>
                <c:pt idx="7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(Feb!$B$47:$B$50,Feb!$B$52,Feb!$B$54:$B$57)</c15:sqref>
                  </c15:fullRef>
                </c:ext>
              </c:extLst>
              <c:f>(Feb!$B$47:$B$50,Feb!$B$52,Feb!$B$54,Feb!$B$56:$B$57)</c:f>
              <c:numCache>
                <c:formatCode>#,##0</c:formatCode>
                <c:ptCount val="8"/>
                <c:pt idx="0">
                  <c:v>50000</c:v>
                </c:pt>
                <c:pt idx="1">
                  <c:v>160000</c:v>
                </c:pt>
                <c:pt idx="2">
                  <c:v>200000</c:v>
                </c:pt>
                <c:pt idx="3">
                  <c:v>70000</c:v>
                </c:pt>
                <c:pt idx="4">
                  <c:v>70000</c:v>
                </c:pt>
                <c:pt idx="5">
                  <c:v>580000</c:v>
                </c:pt>
                <c:pt idx="7">
                  <c:v>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D-43E6-96D0-0F4B849C2C9D}"/>
            </c:ext>
          </c:extLst>
        </c:ser>
        <c:ser>
          <c:idx val="1"/>
          <c:order val="1"/>
          <c:tx>
            <c:strRef>
              <c:f>Feb!$C$46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(Feb!$A$47:$A$50,Feb!$A$52,Feb!$A$54:$A$57)</c15:sqref>
                  </c15:fullRef>
                </c:ext>
              </c:extLst>
              <c:f>(Feb!$A$47:$A$50,Feb!$A$52,Feb!$A$54,Feb!$A$56:$A$57)</c:f>
              <c:strCache>
                <c:ptCount val="8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C</c:v>
                </c:pt>
                <c:pt idx="7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(Feb!$C$47:$C$50,Feb!$C$52,Feb!$C$54:$C$57)</c15:sqref>
                  </c15:fullRef>
                </c:ext>
              </c:extLst>
              <c:f>(Feb!$C$47:$C$50,Feb!$C$52,Feb!$C$54,Feb!$C$56:$C$57)</c:f>
              <c:numCache>
                <c:formatCode>#,##0</c:formatCode>
                <c:ptCount val="8"/>
                <c:pt idx="0">
                  <c:v>50779</c:v>
                </c:pt>
                <c:pt idx="1">
                  <c:v>181076</c:v>
                </c:pt>
                <c:pt idx="2">
                  <c:v>322351</c:v>
                </c:pt>
                <c:pt idx="3">
                  <c:v>67565</c:v>
                </c:pt>
                <c:pt idx="4">
                  <c:v>87084</c:v>
                </c:pt>
                <c:pt idx="5">
                  <c:v>613388</c:v>
                </c:pt>
                <c:pt idx="7">
                  <c:v>931872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D-43E6-96D0-0F4B849C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Feb!$A$63:$A$66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Feb!$B$63:$B$66</c:f>
              <c:numCache>
                <c:formatCode>#,##0</c:formatCode>
                <c:ptCount val="4"/>
                <c:pt idx="0">
                  <c:v>540000</c:v>
                </c:pt>
                <c:pt idx="1">
                  <c:v>1040000</c:v>
                </c:pt>
                <c:pt idx="2">
                  <c:v>580000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2-4BB8-A3D8-B0302DAD12FA}"/>
            </c:ext>
          </c:extLst>
        </c:ser>
        <c:ser>
          <c:idx val="1"/>
          <c:order val="1"/>
          <c:tx>
            <c:strRef>
              <c:f>Feb!$C$46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Feb!$A$63:$A$66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Feb!$C$63:$C$66</c:f>
              <c:numCache>
                <c:formatCode>#,##0</c:formatCode>
                <c:ptCount val="4"/>
                <c:pt idx="0">
                  <c:v>621771</c:v>
                </c:pt>
                <c:pt idx="1">
                  <c:v>967054</c:v>
                </c:pt>
                <c:pt idx="2">
                  <c:v>613388</c:v>
                </c:pt>
                <c:pt idx="3">
                  <c:v>87084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2-4BB8-A3D8-B0302DAD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Feb!$B$46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Feb!$A$71:$A$73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Feb!$B$71:$B$73</c:f>
              <c:numCache>
                <c:formatCode>#,##0</c:formatCode>
                <c:ptCount val="3"/>
                <c:pt idx="0">
                  <c:v>1000000</c:v>
                </c:pt>
                <c:pt idx="1">
                  <c:v>1000000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0-424D-B67F-359DBB91019D}"/>
            </c:ext>
          </c:extLst>
        </c:ser>
        <c:ser>
          <c:idx val="1"/>
          <c:order val="1"/>
          <c:tx>
            <c:strRef>
              <c:f>Feb!$C$46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Feb!$A$71:$A$73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Feb!$C$71:$C$73</c:f>
              <c:numCache>
                <c:formatCode>#,##0</c:formatCode>
                <c:ptCount val="3"/>
                <c:pt idx="0">
                  <c:v>1010411</c:v>
                </c:pt>
                <c:pt idx="1">
                  <c:v>941233</c:v>
                </c:pt>
                <c:pt idx="2">
                  <c:v>531195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0-424D-B67F-359DBB91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Area)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(Jul!$A$48:$A$51,Jul!$A$53,Jul!$A$55:$A$57)</c15:sqref>
                  </c15:fullRef>
                </c:ext>
              </c:extLst>
              <c:f>(Jul!$A$48:$A$51,Jul!$A$53,Jul!$A$55,Jul!$A$57)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(Jul!$B$48:$B$51,Jul!$B$53,Jul!$B$55:$B$57)</c15:sqref>
                  </c15:fullRef>
                </c:ext>
              </c:extLst>
              <c:f>(Jul!$B$48:$B$51,Jul!$B$53,Jul!$B$55,Jul!$B$57)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3-4E7F-9C7B-71B9D979AECC}"/>
            </c:ext>
          </c:extLst>
        </c:ser>
        <c:ser>
          <c:idx val="1"/>
          <c:order val="1"/>
          <c:tx>
            <c:strRef>
              <c:f>Jul!$C$47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(Jul!$A$48:$A$51,Jul!$A$53,Jul!$A$55:$A$57)</c15:sqref>
                  </c15:fullRef>
                </c:ext>
              </c:extLst>
              <c:f>(Jul!$A$48:$A$51,Jul!$A$53,Jul!$A$55,Jul!$A$57)</c:f>
              <c:strCache>
                <c:ptCount val="7"/>
                <c:pt idx="0">
                  <c:v>RTN</c:v>
                </c:pt>
                <c:pt idx="1">
                  <c:v>RTM</c:v>
                </c:pt>
                <c:pt idx="2">
                  <c:v>RTS-CF</c:v>
                </c:pt>
                <c:pt idx="3">
                  <c:v>RTS-G</c:v>
                </c:pt>
                <c:pt idx="4">
                  <c:v>SSB</c:v>
                </c:pt>
                <c:pt idx="5">
                  <c:v>SM A</c:v>
                </c:pt>
                <c:pt idx="6">
                  <c:v>SM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(Jul!$C$48:$C$51,Jul!$C$53,Jul!$C$55:$C$57)</c15:sqref>
                  </c15:fullRef>
                </c:ext>
              </c:extLst>
              <c:f>(Jul!$C$48:$C$51,Jul!$C$53,Jul!$C$55,Jul!$C$57)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3-4E7F-9C7B-71B9D979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42080"/>
        <c:axId val="556427520"/>
      </c:barChart>
      <c:catAx>
        <c:axId val="5385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7520"/>
        <c:crosses val="autoZero"/>
        <c:auto val="1"/>
        <c:lblAlgn val="ctr"/>
        <c:lblOffset val="100"/>
        <c:noMultiLvlLbl val="0"/>
      </c:catAx>
      <c:valAx>
        <c:axId val="55642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3854208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Production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Jul!$A$63:$A$66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Jul!$B$63:$B$66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E-40E1-965D-398AA440F62C}"/>
            </c:ext>
          </c:extLst>
        </c:ser>
        <c:ser>
          <c:idx val="1"/>
          <c:order val="1"/>
          <c:tx>
            <c:strRef>
              <c:f>Jul!$C$47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Jul!$A$63:$A$66</c:f>
              <c:strCache>
                <c:ptCount val="4"/>
                <c:pt idx="0">
                  <c:v>PAMA</c:v>
                </c:pt>
                <c:pt idx="1">
                  <c:v>PTP</c:v>
                </c:pt>
                <c:pt idx="2">
                  <c:v>SIMS</c:v>
                </c:pt>
                <c:pt idx="3">
                  <c:v>BIMA</c:v>
                </c:pt>
              </c:strCache>
            </c:strRef>
          </c:cat>
          <c:val>
            <c:numRef>
              <c:f>Jul!$C$63:$C$66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E-40E1-965D-398AA440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Hauling MTD (By Contractor)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Jul!$B$47</c:f>
              <c:strCache>
                <c:ptCount val="1"/>
                <c:pt idx="0">
                  <c:v>A/Plan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Jul!$A$71:$A$73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Jul!$B$71:$B$73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E-4D91-BEE8-8AE8BF3BF594}"/>
            </c:ext>
          </c:extLst>
        </c:ser>
        <c:ser>
          <c:idx val="1"/>
          <c:order val="1"/>
          <c:tx>
            <c:strRef>
              <c:f>Jul!$C$47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Jul!$A$71:$A$73</c:f>
              <c:strCache>
                <c:ptCount val="3"/>
                <c:pt idx="0">
                  <c:v>SAMINDO</c:v>
                </c:pt>
                <c:pt idx="1">
                  <c:v>TRASINDO</c:v>
                </c:pt>
                <c:pt idx="2">
                  <c:v>MHA</c:v>
                </c:pt>
              </c:strCache>
            </c:strRef>
          </c:cat>
          <c:val>
            <c:numRef>
              <c:f>Jul!$C$71:$C$73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E-4D91-BEE8-8AE8BF3B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08448"/>
        <c:axId val="556429824"/>
      </c:barChart>
      <c:catAx>
        <c:axId val="5560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29824"/>
        <c:crosses val="autoZero"/>
        <c:auto val="1"/>
        <c:lblAlgn val="ctr"/>
        <c:lblOffset val="100"/>
        <c:noMultiLvlLbl val="0"/>
      </c:catAx>
      <c:valAx>
        <c:axId val="55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(Ton)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60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000000000001499" l="0.70000000000000095" r="0.70000000000000095" t="0.75000000000001499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352185</xdr:colOff>
      <xdr:row>44</xdr:row>
      <xdr:rowOff>178761</xdr:rowOff>
    </xdr:from>
    <xdr:to>
      <xdr:col>12</xdr:col>
      <xdr:colOff>272146</xdr:colOff>
      <xdr:row>74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2EF8F-04C1-4066-9ACD-8FF71EDDB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446570</xdr:colOff>
      <xdr:row>44</xdr:row>
      <xdr:rowOff>178141</xdr:rowOff>
    </xdr:from>
    <xdr:to>
      <xdr:col>23</xdr:col>
      <xdr:colOff>557899</xdr:colOff>
      <xdr:row>74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46C54-65F6-45B1-9177-76D5410B8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27216</xdr:colOff>
      <xdr:row>44</xdr:row>
      <xdr:rowOff>176894</xdr:rowOff>
    </xdr:from>
    <xdr:to>
      <xdr:col>30</xdr:col>
      <xdr:colOff>544287</xdr:colOff>
      <xdr:row>74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BC36CB-ABC9-4F65-80A7-C17C90200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515468</xdr:colOff>
      <xdr:row>46</xdr:row>
      <xdr:rowOff>1867</xdr:rowOff>
    </xdr:from>
    <xdr:to>
      <xdr:col>13</xdr:col>
      <xdr:colOff>207820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B2F07-6D17-4547-92DF-3B5B61066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337707</xdr:colOff>
      <xdr:row>45</xdr:row>
      <xdr:rowOff>191747</xdr:rowOff>
    </xdr:from>
    <xdr:to>
      <xdr:col>24</xdr:col>
      <xdr:colOff>190501</xdr:colOff>
      <xdr:row>74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81B3F-DA4C-401A-BC7C-E9FEA28F0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346364</xdr:colOff>
      <xdr:row>45</xdr:row>
      <xdr:rowOff>190500</xdr:rowOff>
    </xdr:from>
    <xdr:to>
      <xdr:col>34</xdr:col>
      <xdr:colOff>606137</xdr:colOff>
      <xdr:row>74</xdr:row>
      <xdr:rowOff>137298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B115A-1DEB-43B6-9B68-54FFCD52C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474647</xdr:colOff>
      <xdr:row>46</xdr:row>
      <xdr:rowOff>1867</xdr:rowOff>
    </xdr:from>
    <xdr:to>
      <xdr:col>13</xdr:col>
      <xdr:colOff>166999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5051C-29CC-40BC-9EA5-E0D180D70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337707</xdr:colOff>
      <xdr:row>45</xdr:row>
      <xdr:rowOff>191747</xdr:rowOff>
    </xdr:from>
    <xdr:to>
      <xdr:col>24</xdr:col>
      <xdr:colOff>190501</xdr:colOff>
      <xdr:row>74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0CB20-AFB8-42D1-BB03-A02EA6FD4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346364</xdr:colOff>
      <xdr:row>45</xdr:row>
      <xdr:rowOff>190500</xdr:rowOff>
    </xdr:from>
    <xdr:to>
      <xdr:col>34</xdr:col>
      <xdr:colOff>606137</xdr:colOff>
      <xdr:row>74</xdr:row>
      <xdr:rowOff>137298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089BC-2FCE-43BE-B3D0-472058382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515468</xdr:colOff>
      <xdr:row>46</xdr:row>
      <xdr:rowOff>1867</xdr:rowOff>
    </xdr:from>
    <xdr:to>
      <xdr:col>13</xdr:col>
      <xdr:colOff>207820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DFA93-C356-4789-B606-F7FFD4533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337707</xdr:colOff>
      <xdr:row>45</xdr:row>
      <xdr:rowOff>191747</xdr:rowOff>
    </xdr:from>
    <xdr:to>
      <xdr:col>24</xdr:col>
      <xdr:colOff>190501</xdr:colOff>
      <xdr:row>74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05374-AC9F-4E15-9680-3FA345720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346364</xdr:colOff>
      <xdr:row>45</xdr:row>
      <xdr:rowOff>190500</xdr:rowOff>
    </xdr:from>
    <xdr:to>
      <xdr:col>34</xdr:col>
      <xdr:colOff>606137</xdr:colOff>
      <xdr:row>74</xdr:row>
      <xdr:rowOff>137298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1CAAB-E19F-478C-A37B-48C677A9E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571499</xdr:colOff>
      <xdr:row>21</xdr:row>
      <xdr:rowOff>367391</xdr:rowOff>
    </xdr:from>
    <xdr:to>
      <xdr:col>30</xdr:col>
      <xdr:colOff>489857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19C98-7D2C-43EE-9705-9D00455D1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449713</xdr:colOff>
      <xdr:row>56</xdr:row>
      <xdr:rowOff>359356</xdr:rowOff>
    </xdr:from>
    <xdr:to>
      <xdr:col>26</xdr:col>
      <xdr:colOff>119061</xdr:colOff>
      <xdr:row>66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B4653-6713-4DDD-9BC9-355A25069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534694</xdr:colOff>
      <xdr:row>56</xdr:row>
      <xdr:rowOff>363680</xdr:rowOff>
    </xdr:from>
    <xdr:to>
      <xdr:col>38</xdr:col>
      <xdr:colOff>455156</xdr:colOff>
      <xdr:row>66</xdr:row>
      <xdr:rowOff>290074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0EC5FD-F7C2-444B-9166-78424F5DE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352185</xdr:colOff>
      <xdr:row>44</xdr:row>
      <xdr:rowOff>178761</xdr:rowOff>
    </xdr:from>
    <xdr:to>
      <xdr:col>12</xdr:col>
      <xdr:colOff>272146</xdr:colOff>
      <xdr:row>74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9FF6E-6BA0-4A6B-8D12-9515973C1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446570</xdr:colOff>
      <xdr:row>44</xdr:row>
      <xdr:rowOff>178141</xdr:rowOff>
    </xdr:from>
    <xdr:to>
      <xdr:col>23</xdr:col>
      <xdr:colOff>557899</xdr:colOff>
      <xdr:row>74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65D98-82D3-4B95-BC6F-E00183FC2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27216</xdr:colOff>
      <xdr:row>44</xdr:row>
      <xdr:rowOff>176894</xdr:rowOff>
    </xdr:from>
    <xdr:to>
      <xdr:col>30</xdr:col>
      <xdr:colOff>544287</xdr:colOff>
      <xdr:row>74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6F608-B5CE-4979-9173-6B638E8C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515468</xdr:colOff>
      <xdr:row>46</xdr:row>
      <xdr:rowOff>1867</xdr:rowOff>
    </xdr:from>
    <xdr:to>
      <xdr:col>13</xdr:col>
      <xdr:colOff>207820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98892-BFCF-463E-9FF8-A8B68E81B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337707</xdr:colOff>
      <xdr:row>45</xdr:row>
      <xdr:rowOff>191747</xdr:rowOff>
    </xdr:from>
    <xdr:to>
      <xdr:col>24</xdr:col>
      <xdr:colOff>190501</xdr:colOff>
      <xdr:row>74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C1533-8DC5-4EAB-96FF-73A1FEDD7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346364</xdr:colOff>
      <xdr:row>45</xdr:row>
      <xdr:rowOff>190500</xdr:rowOff>
    </xdr:from>
    <xdr:to>
      <xdr:col>34</xdr:col>
      <xdr:colOff>606137</xdr:colOff>
      <xdr:row>74</xdr:row>
      <xdr:rowOff>137298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445D83-3AAF-4EE0-9E7B-2C437873B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515468</xdr:colOff>
      <xdr:row>46</xdr:row>
      <xdr:rowOff>1867</xdr:rowOff>
    </xdr:from>
    <xdr:to>
      <xdr:col>13</xdr:col>
      <xdr:colOff>207820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566EA-398B-4D94-BF1E-88C28321A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337707</xdr:colOff>
      <xdr:row>45</xdr:row>
      <xdr:rowOff>191747</xdr:rowOff>
    </xdr:from>
    <xdr:to>
      <xdr:col>24</xdr:col>
      <xdr:colOff>190501</xdr:colOff>
      <xdr:row>74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B53D4-DC4A-4D3A-8ADE-97516AB5A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346364</xdr:colOff>
      <xdr:row>45</xdr:row>
      <xdr:rowOff>190500</xdr:rowOff>
    </xdr:from>
    <xdr:to>
      <xdr:col>34</xdr:col>
      <xdr:colOff>606137</xdr:colOff>
      <xdr:row>74</xdr:row>
      <xdr:rowOff>137298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C12E5-6942-4480-8045-567B6B17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515468</xdr:colOff>
      <xdr:row>45</xdr:row>
      <xdr:rowOff>1867</xdr:rowOff>
    </xdr:from>
    <xdr:to>
      <xdr:col>13</xdr:col>
      <xdr:colOff>207820</xdr:colOff>
      <xdr:row>74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B7B1E-2F9E-4998-9B81-189C7D467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337707</xdr:colOff>
      <xdr:row>44</xdr:row>
      <xdr:rowOff>191747</xdr:rowOff>
    </xdr:from>
    <xdr:to>
      <xdr:col>24</xdr:col>
      <xdr:colOff>190501</xdr:colOff>
      <xdr:row>73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96940-2C0C-4E90-B407-B80D38018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346364</xdr:colOff>
      <xdr:row>44</xdr:row>
      <xdr:rowOff>190500</xdr:rowOff>
    </xdr:from>
    <xdr:to>
      <xdr:col>34</xdr:col>
      <xdr:colOff>606137</xdr:colOff>
      <xdr:row>73</xdr:row>
      <xdr:rowOff>137298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22904C-0FEA-4CB9-936E-78792AED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515468</xdr:colOff>
      <xdr:row>46</xdr:row>
      <xdr:rowOff>1867</xdr:rowOff>
    </xdr:from>
    <xdr:to>
      <xdr:col>13</xdr:col>
      <xdr:colOff>207820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7F179-D8F7-4D0B-A0BA-4BE757E72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337707</xdr:colOff>
      <xdr:row>45</xdr:row>
      <xdr:rowOff>191747</xdr:rowOff>
    </xdr:from>
    <xdr:to>
      <xdr:col>24</xdr:col>
      <xdr:colOff>190501</xdr:colOff>
      <xdr:row>74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068B1-D719-4856-9145-5BA9B12F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346364</xdr:colOff>
      <xdr:row>45</xdr:row>
      <xdr:rowOff>190500</xdr:rowOff>
    </xdr:from>
    <xdr:to>
      <xdr:col>34</xdr:col>
      <xdr:colOff>606137</xdr:colOff>
      <xdr:row>74</xdr:row>
      <xdr:rowOff>137298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562F6A-5C52-4B0D-B900-341AD02EF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515468</xdr:colOff>
      <xdr:row>45</xdr:row>
      <xdr:rowOff>1867</xdr:rowOff>
    </xdr:from>
    <xdr:to>
      <xdr:col>13</xdr:col>
      <xdr:colOff>207820</xdr:colOff>
      <xdr:row>74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263AD-6F1E-44FA-A5E3-6E85C5F33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337707</xdr:colOff>
      <xdr:row>44</xdr:row>
      <xdr:rowOff>191747</xdr:rowOff>
    </xdr:from>
    <xdr:to>
      <xdr:col>24</xdr:col>
      <xdr:colOff>190501</xdr:colOff>
      <xdr:row>73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90249-366D-48D0-9402-DF64B3789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346364</xdr:colOff>
      <xdr:row>44</xdr:row>
      <xdr:rowOff>190500</xdr:rowOff>
    </xdr:from>
    <xdr:to>
      <xdr:col>34</xdr:col>
      <xdr:colOff>606137</xdr:colOff>
      <xdr:row>73</xdr:row>
      <xdr:rowOff>137298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ED43ED-FFC8-4DE9-A8C9-2E1FEC21E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515468</xdr:colOff>
      <xdr:row>46</xdr:row>
      <xdr:rowOff>1867</xdr:rowOff>
    </xdr:from>
    <xdr:to>
      <xdr:col>13</xdr:col>
      <xdr:colOff>207820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9C9E5-14AC-4E8F-9895-8BA34C99A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337707</xdr:colOff>
      <xdr:row>45</xdr:row>
      <xdr:rowOff>191747</xdr:rowOff>
    </xdr:from>
    <xdr:to>
      <xdr:col>24</xdr:col>
      <xdr:colOff>190501</xdr:colOff>
      <xdr:row>74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CE0C1-C777-4B11-9FAF-36859C094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346364</xdr:colOff>
      <xdr:row>45</xdr:row>
      <xdr:rowOff>190500</xdr:rowOff>
    </xdr:from>
    <xdr:to>
      <xdr:col>34</xdr:col>
      <xdr:colOff>606137</xdr:colOff>
      <xdr:row>74</xdr:row>
      <xdr:rowOff>137298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E1077-9BD0-48EE-997B-5F889FD10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515468</xdr:colOff>
      <xdr:row>45</xdr:row>
      <xdr:rowOff>190501</xdr:rowOff>
    </xdr:from>
    <xdr:to>
      <xdr:col>13</xdr:col>
      <xdr:colOff>207820</xdr:colOff>
      <xdr:row>74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09AB3-3200-4355-A4AC-E012CDD88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337707</xdr:colOff>
      <xdr:row>45</xdr:row>
      <xdr:rowOff>191747</xdr:rowOff>
    </xdr:from>
    <xdr:to>
      <xdr:col>24</xdr:col>
      <xdr:colOff>190501</xdr:colOff>
      <xdr:row>74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F5299-9B05-4992-B98F-33F59E5AA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346364</xdr:colOff>
      <xdr:row>45</xdr:row>
      <xdr:rowOff>190500</xdr:rowOff>
    </xdr:from>
    <xdr:to>
      <xdr:col>32</xdr:col>
      <xdr:colOff>0</xdr:colOff>
      <xdr:row>74</xdr:row>
      <xdr:rowOff>137298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FA65B-B3EA-4076-9DD8-71D5A2AB9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6"/>
  <sheetViews>
    <sheetView showGridLines="0" view="pageBreakPreview" topLeftCell="A8" zoomScaleSheetLayoutView="100" workbookViewId="0">
      <selection sqref="A1:L1"/>
    </sheetView>
  </sheetViews>
  <sheetFormatPr defaultColWidth="8.81640625" defaultRowHeight="12.5"/>
  <cols>
    <col min="1" max="1" width="1.7265625" customWidth="1"/>
    <col min="2" max="2" width="3.453125" customWidth="1"/>
    <col min="3" max="3" width="22.7265625" customWidth="1"/>
    <col min="4" max="4" width="2.7265625" style="5" customWidth="1"/>
    <col min="5" max="5" width="15.7265625" customWidth="1"/>
    <col min="6" max="6" width="7.7265625" style="5" customWidth="1"/>
    <col min="7" max="7" width="2.453125" customWidth="1"/>
    <col min="8" max="8" width="12" customWidth="1"/>
    <col min="9" max="9" width="1.7265625" customWidth="1"/>
    <col min="11" max="11" width="13.7265625" customWidth="1"/>
    <col min="12" max="12" width="14.453125" customWidth="1"/>
  </cols>
  <sheetData>
    <row r="1" spans="1:12" ht="39.75" customHeight="1">
      <c r="A1" s="486" t="str">
        <f>+'2023 06 05'!B1</f>
        <v>L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8"/>
    </row>
    <row r="2" spans="1:12" ht="22" customHeigh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6"/>
    </row>
    <row r="3" spans="1:12" s="4" customFormat="1" ht="19.5" customHeight="1">
      <c r="A3" s="167"/>
      <c r="B3" s="168" t="s">
        <v>0</v>
      </c>
      <c r="C3" s="168"/>
      <c r="D3" s="169"/>
      <c r="E3" s="169"/>
      <c r="F3" s="170" t="s">
        <v>1</v>
      </c>
      <c r="G3" s="169"/>
      <c r="H3" s="171">
        <f>+'2023 06 05'!F20</f>
        <v>85449.800000000017</v>
      </c>
      <c r="I3" s="172" t="s">
        <v>2</v>
      </c>
      <c r="J3" s="173"/>
      <c r="K3" s="173"/>
      <c r="L3" s="174"/>
    </row>
    <row r="4" spans="1:12" s="4" customFormat="1" ht="22" customHeight="1">
      <c r="A4" s="167"/>
      <c r="B4" s="173"/>
      <c r="C4" s="175" t="s">
        <v>3</v>
      </c>
      <c r="D4" s="176"/>
      <c r="E4" s="176"/>
      <c r="F4" s="177" t="s">
        <v>1</v>
      </c>
      <c r="G4" s="176"/>
      <c r="H4" s="178">
        <f>+'2023 06 05'!F11</f>
        <v>39774.799999999988</v>
      </c>
      <c r="I4" s="179" t="s">
        <v>2</v>
      </c>
      <c r="J4" s="180"/>
      <c r="K4" s="181"/>
      <c r="L4" s="174"/>
    </row>
    <row r="5" spans="1:12" s="4" customFormat="1" ht="22" customHeight="1">
      <c r="A5" s="167"/>
      <c r="B5" s="173"/>
      <c r="C5" s="182" t="s">
        <v>4</v>
      </c>
      <c r="D5" s="169"/>
      <c r="E5" s="169"/>
      <c r="F5" s="183" t="s">
        <v>1</v>
      </c>
      <c r="G5" s="169"/>
      <c r="H5" s="184">
        <f>+'2023 06 05'!F15</f>
        <v>45675.000000000029</v>
      </c>
      <c r="I5" s="185" t="s">
        <v>2</v>
      </c>
      <c r="J5" s="173"/>
      <c r="K5" s="173"/>
      <c r="L5" s="174"/>
    </row>
    <row r="6" spans="1:12" s="4" customFormat="1" ht="22" customHeight="1">
      <c r="A6" s="167"/>
      <c r="B6" s="173"/>
      <c r="C6" s="186"/>
      <c r="D6" s="169"/>
      <c r="E6" s="169"/>
      <c r="F6" s="183"/>
      <c r="G6" s="169"/>
      <c r="H6" s="184"/>
      <c r="I6" s="183"/>
      <c r="J6" s="173"/>
      <c r="K6" s="173"/>
      <c r="L6" s="174"/>
    </row>
    <row r="7" spans="1:12" s="4" customFormat="1" ht="22" customHeight="1">
      <c r="A7" s="167"/>
      <c r="B7" s="173"/>
      <c r="C7" s="182" t="s">
        <v>5</v>
      </c>
      <c r="D7" s="169"/>
      <c r="E7" s="169"/>
      <c r="F7" s="183" t="s">
        <v>1</v>
      </c>
      <c r="G7" s="169"/>
      <c r="H7" s="184">
        <f>+'2023 06 05'!H20+'2023 06 05'!I20+'2023 06 05'!J20+'2023 06 05'!K20+'2023 06 05'!T20+'2023 06 05'!U20</f>
        <v>13369.5</v>
      </c>
      <c r="I7" s="185" t="s">
        <v>2</v>
      </c>
      <c r="J7" s="169"/>
      <c r="K7" s="181"/>
      <c r="L7" s="174"/>
    </row>
    <row r="8" spans="1:12" s="4" customFormat="1" ht="22" customHeight="1">
      <c r="A8" s="167"/>
      <c r="B8" s="173"/>
      <c r="C8" s="182" t="s">
        <v>6</v>
      </c>
      <c r="D8" s="169"/>
      <c r="E8" s="169"/>
      <c r="F8" s="183" t="s">
        <v>1</v>
      </c>
      <c r="G8" s="169"/>
      <c r="H8" s="184">
        <f>+'2023 06 05'!L20+'2023 06 05'!M20+'2023 06 05'!N20+'2023 06 05'!O20+'2023 06 05'!P20+'2023 06 05'!Q20+'2023 06 05'!R20+'2023 06 05'!S20</f>
        <v>72080.300000000017</v>
      </c>
      <c r="I8" s="185" t="s">
        <v>2</v>
      </c>
      <c r="J8" s="169"/>
      <c r="K8" s="173"/>
      <c r="L8" s="174"/>
    </row>
    <row r="9" spans="1:12" s="4" customFormat="1" ht="22" customHeight="1">
      <c r="A9" s="167"/>
      <c r="B9" s="173"/>
      <c r="C9" s="186"/>
      <c r="D9" s="183"/>
      <c r="E9" s="184"/>
      <c r="F9" s="183"/>
      <c r="G9" s="183"/>
      <c r="H9" s="187"/>
      <c r="I9" s="185"/>
      <c r="J9" s="173"/>
      <c r="K9" s="173"/>
      <c r="L9" s="174"/>
    </row>
    <row r="10" spans="1:12" s="4" customFormat="1" ht="22" customHeight="1">
      <c r="A10" s="167"/>
      <c r="B10" s="168" t="s">
        <v>7</v>
      </c>
      <c r="C10" s="168"/>
      <c r="D10" s="169"/>
      <c r="E10" s="169"/>
      <c r="F10" s="170" t="s">
        <v>1</v>
      </c>
      <c r="G10" s="169"/>
      <c r="H10" s="171">
        <f>+'2023 06 05'!F30</f>
        <v>106615</v>
      </c>
      <c r="I10" s="172" t="s">
        <v>2</v>
      </c>
      <c r="J10" s="173"/>
      <c r="K10" s="173"/>
      <c r="L10" s="174"/>
    </row>
    <row r="11" spans="1:12" s="4" customFormat="1" ht="22" customHeight="1">
      <c r="A11" s="167"/>
      <c r="B11" s="173"/>
      <c r="C11" s="175" t="s">
        <v>8</v>
      </c>
      <c r="D11" s="176"/>
      <c r="E11" s="176"/>
      <c r="F11" s="177" t="s">
        <v>1</v>
      </c>
      <c r="G11" s="176"/>
      <c r="H11" s="178">
        <f>'2023 06 05'!F29</f>
        <v>33665</v>
      </c>
      <c r="I11" s="179" t="s">
        <v>2</v>
      </c>
      <c r="J11" s="180"/>
      <c r="K11" s="181"/>
      <c r="L11" s="174"/>
    </row>
    <row r="12" spans="1:12" s="4" customFormat="1" ht="22" customHeight="1">
      <c r="A12" s="167"/>
      <c r="B12" s="173"/>
      <c r="C12" s="182" t="s">
        <v>9</v>
      </c>
      <c r="D12" s="169"/>
      <c r="E12" s="169"/>
      <c r="F12" s="183" t="s">
        <v>1</v>
      </c>
      <c r="G12" s="169"/>
      <c r="H12" s="184">
        <f>'2023 06 05'!G29</f>
        <v>36520</v>
      </c>
      <c r="I12" s="185" t="s">
        <v>2</v>
      </c>
      <c r="J12" s="173"/>
      <c r="K12" s="173"/>
      <c r="L12" s="174"/>
    </row>
    <row r="13" spans="1:12" s="4" customFormat="1" ht="22" customHeight="1">
      <c r="A13" s="167"/>
      <c r="B13" s="173"/>
      <c r="C13" s="182" t="s">
        <v>10</v>
      </c>
      <c r="D13" s="169"/>
      <c r="E13" s="169"/>
      <c r="F13" s="183" t="s">
        <v>1</v>
      </c>
      <c r="G13" s="169"/>
      <c r="H13" s="184">
        <f>'2023 06 05'!H29</f>
        <v>36430</v>
      </c>
      <c r="I13" s="185" t="s">
        <v>2</v>
      </c>
      <c r="J13" s="173"/>
      <c r="K13" s="173"/>
      <c r="L13" s="174"/>
    </row>
    <row r="14" spans="1:12" s="4" customFormat="1" ht="22" customHeight="1">
      <c r="A14" s="167"/>
      <c r="B14" s="173"/>
      <c r="C14" s="186"/>
      <c r="D14" s="169"/>
      <c r="E14" s="169"/>
      <c r="F14" s="183"/>
      <c r="G14" s="169"/>
      <c r="H14" s="184"/>
      <c r="I14" s="183"/>
      <c r="J14" s="173"/>
      <c r="K14" s="173"/>
      <c r="L14" s="174"/>
    </row>
    <row r="15" spans="1:12" s="4" customFormat="1" ht="22" customHeight="1">
      <c r="A15" s="167"/>
      <c r="B15" s="168" t="s">
        <v>11</v>
      </c>
      <c r="C15" s="173"/>
      <c r="D15" s="183"/>
      <c r="E15" s="173"/>
      <c r="F15" s="183"/>
      <c r="G15" s="173"/>
      <c r="H15" s="173"/>
      <c r="I15" s="173"/>
      <c r="J15" s="173"/>
      <c r="K15" s="173"/>
      <c r="L15" s="174"/>
    </row>
    <row r="16" spans="1:12" s="4" customFormat="1" ht="22" customHeight="1">
      <c r="A16" s="167"/>
      <c r="B16" s="173"/>
      <c r="C16" s="182" t="s">
        <v>12</v>
      </c>
      <c r="D16" s="183" t="s">
        <v>1</v>
      </c>
      <c r="E16" s="188">
        <f>+'2023 06 05'!T34</f>
        <v>6.9999999999999991</v>
      </c>
      <c r="F16" s="189" t="s">
        <v>13</v>
      </c>
      <c r="G16" s="188"/>
      <c r="H16" s="188">
        <f>+'2023 06 05'!T37</f>
        <v>1.5</v>
      </c>
      <c r="I16" s="185" t="s">
        <v>14</v>
      </c>
      <c r="J16" s="173"/>
      <c r="K16" s="173"/>
      <c r="L16" s="174"/>
    </row>
    <row r="17" spans="1:22" s="4" customFormat="1" ht="22" customHeight="1">
      <c r="A17" s="167"/>
      <c r="B17" s="173"/>
      <c r="C17" s="182" t="s">
        <v>15</v>
      </c>
      <c r="D17" s="183" t="s">
        <v>1</v>
      </c>
      <c r="E17" s="190">
        <f>+'2023 06 05'!T39</f>
        <v>3.4500000000000011</v>
      </c>
      <c r="F17" s="191" t="s">
        <v>13</v>
      </c>
      <c r="G17" s="190"/>
      <c r="H17" s="192">
        <f>+'2023 06 05'!T42</f>
        <v>4.5</v>
      </c>
      <c r="I17" s="193" t="s">
        <v>14</v>
      </c>
      <c r="J17" s="194"/>
      <c r="K17" s="195"/>
      <c r="L17" s="174"/>
    </row>
    <row r="18" spans="1:22" s="4" customFormat="1" ht="22" customHeight="1">
      <c r="A18" s="167"/>
      <c r="B18" s="173"/>
      <c r="C18" s="182" t="s">
        <v>16</v>
      </c>
      <c r="D18" s="183" t="s">
        <v>1</v>
      </c>
      <c r="E18" s="196">
        <f>+'2023 06 05'!T44</f>
        <v>6.65</v>
      </c>
      <c r="F18" s="189" t="s">
        <v>13</v>
      </c>
      <c r="G18" s="173"/>
      <c r="H18" s="196">
        <f>+'2023 06 05'!T47</f>
        <v>3.5</v>
      </c>
      <c r="I18" s="173"/>
      <c r="J18" s="173" t="s">
        <v>17</v>
      </c>
      <c r="K18" s="195"/>
      <c r="L18" s="174"/>
    </row>
    <row r="19" spans="1:22" s="4" customFormat="1" ht="22" customHeight="1">
      <c r="A19" s="167"/>
      <c r="B19" s="173"/>
      <c r="C19" s="182" t="s">
        <v>18</v>
      </c>
      <c r="D19" s="183" t="s">
        <v>1</v>
      </c>
      <c r="E19" s="188">
        <f>+'2023 06 05'!T49</f>
        <v>8.2500000000000036</v>
      </c>
      <c r="F19" s="189" t="s">
        <v>13</v>
      </c>
      <c r="G19" s="188"/>
      <c r="H19" s="197">
        <f>+'2023 06 05'!T52</f>
        <v>12</v>
      </c>
      <c r="I19" s="185" t="s">
        <v>14</v>
      </c>
      <c r="J19" s="173"/>
      <c r="K19" s="195"/>
      <c r="L19" s="174"/>
    </row>
    <row r="20" spans="1:22" s="4" customFormat="1" ht="18" customHeight="1">
      <c r="A20" s="167"/>
      <c r="B20" s="173"/>
      <c r="C20" s="182" t="s">
        <v>19</v>
      </c>
      <c r="D20" s="183" t="s">
        <v>1</v>
      </c>
      <c r="E20" s="188">
        <f>+'2023 06 05'!T54</f>
        <v>9.18333333333333</v>
      </c>
      <c r="F20" s="189" t="s">
        <v>13</v>
      </c>
      <c r="G20" s="188"/>
      <c r="H20" s="197">
        <f>+'2023 06 05'!T57</f>
        <v>14</v>
      </c>
      <c r="I20" s="185" t="s">
        <v>14</v>
      </c>
      <c r="J20" s="173"/>
      <c r="K20" s="195"/>
      <c r="L20" s="174"/>
    </row>
    <row r="21" spans="1:22" s="4" customFormat="1" ht="18" customHeight="1">
      <c r="A21" s="167"/>
      <c r="B21" s="173"/>
      <c r="C21" s="182" t="s">
        <v>20</v>
      </c>
      <c r="D21" s="183" t="s">
        <v>1</v>
      </c>
      <c r="E21" s="188">
        <f>+'2023 06 05'!T59</f>
        <v>13.483333333333331</v>
      </c>
      <c r="F21" s="189" t="s">
        <v>13</v>
      </c>
      <c r="G21" s="188"/>
      <c r="H21" s="197">
        <f>+'2023 06 05'!T62</f>
        <v>14</v>
      </c>
      <c r="I21" s="185" t="s">
        <v>14</v>
      </c>
      <c r="J21" s="173"/>
      <c r="K21" s="195"/>
      <c r="L21" s="174"/>
    </row>
    <row r="22" spans="1:22" ht="17.5">
      <c r="A22" s="167"/>
      <c r="B22" s="173"/>
      <c r="C22" s="182" t="s">
        <v>21</v>
      </c>
      <c r="D22" s="183" t="s">
        <v>1</v>
      </c>
      <c r="E22" s="188">
        <f>+'2023 06 05'!T64</f>
        <v>12.399999999999995</v>
      </c>
      <c r="F22" s="189" t="s">
        <v>13</v>
      </c>
      <c r="G22" s="188"/>
      <c r="H22" s="197">
        <f>+'2023 06 05'!T67</f>
        <v>14.5</v>
      </c>
      <c r="I22" s="185" t="s">
        <v>14</v>
      </c>
      <c r="J22" s="173"/>
      <c r="K22" s="195"/>
      <c r="L22" s="17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7.5">
      <c r="A23" s="167"/>
      <c r="B23" s="173"/>
      <c r="C23" s="182" t="s">
        <v>22</v>
      </c>
      <c r="D23" s="183" t="s">
        <v>1</v>
      </c>
      <c r="E23" s="188">
        <f>+'2023 06 05'!T69</f>
        <v>12.399999999999995</v>
      </c>
      <c r="F23" s="189" t="s">
        <v>13</v>
      </c>
      <c r="G23" s="188"/>
      <c r="H23" s="197">
        <f>+'2023 06 05'!T72</f>
        <v>14.5</v>
      </c>
      <c r="I23" s="185" t="s">
        <v>14</v>
      </c>
      <c r="J23" s="173"/>
      <c r="K23" s="195"/>
      <c r="L23" s="17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7.5">
      <c r="A24" s="167"/>
      <c r="B24" s="173"/>
      <c r="C24" s="182" t="s">
        <v>23</v>
      </c>
      <c r="D24" s="183" t="s">
        <v>1</v>
      </c>
      <c r="E24" s="188">
        <f>+'2023 06 05'!T74</f>
        <v>12.933333333333334</v>
      </c>
      <c r="F24" s="189" t="s">
        <v>13</v>
      </c>
      <c r="G24" s="188"/>
      <c r="H24" s="197">
        <f>+'2023 06 05'!T77</f>
        <v>15.5</v>
      </c>
      <c r="I24" s="185"/>
      <c r="J24" s="173" t="s">
        <v>17</v>
      </c>
      <c r="K24" s="195"/>
      <c r="L24" s="17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7.5">
      <c r="A25" s="167"/>
      <c r="B25" s="173"/>
      <c r="C25" s="182" t="s">
        <v>24</v>
      </c>
      <c r="D25" s="183" t="s">
        <v>1</v>
      </c>
      <c r="E25" s="188">
        <f>+'2023 06 05'!T79</f>
        <v>12.933333333333334</v>
      </c>
      <c r="F25" s="189" t="s">
        <v>13</v>
      </c>
      <c r="G25" s="188"/>
      <c r="H25" s="197">
        <f>+'2023 06 05'!T82</f>
        <v>16</v>
      </c>
      <c r="I25" s="185"/>
      <c r="J25" s="173" t="s">
        <v>17</v>
      </c>
      <c r="K25" s="173"/>
      <c r="L25" s="17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7.5">
      <c r="A26" s="167"/>
      <c r="B26" s="173"/>
      <c r="C26" s="182" t="s">
        <v>25</v>
      </c>
      <c r="D26" s="183" t="s">
        <v>1</v>
      </c>
      <c r="E26" s="188">
        <f>+'2023 06 05'!T84</f>
        <v>4.0000000000000018</v>
      </c>
      <c r="F26" s="189" t="s">
        <v>13</v>
      </c>
      <c r="G26" s="188"/>
      <c r="H26" s="197">
        <f>+'2023 06 05'!T87</f>
        <v>7</v>
      </c>
      <c r="I26" s="185"/>
      <c r="J26" s="173" t="s">
        <v>17</v>
      </c>
      <c r="K26" s="198"/>
      <c r="L26" s="17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7.5">
      <c r="A27" s="167"/>
      <c r="B27" s="173"/>
      <c r="C27" s="182" t="s">
        <v>26</v>
      </c>
      <c r="D27" s="183" t="s">
        <v>1</v>
      </c>
      <c r="E27" s="196">
        <f>+'2023 06 05'!T89</f>
        <v>9.6333333333333293</v>
      </c>
      <c r="F27" s="189" t="s">
        <v>13</v>
      </c>
      <c r="G27" s="173"/>
      <c r="H27" s="196">
        <f>+'2023 06 05'!T92</f>
        <v>4</v>
      </c>
      <c r="I27" s="173"/>
      <c r="J27" s="173" t="s">
        <v>17</v>
      </c>
      <c r="K27" s="198"/>
      <c r="L27" s="17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7.5">
      <c r="A28" s="167"/>
      <c r="B28" s="173"/>
      <c r="C28" s="182" t="s">
        <v>197</v>
      </c>
      <c r="D28" s="183" t="s">
        <v>1</v>
      </c>
      <c r="E28" s="196">
        <f>+'2023 06 05'!T94</f>
        <v>6.5833333333333366</v>
      </c>
      <c r="F28" s="189" t="s">
        <v>13</v>
      </c>
      <c r="G28" s="173"/>
      <c r="H28" s="196">
        <f>+'2023 06 05'!T97</f>
        <v>3</v>
      </c>
      <c r="I28" s="173"/>
      <c r="J28" s="173" t="s">
        <v>17</v>
      </c>
      <c r="K28" s="198"/>
      <c r="L28" s="17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7.5">
      <c r="A29" s="167"/>
      <c r="B29" s="173"/>
      <c r="C29" s="182"/>
      <c r="D29" s="183"/>
      <c r="E29" s="196"/>
      <c r="F29" s="189"/>
      <c r="G29" s="173"/>
      <c r="H29" s="196"/>
      <c r="I29" s="173"/>
      <c r="J29" s="173"/>
      <c r="K29" s="198"/>
      <c r="L29" s="17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8.5" thickBot="1">
      <c r="A30" s="37"/>
      <c r="B30" s="38"/>
      <c r="C30" s="265" t="s">
        <v>27</v>
      </c>
      <c r="D30" s="39" t="s">
        <v>28</v>
      </c>
      <c r="E30" s="489" t="str">
        <f>+A1</f>
        <v>L</v>
      </c>
      <c r="F30" s="489"/>
      <c r="G30" s="489"/>
      <c r="H30" s="489"/>
      <c r="I30" s="489"/>
      <c r="J30" s="489"/>
      <c r="K30" s="489"/>
      <c r="L30" s="490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8">
      <c r="A31" s="169"/>
      <c r="B31" s="169"/>
      <c r="C31" s="169"/>
      <c r="D31" s="199"/>
      <c r="E31" s="200"/>
      <c r="F31" s="199"/>
      <c r="G31" s="169"/>
      <c r="H31" s="200"/>
      <c r="I31" s="169"/>
      <c r="J31" s="169"/>
      <c r="K31" s="169"/>
      <c r="L31" s="169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7.5">
      <c r="A32" s="169"/>
      <c r="B32" s="169"/>
      <c r="C32" s="169"/>
      <c r="D32" s="199"/>
      <c r="E32" s="169"/>
      <c r="F32" s="199"/>
      <c r="G32" s="169"/>
      <c r="H32" s="201"/>
      <c r="I32" s="169"/>
      <c r="J32" s="169"/>
      <c r="K32" s="169"/>
      <c r="L32" s="169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12">
      <c r="A33" s="202"/>
      <c r="B33" s="202"/>
      <c r="C33" s="202"/>
      <c r="D33" s="203"/>
      <c r="E33" s="202"/>
      <c r="F33" s="203"/>
      <c r="G33" s="202"/>
      <c r="H33" s="202"/>
      <c r="I33" s="202"/>
      <c r="J33" s="202"/>
      <c r="K33" s="202"/>
      <c r="L33" s="202"/>
    </row>
    <row r="34" spans="1:12">
      <c r="A34" s="202"/>
      <c r="B34" s="202"/>
      <c r="C34" s="202"/>
      <c r="D34" s="203"/>
      <c r="E34" s="202"/>
      <c r="F34" s="203"/>
      <c r="G34" s="202"/>
      <c r="H34" s="202"/>
      <c r="I34" s="202"/>
      <c r="J34" s="202"/>
      <c r="K34" s="202"/>
      <c r="L34" s="202"/>
    </row>
    <row r="35" spans="1:12">
      <c r="A35" s="202"/>
      <c r="B35" s="202"/>
      <c r="C35" s="202"/>
      <c r="D35" s="203"/>
      <c r="E35" s="202"/>
      <c r="F35" s="203"/>
      <c r="G35" s="202"/>
      <c r="H35" s="202"/>
      <c r="I35" s="202"/>
      <c r="J35" s="202"/>
      <c r="K35" s="202"/>
      <c r="L35" s="202"/>
    </row>
    <row r="36" spans="1:12">
      <c r="A36" s="202"/>
      <c r="B36" s="202"/>
      <c r="C36" s="202"/>
      <c r="D36" s="203"/>
      <c r="E36" s="202"/>
      <c r="F36" s="203"/>
      <c r="G36" s="202"/>
      <c r="H36" s="202"/>
      <c r="I36" s="202"/>
      <c r="J36" s="202"/>
      <c r="K36" s="202"/>
      <c r="L36" s="202"/>
    </row>
  </sheetData>
  <mergeCells count="2">
    <mergeCell ref="A1:L1"/>
    <mergeCell ref="E30:L30"/>
  </mergeCells>
  <phoneticPr fontId="22" type="noConversion"/>
  <printOptions horizontalCentered="1"/>
  <pageMargins left="1" right="1" top="1" bottom="1" header="0.5" footer="0.5"/>
  <pageSetup paperSize="9" scale="70" fitToWidth="0" fitToHeight="0" orientation="portrait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3C5C-C956-4A8B-8DA7-B6570A7BB268}">
  <sheetPr>
    <tabColor rgb="FF92D050"/>
    <pageSetUpPr fitToPage="1"/>
  </sheetPr>
  <dimension ref="A1:AW85"/>
  <sheetViews>
    <sheetView showGridLines="0" view="pageBreakPreview" zoomScale="70" zoomScaleSheetLayoutView="70" workbookViewId="0">
      <pane xSplit="1" ySplit="6" topLeftCell="Q7" activePane="bottomRight" state="frozen"/>
      <selection sqref="A1:AH2"/>
      <selection pane="topRight" sqref="A1:AH2"/>
      <selection pane="bottomLeft" sqref="A1:AH2"/>
      <selection pane="bottomRight" sqref="A1:AH2"/>
    </sheetView>
  </sheetViews>
  <sheetFormatPr defaultColWidth="8.81640625" defaultRowHeight="12.5"/>
  <cols>
    <col min="1" max="1" width="10.1796875" style="8" customWidth="1"/>
    <col min="2" max="2" width="10.81640625" style="7" bestFit="1" customWidth="1"/>
    <col min="3" max="3" width="12.1796875" style="7" bestFit="1" customWidth="1"/>
    <col min="4" max="11" width="10.453125" style="7" customWidth="1"/>
    <col min="12" max="12" width="11.1796875" style="7" customWidth="1"/>
    <col min="13" max="30" width="10.453125" style="7" customWidth="1"/>
    <col min="31" max="31" width="11.1796875" style="7" customWidth="1"/>
    <col min="32" max="33" width="11.26953125" style="7" customWidth="1"/>
    <col min="34" max="35" width="0.81640625" style="7" customWidth="1"/>
    <col min="36" max="36" width="11.7265625" style="7" customWidth="1"/>
    <col min="37" max="38" width="8.81640625" style="7"/>
    <col min="39" max="47" width="11.81640625" style="7" customWidth="1"/>
    <col min="48" max="16384" width="8.81640625" style="7"/>
  </cols>
  <sheetData>
    <row r="1" spans="1:35" ht="35.15" customHeight="1">
      <c r="A1" s="761">
        <f>+A7</f>
        <v>44896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2"/>
      <c r="AH1" s="762"/>
      <c r="AI1" s="763"/>
    </row>
    <row r="2" spans="1:35" ht="25" customHeight="1" thickBot="1">
      <c r="A2" s="40"/>
      <c r="AI2" s="220" t="s">
        <v>127</v>
      </c>
    </row>
    <row r="3" spans="1:35" ht="17.149999999999999" customHeight="1">
      <c r="A3" s="764" t="s">
        <v>128</v>
      </c>
      <c r="B3" s="114" t="s">
        <v>129</v>
      </c>
      <c r="C3" s="271" t="s">
        <v>130</v>
      </c>
      <c r="D3" s="797"/>
      <c r="E3" s="797"/>
      <c r="F3" s="797"/>
      <c r="G3" s="797"/>
      <c r="H3" s="798"/>
      <c r="I3" s="799" t="s">
        <v>42</v>
      </c>
      <c r="J3" s="800"/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133</v>
      </c>
      <c r="Z3" s="769" t="s">
        <v>134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5" s="9" customFormat="1" ht="17.149999999999999" customHeight="1">
      <c r="A4" s="765"/>
      <c r="B4" s="115" t="s">
        <v>139</v>
      </c>
      <c r="C4" s="62" t="s">
        <v>69</v>
      </c>
      <c r="D4" s="116" t="s">
        <v>140</v>
      </c>
      <c r="E4" s="64" t="s">
        <v>49</v>
      </c>
      <c r="F4" s="62" t="s">
        <v>141</v>
      </c>
      <c r="G4" s="62" t="s">
        <v>142</v>
      </c>
      <c r="H4" s="116" t="s">
        <v>46</v>
      </c>
      <c r="I4" s="115" t="s">
        <v>177</v>
      </c>
      <c r="J4" s="777" t="s">
        <v>47</v>
      </c>
      <c r="K4" s="782"/>
      <c r="L4" s="782"/>
      <c r="M4" s="778"/>
      <c r="N4" s="777" t="s">
        <v>48</v>
      </c>
      <c r="O4" s="782"/>
      <c r="P4" s="782"/>
      <c r="Q4" s="782"/>
      <c r="R4" s="782"/>
      <c r="S4" s="778"/>
      <c r="T4" s="777" t="s">
        <v>143</v>
      </c>
      <c r="U4" s="778"/>
      <c r="V4" s="254" t="s">
        <v>48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5" ht="30" customHeight="1">
      <c r="A5" s="765"/>
      <c r="B5" s="130" t="s">
        <v>51</v>
      </c>
      <c r="C5" s="130" t="s">
        <v>51</v>
      </c>
      <c r="D5" s="802"/>
      <c r="E5" s="803"/>
      <c r="F5" s="803"/>
      <c r="G5" s="803"/>
      <c r="H5" s="803"/>
      <c r="I5" s="127" t="s">
        <v>51</v>
      </c>
      <c r="J5" s="818" t="s">
        <v>52</v>
      </c>
      <c r="K5" s="819"/>
      <c r="L5" s="820" t="s">
        <v>53</v>
      </c>
      <c r="M5" s="821"/>
      <c r="N5" s="822" t="s">
        <v>52</v>
      </c>
      <c r="O5" s="823"/>
      <c r="P5" s="820" t="s">
        <v>53</v>
      </c>
      <c r="Q5" s="821"/>
      <c r="R5" s="824" t="s">
        <v>54</v>
      </c>
      <c r="S5" s="825"/>
      <c r="T5" s="824" t="s">
        <v>54</v>
      </c>
      <c r="U5" s="825"/>
      <c r="V5" s="804" t="s">
        <v>50</v>
      </c>
      <c r="W5" s="805"/>
      <c r="X5" s="49" t="s">
        <v>55</v>
      </c>
      <c r="Y5" s="792"/>
      <c r="Z5" s="770"/>
      <c r="AA5" s="773"/>
      <c r="AB5" s="756"/>
      <c r="AC5" s="756"/>
      <c r="AD5" s="756"/>
      <c r="AE5" s="759"/>
      <c r="AG5" s="219"/>
    </row>
    <row r="6" spans="1:35" ht="17.149999999999999" customHeight="1" thickBot="1">
      <c r="A6" s="766"/>
      <c r="B6" s="131"/>
      <c r="C6" s="128"/>
      <c r="D6" s="806"/>
      <c r="E6" s="806"/>
      <c r="F6" s="806"/>
      <c r="G6" s="806"/>
      <c r="H6" s="807"/>
      <c r="I6" s="128"/>
      <c r="J6" s="65"/>
      <c r="K6" s="66"/>
      <c r="L6" s="67"/>
      <c r="M6" s="68"/>
      <c r="N6" s="65"/>
      <c r="O6" s="66"/>
      <c r="P6" s="67"/>
      <c r="Q6" s="68"/>
      <c r="R6" s="69"/>
      <c r="S6" s="69"/>
      <c r="T6" s="69"/>
      <c r="U6" s="69"/>
      <c r="V6" s="252"/>
      <c r="W6" s="252"/>
      <c r="X6" s="70"/>
      <c r="Y6" s="793"/>
      <c r="Z6" s="771"/>
      <c r="AA6" s="774"/>
      <c r="AB6" s="757"/>
      <c r="AC6" s="757"/>
      <c r="AD6" s="757"/>
      <c r="AE6" s="760"/>
      <c r="AG6" s="219"/>
    </row>
    <row r="7" spans="1:35" ht="17.149999999999999" customHeight="1">
      <c r="A7" s="124">
        <v>44896</v>
      </c>
      <c r="B7" s="123"/>
      <c r="C7" s="121"/>
      <c r="D7" s="122"/>
      <c r="E7" s="123"/>
      <c r="F7" s="121"/>
      <c r="G7" s="122"/>
      <c r="H7" s="122"/>
      <c r="I7" s="121"/>
      <c r="J7" s="119"/>
      <c r="K7" s="120"/>
      <c r="L7" s="121"/>
      <c r="M7" s="119"/>
      <c r="N7" s="122"/>
      <c r="O7" s="122"/>
      <c r="P7" s="121"/>
      <c r="Q7" s="119"/>
      <c r="R7" s="121"/>
      <c r="S7" s="121"/>
      <c r="T7" s="121"/>
      <c r="U7" s="121"/>
      <c r="V7" s="121"/>
      <c r="W7" s="119"/>
      <c r="X7" s="120"/>
      <c r="Y7" s="125">
        <f>0</f>
        <v>0</v>
      </c>
      <c r="Z7" s="125">
        <f>SUM(J7,L7,V7,N7,P7,T7,R7,W7)</f>
        <v>0</v>
      </c>
      <c r="AA7" s="126">
        <f>SUM(B7:X7)</f>
        <v>0</v>
      </c>
      <c r="AB7" s="221"/>
      <c r="AC7" s="106"/>
      <c r="AD7" s="106"/>
      <c r="AE7" s="222">
        <f>SUM(AB7:AD7)</f>
        <v>0</v>
      </c>
      <c r="AG7" s="219"/>
    </row>
    <row r="8" spans="1:35" ht="17.149999999999999" customHeight="1">
      <c r="A8" s="60">
        <f t="shared" ref="A8:A37" si="0">+A7+1</f>
        <v>44897</v>
      </c>
      <c r="B8" s="10"/>
      <c r="C8" s="13"/>
      <c r="D8" s="12"/>
      <c r="E8" s="10"/>
      <c r="F8" s="13"/>
      <c r="G8" s="12"/>
      <c r="H8" s="12"/>
      <c r="I8" s="13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25"/>
      <c r="Y8" s="125">
        <f>0</f>
        <v>0</v>
      </c>
      <c r="Z8" s="22">
        <f t="shared" ref="Z8:Z37" si="1">SUM(J8,L8,V8,N8,P8,T8,R8,W8)</f>
        <v>0</v>
      </c>
      <c r="AA8" s="21">
        <f t="shared" ref="AA8:AA37" si="2">SUM(B8:X8)</f>
        <v>0</v>
      </c>
      <c r="AB8" s="12"/>
      <c r="AC8" s="25"/>
      <c r="AD8" s="25"/>
      <c r="AE8" s="21">
        <f t="shared" ref="AE8:AE34" si="3">SUM(AB8:AD8)</f>
        <v>0</v>
      </c>
      <c r="AG8" s="219"/>
    </row>
    <row r="9" spans="1:35" ht="17.149999999999999" customHeight="1">
      <c r="A9" s="60">
        <f t="shared" si="0"/>
        <v>44898</v>
      </c>
      <c r="B9" s="10"/>
      <c r="C9" s="13"/>
      <c r="D9" s="12"/>
      <c r="E9" s="10"/>
      <c r="F9" s="13"/>
      <c r="G9" s="12"/>
      <c r="H9" s="12"/>
      <c r="I9" s="13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26"/>
      <c r="Y9" s="125">
        <f>0</f>
        <v>0</v>
      </c>
      <c r="Z9" s="22">
        <f t="shared" si="1"/>
        <v>0</v>
      </c>
      <c r="AA9" s="21">
        <f t="shared" si="2"/>
        <v>0</v>
      </c>
      <c r="AB9" s="12"/>
      <c r="AC9" s="26"/>
      <c r="AD9" s="26"/>
      <c r="AE9" s="21">
        <f t="shared" si="3"/>
        <v>0</v>
      </c>
      <c r="AG9" s="219"/>
    </row>
    <row r="10" spans="1:35" ht="17.149999999999999" customHeight="1">
      <c r="A10" s="60">
        <f t="shared" si="0"/>
        <v>44899</v>
      </c>
      <c r="B10" s="10"/>
      <c r="C10" s="13"/>
      <c r="D10" s="12"/>
      <c r="E10" s="10"/>
      <c r="F10" s="13"/>
      <c r="G10" s="12"/>
      <c r="H10" s="12"/>
      <c r="I10" s="13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26"/>
      <c r="Y10" s="125">
        <f>0</f>
        <v>0</v>
      </c>
      <c r="Z10" s="22">
        <f t="shared" si="1"/>
        <v>0</v>
      </c>
      <c r="AA10" s="21">
        <f t="shared" si="2"/>
        <v>0</v>
      </c>
      <c r="AB10" s="12"/>
      <c r="AC10" s="26"/>
      <c r="AD10" s="26"/>
      <c r="AE10" s="21">
        <f t="shared" si="3"/>
        <v>0</v>
      </c>
      <c r="AG10" s="219"/>
    </row>
    <row r="11" spans="1:35" ht="17.149999999999999" customHeight="1">
      <c r="A11" s="60">
        <f t="shared" si="0"/>
        <v>44900</v>
      </c>
      <c r="B11" s="10"/>
      <c r="C11" s="13"/>
      <c r="D11" s="12"/>
      <c r="E11" s="10"/>
      <c r="F11" s="13"/>
      <c r="G11" s="12"/>
      <c r="H11" s="12"/>
      <c r="I11" s="13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26"/>
      <c r="Y11" s="125">
        <f>0</f>
        <v>0</v>
      </c>
      <c r="Z11" s="22">
        <f t="shared" si="1"/>
        <v>0</v>
      </c>
      <c r="AA11" s="21">
        <f t="shared" si="2"/>
        <v>0</v>
      </c>
      <c r="AB11" s="12"/>
      <c r="AC11" s="26"/>
      <c r="AD11" s="26"/>
      <c r="AE11" s="21">
        <f t="shared" si="3"/>
        <v>0</v>
      </c>
      <c r="AG11" s="219"/>
    </row>
    <row r="12" spans="1:35" ht="17.149999999999999" customHeight="1">
      <c r="A12" s="60">
        <f t="shared" si="0"/>
        <v>44901</v>
      </c>
      <c r="B12" s="10"/>
      <c r="C12" s="13"/>
      <c r="D12" s="12"/>
      <c r="E12" s="10"/>
      <c r="F12" s="13"/>
      <c r="G12" s="12"/>
      <c r="H12" s="12"/>
      <c r="I12" s="13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26"/>
      <c r="Y12" s="125">
        <f>0</f>
        <v>0</v>
      </c>
      <c r="Z12" s="22">
        <f t="shared" si="1"/>
        <v>0</v>
      </c>
      <c r="AA12" s="21">
        <f t="shared" si="2"/>
        <v>0</v>
      </c>
      <c r="AB12" s="12"/>
      <c r="AC12" s="26"/>
      <c r="AD12" s="26"/>
      <c r="AE12" s="21">
        <f t="shared" si="3"/>
        <v>0</v>
      </c>
      <c r="AG12" s="219"/>
    </row>
    <row r="13" spans="1:35" ht="17.149999999999999" customHeight="1">
      <c r="A13" s="60">
        <f t="shared" si="0"/>
        <v>44902</v>
      </c>
      <c r="B13" s="10"/>
      <c r="C13" s="13"/>
      <c r="D13" s="12"/>
      <c r="E13" s="10"/>
      <c r="F13" s="13"/>
      <c r="G13" s="12"/>
      <c r="H13" s="12"/>
      <c r="I13" s="13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26"/>
      <c r="Y13" s="125">
        <f>0</f>
        <v>0</v>
      </c>
      <c r="Z13" s="22">
        <f t="shared" si="1"/>
        <v>0</v>
      </c>
      <c r="AA13" s="21">
        <f t="shared" si="2"/>
        <v>0</v>
      </c>
      <c r="AB13" s="12"/>
      <c r="AC13" s="26"/>
      <c r="AD13" s="26"/>
      <c r="AE13" s="21">
        <f t="shared" si="3"/>
        <v>0</v>
      </c>
      <c r="AG13" s="219"/>
    </row>
    <row r="14" spans="1:35" ht="17.149999999999999" customHeight="1">
      <c r="A14" s="60">
        <f t="shared" si="0"/>
        <v>44903</v>
      </c>
      <c r="B14" s="10"/>
      <c r="C14" s="13"/>
      <c r="D14" s="12"/>
      <c r="E14" s="10"/>
      <c r="F14" s="13"/>
      <c r="G14" s="12"/>
      <c r="H14" s="12"/>
      <c r="I14" s="13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6"/>
      <c r="Y14" s="125">
        <f>0</f>
        <v>0</v>
      </c>
      <c r="Z14" s="22">
        <f t="shared" si="1"/>
        <v>0</v>
      </c>
      <c r="AA14" s="21">
        <f t="shared" si="2"/>
        <v>0</v>
      </c>
      <c r="AB14" s="12"/>
      <c r="AC14" s="25"/>
      <c r="AD14" s="25"/>
      <c r="AE14" s="21">
        <f t="shared" si="3"/>
        <v>0</v>
      </c>
      <c r="AG14" s="219"/>
    </row>
    <row r="15" spans="1:35" ht="17.149999999999999" customHeight="1">
      <c r="A15" s="60">
        <f t="shared" si="0"/>
        <v>44904</v>
      </c>
      <c r="B15" s="10"/>
      <c r="C15" s="13"/>
      <c r="D15" s="12"/>
      <c r="E15" s="10"/>
      <c r="F15" s="13"/>
      <c r="G15" s="12"/>
      <c r="H15" s="12"/>
      <c r="I15" s="13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26"/>
      <c r="Y15" s="125">
        <f>0</f>
        <v>0</v>
      </c>
      <c r="Z15" s="22">
        <f t="shared" si="1"/>
        <v>0</v>
      </c>
      <c r="AA15" s="21">
        <f t="shared" si="2"/>
        <v>0</v>
      </c>
      <c r="AB15" s="12"/>
      <c r="AC15" s="26"/>
      <c r="AD15" s="26"/>
      <c r="AE15" s="21">
        <f t="shared" si="3"/>
        <v>0</v>
      </c>
      <c r="AG15" s="219"/>
    </row>
    <row r="16" spans="1:35" ht="17.149999999999999" customHeight="1">
      <c r="A16" s="60">
        <f t="shared" si="0"/>
        <v>44905</v>
      </c>
      <c r="B16" s="10"/>
      <c r="C16" s="13"/>
      <c r="D16" s="12"/>
      <c r="E16" s="10"/>
      <c r="F16" s="13"/>
      <c r="G16" s="12"/>
      <c r="H16" s="12"/>
      <c r="I16" s="13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26"/>
      <c r="Y16" s="125">
        <f>0</f>
        <v>0</v>
      </c>
      <c r="Z16" s="22">
        <f t="shared" si="1"/>
        <v>0</v>
      </c>
      <c r="AA16" s="21">
        <f t="shared" si="2"/>
        <v>0</v>
      </c>
      <c r="AB16" s="12"/>
      <c r="AC16" s="26"/>
      <c r="AD16" s="26"/>
      <c r="AE16" s="21">
        <f t="shared" si="3"/>
        <v>0</v>
      </c>
      <c r="AG16" s="219"/>
    </row>
    <row r="17" spans="1:33" ht="17.149999999999999" customHeight="1">
      <c r="A17" s="60">
        <f t="shared" si="0"/>
        <v>44906</v>
      </c>
      <c r="B17" s="10"/>
      <c r="C17" s="13"/>
      <c r="D17" s="12"/>
      <c r="E17" s="10"/>
      <c r="F17" s="13"/>
      <c r="G17" s="12"/>
      <c r="H17" s="12"/>
      <c r="I17" s="13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26"/>
      <c r="Y17" s="125">
        <f>0</f>
        <v>0</v>
      </c>
      <c r="Z17" s="22">
        <f t="shared" si="1"/>
        <v>0</v>
      </c>
      <c r="AA17" s="21">
        <f t="shared" si="2"/>
        <v>0</v>
      </c>
      <c r="AB17" s="12"/>
      <c r="AC17" s="26"/>
      <c r="AD17" s="26"/>
      <c r="AE17" s="21">
        <f t="shared" si="3"/>
        <v>0</v>
      </c>
      <c r="AG17" s="219"/>
    </row>
    <row r="18" spans="1:33" ht="17.149999999999999" customHeight="1">
      <c r="A18" s="60">
        <f t="shared" si="0"/>
        <v>44907</v>
      </c>
      <c r="B18" s="10"/>
      <c r="C18" s="13"/>
      <c r="D18" s="12"/>
      <c r="E18" s="10"/>
      <c r="F18" s="13"/>
      <c r="G18" s="12"/>
      <c r="H18" s="12"/>
      <c r="I18" s="13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26"/>
      <c r="Y18" s="125">
        <f>0</f>
        <v>0</v>
      </c>
      <c r="Z18" s="22">
        <f t="shared" si="1"/>
        <v>0</v>
      </c>
      <c r="AA18" s="21">
        <f t="shared" si="2"/>
        <v>0</v>
      </c>
      <c r="AB18" s="12"/>
      <c r="AC18" s="26"/>
      <c r="AD18" s="26"/>
      <c r="AE18" s="21">
        <f t="shared" si="3"/>
        <v>0</v>
      </c>
      <c r="AG18" s="219"/>
    </row>
    <row r="19" spans="1:33" ht="17.149999999999999" customHeight="1">
      <c r="A19" s="60">
        <f t="shared" si="0"/>
        <v>44908</v>
      </c>
      <c r="B19" s="10"/>
      <c r="C19" s="13"/>
      <c r="D19" s="12"/>
      <c r="E19" s="10"/>
      <c r="F19" s="13"/>
      <c r="G19" s="12"/>
      <c r="H19" s="12"/>
      <c r="I19" s="13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25"/>
      <c r="Y19" s="125">
        <f>0</f>
        <v>0</v>
      </c>
      <c r="Z19" s="22">
        <f t="shared" si="1"/>
        <v>0</v>
      </c>
      <c r="AA19" s="21">
        <f t="shared" si="2"/>
        <v>0</v>
      </c>
      <c r="AB19" s="12"/>
      <c r="AC19" s="25"/>
      <c r="AD19" s="25"/>
      <c r="AE19" s="21">
        <f t="shared" si="3"/>
        <v>0</v>
      </c>
      <c r="AG19" s="219"/>
    </row>
    <row r="20" spans="1:33" ht="17.149999999999999" customHeight="1">
      <c r="A20" s="60">
        <f t="shared" si="0"/>
        <v>44909</v>
      </c>
      <c r="B20" s="10"/>
      <c r="C20" s="13"/>
      <c r="D20" s="12"/>
      <c r="E20" s="10"/>
      <c r="F20" s="13"/>
      <c r="G20" s="12"/>
      <c r="H20" s="12"/>
      <c r="I20" s="13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27"/>
      <c r="Y20" s="125">
        <f>0</f>
        <v>0</v>
      </c>
      <c r="Z20" s="22">
        <f t="shared" si="1"/>
        <v>0</v>
      </c>
      <c r="AA20" s="21">
        <f t="shared" si="2"/>
        <v>0</v>
      </c>
      <c r="AB20" s="12"/>
      <c r="AC20" s="27"/>
      <c r="AD20" s="27"/>
      <c r="AE20" s="21">
        <f t="shared" si="3"/>
        <v>0</v>
      </c>
      <c r="AG20" s="219"/>
    </row>
    <row r="21" spans="1:33" ht="17.149999999999999" customHeight="1">
      <c r="A21" s="60">
        <f t="shared" si="0"/>
        <v>44910</v>
      </c>
      <c r="B21" s="10"/>
      <c r="C21" s="13"/>
      <c r="D21" s="12"/>
      <c r="E21" s="13"/>
      <c r="F21" s="13"/>
      <c r="G21" s="12"/>
      <c r="H21" s="12"/>
      <c r="I21" s="13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7"/>
      <c r="Y21" s="125">
        <f>0</f>
        <v>0</v>
      </c>
      <c r="Z21" s="22">
        <f t="shared" si="1"/>
        <v>0</v>
      </c>
      <c r="AA21" s="21">
        <f t="shared" si="2"/>
        <v>0</v>
      </c>
      <c r="AB21" s="12"/>
      <c r="AC21" s="27"/>
      <c r="AD21" s="27"/>
      <c r="AE21" s="21">
        <f t="shared" si="3"/>
        <v>0</v>
      </c>
      <c r="AG21" s="219"/>
    </row>
    <row r="22" spans="1:33" ht="17.149999999999999" customHeight="1">
      <c r="A22" s="60">
        <f t="shared" si="0"/>
        <v>44911</v>
      </c>
      <c r="B22" s="10"/>
      <c r="C22" s="13"/>
      <c r="D22" s="12"/>
      <c r="E22" s="10"/>
      <c r="F22" s="13"/>
      <c r="G22" s="12"/>
      <c r="H22" s="12"/>
      <c r="I22" s="13"/>
      <c r="J22" s="11"/>
      <c r="K22" s="13"/>
      <c r="L22" s="13"/>
      <c r="M22" s="266"/>
      <c r="N22" s="266"/>
      <c r="O22" s="13"/>
      <c r="P22" s="13"/>
      <c r="Q22" s="266"/>
      <c r="R22" s="13"/>
      <c r="S22" s="13"/>
      <c r="T22" s="13"/>
      <c r="U22" s="13"/>
      <c r="V22" s="13"/>
      <c r="W22" s="266"/>
      <c r="X22" s="267"/>
      <c r="Y22" s="125">
        <f>0</f>
        <v>0</v>
      </c>
      <c r="Z22" s="22">
        <f t="shared" si="1"/>
        <v>0</v>
      </c>
      <c r="AA22" s="21">
        <f t="shared" si="2"/>
        <v>0</v>
      </c>
      <c r="AB22" s="12"/>
      <c r="AC22" s="25"/>
      <c r="AD22" s="25"/>
      <c r="AE22" s="21">
        <f t="shared" si="3"/>
        <v>0</v>
      </c>
      <c r="AG22" s="219"/>
    </row>
    <row r="23" spans="1:33" ht="17.149999999999999" customHeight="1">
      <c r="A23" s="60">
        <f t="shared" si="0"/>
        <v>44912</v>
      </c>
      <c r="B23" s="10"/>
      <c r="C23" s="13"/>
      <c r="D23" s="12"/>
      <c r="E23" s="10"/>
      <c r="F23" s="13"/>
      <c r="G23" s="12"/>
      <c r="H23" s="12"/>
      <c r="I23" s="13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26"/>
      <c r="Y23" s="125">
        <f>0</f>
        <v>0</v>
      </c>
      <c r="Z23" s="22">
        <f t="shared" si="1"/>
        <v>0</v>
      </c>
      <c r="AA23" s="21">
        <f t="shared" si="2"/>
        <v>0</v>
      </c>
      <c r="AB23" s="12"/>
      <c r="AC23" s="26"/>
      <c r="AD23" s="26"/>
      <c r="AE23" s="21">
        <f t="shared" si="3"/>
        <v>0</v>
      </c>
      <c r="AG23" s="219"/>
    </row>
    <row r="24" spans="1:33" ht="17.149999999999999" customHeight="1">
      <c r="A24" s="60">
        <f t="shared" si="0"/>
        <v>44913</v>
      </c>
      <c r="B24" s="10"/>
      <c r="C24" s="13"/>
      <c r="D24" s="12"/>
      <c r="E24" s="10"/>
      <c r="F24" s="13"/>
      <c r="G24" s="12"/>
      <c r="H24" s="12"/>
      <c r="I24" s="13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6"/>
      <c r="Y24" s="125">
        <f>0</f>
        <v>0</v>
      </c>
      <c r="Z24" s="22">
        <f t="shared" si="1"/>
        <v>0</v>
      </c>
      <c r="AA24" s="21">
        <f t="shared" si="2"/>
        <v>0</v>
      </c>
      <c r="AB24" s="12"/>
      <c r="AC24" s="26"/>
      <c r="AD24" s="26"/>
      <c r="AE24" s="21">
        <f t="shared" si="3"/>
        <v>0</v>
      </c>
      <c r="AG24" s="219"/>
    </row>
    <row r="25" spans="1:33" ht="17.149999999999999" customHeight="1">
      <c r="A25" s="60">
        <f t="shared" si="0"/>
        <v>44914</v>
      </c>
      <c r="B25" s="10"/>
      <c r="C25" s="13"/>
      <c r="D25" s="12"/>
      <c r="E25" s="10"/>
      <c r="F25" s="13"/>
      <c r="G25" s="12"/>
      <c r="H25" s="12"/>
      <c r="I25" s="13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26"/>
      <c r="Y25" s="125">
        <f>0</f>
        <v>0</v>
      </c>
      <c r="Z25" s="22">
        <f t="shared" si="1"/>
        <v>0</v>
      </c>
      <c r="AA25" s="21">
        <f t="shared" si="2"/>
        <v>0</v>
      </c>
      <c r="AB25" s="12"/>
      <c r="AC25" s="26"/>
      <c r="AD25" s="26"/>
      <c r="AE25" s="21">
        <f t="shared" si="3"/>
        <v>0</v>
      </c>
      <c r="AG25" s="219"/>
    </row>
    <row r="26" spans="1:33" ht="17.149999999999999" customHeight="1">
      <c r="A26" s="60">
        <f t="shared" si="0"/>
        <v>44915</v>
      </c>
      <c r="B26" s="10"/>
      <c r="C26" s="13"/>
      <c r="D26" s="12"/>
      <c r="E26" s="10"/>
      <c r="F26" s="13"/>
      <c r="G26" s="12"/>
      <c r="H26" s="12"/>
      <c r="I26" s="13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26"/>
      <c r="Y26" s="125">
        <f>0</f>
        <v>0</v>
      </c>
      <c r="Z26" s="22">
        <f t="shared" si="1"/>
        <v>0</v>
      </c>
      <c r="AA26" s="21">
        <f t="shared" si="2"/>
        <v>0</v>
      </c>
      <c r="AB26" s="12"/>
      <c r="AC26" s="26"/>
      <c r="AD26" s="26"/>
      <c r="AE26" s="21">
        <f t="shared" si="3"/>
        <v>0</v>
      </c>
      <c r="AG26" s="219"/>
    </row>
    <row r="27" spans="1:33" ht="17.149999999999999" customHeight="1">
      <c r="A27" s="60">
        <f t="shared" si="0"/>
        <v>44916</v>
      </c>
      <c r="B27" s="10"/>
      <c r="C27" s="13"/>
      <c r="D27" s="57"/>
      <c r="E27" s="13"/>
      <c r="F27" s="13"/>
      <c r="G27" s="12"/>
      <c r="H27" s="12"/>
      <c r="I27" s="13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26"/>
      <c r="Y27" s="125">
        <f>0</f>
        <v>0</v>
      </c>
      <c r="Z27" s="22">
        <f t="shared" si="1"/>
        <v>0</v>
      </c>
      <c r="AA27" s="21">
        <f t="shared" si="2"/>
        <v>0</v>
      </c>
      <c r="AB27" s="12"/>
      <c r="AC27" s="26"/>
      <c r="AD27" s="26"/>
      <c r="AE27" s="21">
        <f t="shared" si="3"/>
        <v>0</v>
      </c>
      <c r="AG27" s="219"/>
    </row>
    <row r="28" spans="1:33" ht="17.149999999999999" customHeight="1">
      <c r="A28" s="60">
        <f t="shared" si="0"/>
        <v>44917</v>
      </c>
      <c r="B28" s="10"/>
      <c r="C28" s="13"/>
      <c r="D28" s="12"/>
      <c r="E28" s="10"/>
      <c r="F28" s="13"/>
      <c r="G28" s="12"/>
      <c r="H28" s="12"/>
      <c r="I28" s="13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26"/>
      <c r="Y28" s="125">
        <f>0</f>
        <v>0</v>
      </c>
      <c r="Z28" s="22">
        <f t="shared" si="1"/>
        <v>0</v>
      </c>
      <c r="AA28" s="21">
        <f t="shared" si="2"/>
        <v>0</v>
      </c>
      <c r="AB28" s="12"/>
      <c r="AC28" s="26"/>
      <c r="AD28" s="26"/>
      <c r="AE28" s="21">
        <f t="shared" si="3"/>
        <v>0</v>
      </c>
      <c r="AG28" s="219"/>
    </row>
    <row r="29" spans="1:33" ht="17.149999999999999" customHeight="1">
      <c r="A29" s="60">
        <f t="shared" si="0"/>
        <v>44918</v>
      </c>
      <c r="B29" s="10"/>
      <c r="C29" s="13"/>
      <c r="D29" s="12"/>
      <c r="E29" s="13"/>
      <c r="F29" s="12"/>
      <c r="G29" s="12"/>
      <c r="H29" s="12"/>
      <c r="I29" s="13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6"/>
      <c r="Y29" s="125">
        <f>0</f>
        <v>0</v>
      </c>
      <c r="Z29" s="22">
        <f t="shared" si="1"/>
        <v>0</v>
      </c>
      <c r="AA29" s="21">
        <f t="shared" si="2"/>
        <v>0</v>
      </c>
      <c r="AB29" s="12"/>
      <c r="AC29" s="26"/>
      <c r="AD29" s="26"/>
      <c r="AE29" s="21">
        <f t="shared" si="3"/>
        <v>0</v>
      </c>
      <c r="AG29" s="219"/>
    </row>
    <row r="30" spans="1:33" ht="17.149999999999999" customHeight="1">
      <c r="A30" s="60">
        <f t="shared" si="0"/>
        <v>44919</v>
      </c>
      <c r="B30" s="10"/>
      <c r="C30" s="13"/>
      <c r="D30" s="12"/>
      <c r="E30" s="10"/>
      <c r="F30" s="13"/>
      <c r="G30" s="12"/>
      <c r="H30" s="12"/>
      <c r="I30" s="13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26"/>
      <c r="Y30" s="125">
        <f>0</f>
        <v>0</v>
      </c>
      <c r="Z30" s="22">
        <f t="shared" si="1"/>
        <v>0</v>
      </c>
      <c r="AA30" s="21">
        <f t="shared" si="2"/>
        <v>0</v>
      </c>
      <c r="AB30" s="12"/>
      <c r="AC30" s="26"/>
      <c r="AD30" s="26"/>
      <c r="AE30" s="21">
        <f t="shared" si="3"/>
        <v>0</v>
      </c>
      <c r="AG30" s="219"/>
    </row>
    <row r="31" spans="1:33" ht="17.149999999999999" customHeight="1">
      <c r="A31" s="60">
        <f t="shared" si="0"/>
        <v>44920</v>
      </c>
      <c r="B31" s="10"/>
      <c r="C31" s="13"/>
      <c r="D31" s="272"/>
      <c r="E31" s="10"/>
      <c r="F31" s="10"/>
      <c r="G31" s="10"/>
      <c r="H31" s="10"/>
      <c r="I31" s="13"/>
      <c r="J31" s="11"/>
      <c r="K31" s="13"/>
      <c r="L31" s="11"/>
      <c r="M31" s="11"/>
      <c r="N31" s="11"/>
      <c r="O31" s="13"/>
      <c r="P31" s="11"/>
      <c r="Q31" s="11"/>
      <c r="R31" s="11"/>
      <c r="S31" s="11"/>
      <c r="T31" s="11"/>
      <c r="U31" s="11"/>
      <c r="V31" s="11"/>
      <c r="W31" s="11"/>
      <c r="X31" s="11"/>
      <c r="Y31" s="125">
        <f>0</f>
        <v>0</v>
      </c>
      <c r="Z31" s="22">
        <f t="shared" si="1"/>
        <v>0</v>
      </c>
      <c r="AA31" s="21">
        <f t="shared" si="2"/>
        <v>0</v>
      </c>
      <c r="AB31" s="12"/>
      <c r="AC31" s="11"/>
      <c r="AD31" s="12"/>
      <c r="AE31" s="21">
        <f t="shared" si="3"/>
        <v>0</v>
      </c>
      <c r="AG31" s="219"/>
    </row>
    <row r="32" spans="1:33" ht="17.149999999999999" customHeight="1">
      <c r="A32" s="60">
        <f t="shared" si="0"/>
        <v>44921</v>
      </c>
      <c r="B32" s="25"/>
      <c r="C32" s="13"/>
      <c r="D32" s="272"/>
      <c r="E32" s="10"/>
      <c r="F32" s="10"/>
      <c r="G32" s="10"/>
      <c r="H32" s="10"/>
      <c r="I32" s="13"/>
      <c r="J32" s="11"/>
      <c r="K32" s="13"/>
      <c r="L32" s="10"/>
      <c r="M32" s="10"/>
      <c r="N32" s="10"/>
      <c r="O32" s="13"/>
      <c r="P32" s="10"/>
      <c r="Q32" s="10"/>
      <c r="R32" s="10"/>
      <c r="S32" s="10"/>
      <c r="T32" s="10"/>
      <c r="U32" s="10"/>
      <c r="V32" s="10"/>
      <c r="W32" s="10"/>
      <c r="X32" s="10"/>
      <c r="Y32" s="125">
        <f>0</f>
        <v>0</v>
      </c>
      <c r="Z32" s="22">
        <f t="shared" si="1"/>
        <v>0</v>
      </c>
      <c r="AA32" s="21">
        <f t="shared" si="2"/>
        <v>0</v>
      </c>
      <c r="AB32" s="12"/>
      <c r="AC32" s="10"/>
      <c r="AD32" s="25"/>
      <c r="AE32" s="21">
        <f t="shared" si="3"/>
        <v>0</v>
      </c>
      <c r="AG32" s="219"/>
    </row>
    <row r="33" spans="1:35" ht="17.149999999999999" customHeight="1">
      <c r="A33" s="60">
        <f t="shared" si="0"/>
        <v>44922</v>
      </c>
      <c r="B33" s="10"/>
      <c r="C33" s="13"/>
      <c r="D33" s="12"/>
      <c r="E33" s="10"/>
      <c r="F33" s="13"/>
      <c r="G33" s="12"/>
      <c r="H33" s="12"/>
      <c r="I33" s="13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26"/>
      <c r="Y33" s="125">
        <f>0</f>
        <v>0</v>
      </c>
      <c r="Z33" s="22">
        <f t="shared" si="1"/>
        <v>0</v>
      </c>
      <c r="AA33" s="21">
        <f t="shared" si="2"/>
        <v>0</v>
      </c>
      <c r="AB33" s="12"/>
      <c r="AC33" s="26"/>
      <c r="AD33" s="26"/>
      <c r="AE33" s="21">
        <f t="shared" si="3"/>
        <v>0</v>
      </c>
      <c r="AG33" s="219"/>
    </row>
    <row r="34" spans="1:35" ht="17.149999999999999" customHeight="1">
      <c r="A34" s="60">
        <f t="shared" si="0"/>
        <v>44923</v>
      </c>
      <c r="B34" s="10"/>
      <c r="C34" s="13"/>
      <c r="D34" s="12"/>
      <c r="E34" s="10"/>
      <c r="F34" s="13"/>
      <c r="G34" s="12"/>
      <c r="H34" s="12"/>
      <c r="I34" s="13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26"/>
      <c r="Y34" s="125">
        <f>0</f>
        <v>0</v>
      </c>
      <c r="Z34" s="22">
        <f t="shared" si="1"/>
        <v>0</v>
      </c>
      <c r="AA34" s="21">
        <f t="shared" si="2"/>
        <v>0</v>
      </c>
      <c r="AB34" s="12"/>
      <c r="AC34" s="26"/>
      <c r="AD34" s="26"/>
      <c r="AE34" s="21">
        <f t="shared" si="3"/>
        <v>0</v>
      </c>
      <c r="AG34" s="219"/>
    </row>
    <row r="35" spans="1:35" ht="17.149999999999999" customHeight="1">
      <c r="A35" s="60">
        <f t="shared" si="0"/>
        <v>44924</v>
      </c>
      <c r="B35" s="10"/>
      <c r="C35" s="13"/>
      <c r="D35" s="12"/>
      <c r="E35" s="10"/>
      <c r="F35" s="13"/>
      <c r="G35" s="12"/>
      <c r="H35" s="12"/>
      <c r="I35" s="13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26"/>
      <c r="Y35" s="125">
        <f>0</f>
        <v>0</v>
      </c>
      <c r="Z35" s="22">
        <f t="shared" si="1"/>
        <v>0</v>
      </c>
      <c r="AA35" s="21">
        <f t="shared" si="2"/>
        <v>0</v>
      </c>
      <c r="AB35" s="12"/>
      <c r="AC35" s="26"/>
      <c r="AD35" s="26"/>
      <c r="AE35" s="21">
        <f t="shared" ref="AE35:AE37" si="4">SUM(AB35:AD35)</f>
        <v>0</v>
      </c>
      <c r="AG35" s="219"/>
    </row>
    <row r="36" spans="1:35" ht="17.149999999999999" customHeight="1">
      <c r="A36" s="60">
        <f t="shared" si="0"/>
        <v>44925</v>
      </c>
      <c r="B36" s="10"/>
      <c r="C36" s="13"/>
      <c r="D36" s="12"/>
      <c r="E36" s="10"/>
      <c r="F36" s="13"/>
      <c r="G36" s="12"/>
      <c r="H36" s="12"/>
      <c r="I36" s="13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26"/>
      <c r="Y36" s="125">
        <f>0</f>
        <v>0</v>
      </c>
      <c r="Z36" s="22">
        <f t="shared" si="1"/>
        <v>0</v>
      </c>
      <c r="AA36" s="21">
        <f t="shared" si="2"/>
        <v>0</v>
      </c>
      <c r="AB36" s="12"/>
      <c r="AC36" s="26"/>
      <c r="AD36" s="26"/>
      <c r="AE36" s="21">
        <f t="shared" si="4"/>
        <v>0</v>
      </c>
      <c r="AG36" s="219"/>
    </row>
    <row r="37" spans="1:35" ht="17.149999999999999" customHeight="1">
      <c r="A37" s="60">
        <f t="shared" si="0"/>
        <v>44926</v>
      </c>
      <c r="B37" s="10"/>
      <c r="C37" s="13"/>
      <c r="D37" s="268"/>
      <c r="E37" s="10"/>
      <c r="F37" s="13"/>
      <c r="G37" s="12"/>
      <c r="H37" s="12"/>
      <c r="I37" s="13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26"/>
      <c r="Y37" s="125">
        <f>0</f>
        <v>0</v>
      </c>
      <c r="Z37" s="22">
        <f t="shared" si="1"/>
        <v>0</v>
      </c>
      <c r="AA37" s="21">
        <f t="shared" si="2"/>
        <v>0</v>
      </c>
      <c r="AB37" s="12"/>
      <c r="AC37" s="26"/>
      <c r="AD37" s="26"/>
      <c r="AE37" s="21">
        <f t="shared" si="4"/>
        <v>0</v>
      </c>
      <c r="AG37" s="219"/>
    </row>
    <row r="38" spans="1:35" s="14" customFormat="1" ht="17.149999999999999" customHeight="1">
      <c r="A38" s="71" t="s">
        <v>38</v>
      </c>
      <c r="B38" s="72">
        <f t="shared" ref="B38:AE38" si="5">SUM(B7:B37)</f>
        <v>0</v>
      </c>
      <c r="C38" s="72">
        <f t="shared" si="5"/>
        <v>0</v>
      </c>
      <c r="D38" s="269">
        <f t="shared" si="5"/>
        <v>0</v>
      </c>
      <c r="E38" s="72">
        <f t="shared" si="5"/>
        <v>0</v>
      </c>
      <c r="F38" s="72">
        <f t="shared" si="5"/>
        <v>0</v>
      </c>
      <c r="G38" s="72">
        <f t="shared" si="5"/>
        <v>0</v>
      </c>
      <c r="H38" s="72">
        <f t="shared" si="5"/>
        <v>0</v>
      </c>
      <c r="I38" s="72">
        <f t="shared" si="5"/>
        <v>0</v>
      </c>
      <c r="J38" s="73">
        <f t="shared" si="5"/>
        <v>0</v>
      </c>
      <c r="K38" s="73">
        <f t="shared" si="5"/>
        <v>0</v>
      </c>
      <c r="L38" s="74">
        <f t="shared" si="5"/>
        <v>0</v>
      </c>
      <c r="M38" s="74">
        <f t="shared" si="5"/>
        <v>0</v>
      </c>
      <c r="N38" s="73">
        <f t="shared" si="5"/>
        <v>0</v>
      </c>
      <c r="O38" s="73">
        <f t="shared" si="5"/>
        <v>0</v>
      </c>
      <c r="P38" s="74">
        <f t="shared" si="5"/>
        <v>0</v>
      </c>
      <c r="Q38" s="74">
        <f t="shared" si="5"/>
        <v>0</v>
      </c>
      <c r="R38" s="75">
        <f t="shared" si="5"/>
        <v>0</v>
      </c>
      <c r="S38" s="75">
        <f t="shared" si="5"/>
        <v>0</v>
      </c>
      <c r="T38" s="75">
        <f t="shared" si="5"/>
        <v>0</v>
      </c>
      <c r="U38" s="75">
        <f t="shared" si="5"/>
        <v>0</v>
      </c>
      <c r="V38" s="63">
        <f t="shared" si="5"/>
        <v>0</v>
      </c>
      <c r="W38" s="63">
        <f t="shared" si="5"/>
        <v>0</v>
      </c>
      <c r="X38" s="76">
        <f t="shared" si="5"/>
        <v>0</v>
      </c>
      <c r="Y38" s="77">
        <f t="shared" si="5"/>
        <v>0</v>
      </c>
      <c r="Z38" s="78">
        <f t="shared" si="5"/>
        <v>0</v>
      </c>
      <c r="AA38" s="79">
        <f t="shared" si="5"/>
        <v>0</v>
      </c>
      <c r="AB38" s="223">
        <f t="shared" si="5"/>
        <v>0</v>
      </c>
      <c r="AC38" s="224">
        <f t="shared" si="5"/>
        <v>0</v>
      </c>
      <c r="AD38" s="224">
        <f t="shared" si="5"/>
        <v>0</v>
      </c>
      <c r="AE38" s="225">
        <f t="shared" si="5"/>
        <v>0</v>
      </c>
      <c r="AG38" s="234"/>
    </row>
    <row r="39" spans="1:35" s="14" customFormat="1" ht="17.149999999999999" customHeight="1">
      <c r="A39" s="71" t="s">
        <v>86</v>
      </c>
      <c r="B39" s="117"/>
      <c r="C39" s="273"/>
      <c r="D39" s="808"/>
      <c r="E39" s="808"/>
      <c r="F39" s="808"/>
      <c r="G39" s="809"/>
      <c r="H39" s="72"/>
      <c r="I39" s="129"/>
      <c r="J39" s="810"/>
      <c r="K39" s="811"/>
      <c r="L39" s="811"/>
      <c r="M39" s="811"/>
      <c r="N39" s="811"/>
      <c r="O39" s="811"/>
      <c r="P39" s="811"/>
      <c r="Q39" s="811"/>
      <c r="R39" s="811"/>
      <c r="S39" s="811"/>
      <c r="T39" s="811"/>
      <c r="U39" s="812"/>
      <c r="V39" s="253"/>
      <c r="W39" s="253"/>
      <c r="X39" s="76"/>
      <c r="Y39" s="77">
        <f>0</f>
        <v>0</v>
      </c>
      <c r="Z39" s="78">
        <f>SUM(J39:W39)</f>
        <v>0</v>
      </c>
      <c r="AA39" s="79">
        <f>+Y39+Z39</f>
        <v>0</v>
      </c>
      <c r="AB39" s="223"/>
      <c r="AC39" s="224"/>
      <c r="AD39" s="224"/>
      <c r="AE39" s="225">
        <f>SUM(AB39:AD39)</f>
        <v>0</v>
      </c>
      <c r="AG39" s="234"/>
    </row>
    <row r="40" spans="1:35" s="14" customFormat="1" ht="17.149999999999999" customHeight="1" thickBot="1">
      <c r="A40" s="80" t="s">
        <v>144</v>
      </c>
      <c r="B40" s="118">
        <f>SUM(B38)-B39</f>
        <v>0</v>
      </c>
      <c r="C40" s="82">
        <f>C38-C39</f>
        <v>0</v>
      </c>
      <c r="D40" s="813">
        <f>SUM(D38:G38)-D39</f>
        <v>0</v>
      </c>
      <c r="E40" s="813"/>
      <c r="F40" s="813"/>
      <c r="G40" s="814"/>
      <c r="H40" s="82">
        <f>+H38-H39</f>
        <v>0</v>
      </c>
      <c r="I40" s="118">
        <f>I38-I39</f>
        <v>0</v>
      </c>
      <c r="J40" s="815">
        <f>SUM(J38:U38)-J39</f>
        <v>0</v>
      </c>
      <c r="K40" s="816"/>
      <c r="L40" s="816"/>
      <c r="M40" s="816"/>
      <c r="N40" s="816"/>
      <c r="O40" s="816"/>
      <c r="P40" s="816"/>
      <c r="Q40" s="816"/>
      <c r="R40" s="816"/>
      <c r="S40" s="816"/>
      <c r="T40" s="816"/>
      <c r="U40" s="817"/>
      <c r="V40" s="63">
        <f t="shared" ref="V40:X40" si="6">V38-V39</f>
        <v>0</v>
      </c>
      <c r="W40" s="63">
        <f t="shared" si="6"/>
        <v>0</v>
      </c>
      <c r="X40" s="83">
        <f t="shared" si="6"/>
        <v>0</v>
      </c>
      <c r="Y40" s="84">
        <f>Y38-Y39</f>
        <v>0</v>
      </c>
      <c r="Z40" s="85">
        <f>Z38-Z39</f>
        <v>0</v>
      </c>
      <c r="AA40" s="86">
        <f>AA38-AA39</f>
        <v>0</v>
      </c>
      <c r="AB40" s="226">
        <f t="shared" ref="AB40:AE40" si="7">AB38-AB39</f>
        <v>0</v>
      </c>
      <c r="AC40" s="227">
        <f t="shared" si="7"/>
        <v>0</v>
      </c>
      <c r="AD40" s="227">
        <f t="shared" si="7"/>
        <v>0</v>
      </c>
      <c r="AE40" s="228">
        <f t="shared" si="7"/>
        <v>0</v>
      </c>
      <c r="AG40" s="234"/>
    </row>
    <row r="41" spans="1:35" ht="17.149999999999999" customHeight="1" thickBot="1">
      <c r="A41" s="40"/>
      <c r="AI41" s="219"/>
    </row>
    <row r="42" spans="1:35" ht="17.149999999999999" customHeight="1">
      <c r="A42" s="767" t="s">
        <v>145</v>
      </c>
      <c r="B42" s="768"/>
      <c r="C42" s="36">
        <v>31</v>
      </c>
      <c r="D42" s="36">
        <v>29</v>
      </c>
      <c r="E42" s="229" t="s">
        <v>146</v>
      </c>
      <c r="AI42" s="219"/>
    </row>
    <row r="43" spans="1:35" ht="17.149999999999999" customHeight="1">
      <c r="A43" s="786" t="s">
        <v>147</v>
      </c>
      <c r="B43" s="787"/>
      <c r="C43" s="258">
        <v>0</v>
      </c>
      <c r="D43" s="258">
        <v>0</v>
      </c>
      <c r="E43" s="219" t="s">
        <v>146</v>
      </c>
      <c r="AI43" s="219"/>
    </row>
    <row r="44" spans="1:35" ht="17.149999999999999" customHeight="1" thickBot="1">
      <c r="A44" s="788" t="s">
        <v>148</v>
      </c>
      <c r="B44" s="789"/>
      <c r="C44" s="230">
        <f>+C42-C43</f>
        <v>31</v>
      </c>
      <c r="D44" s="230">
        <f>+D42-D43</f>
        <v>29</v>
      </c>
      <c r="E44" s="231" t="s">
        <v>146</v>
      </c>
      <c r="AI44" s="219"/>
    </row>
    <row r="45" spans="1:35" ht="17.149999999999999" customHeight="1">
      <c r="A45" s="41"/>
      <c r="AI45" s="219"/>
    </row>
    <row r="46" spans="1:35" ht="17.149999999999999" customHeight="1">
      <c r="A46" s="42" t="s">
        <v>149</v>
      </c>
      <c r="AI46" s="219"/>
    </row>
    <row r="47" spans="1:35" ht="17.149999999999999" customHeight="1">
      <c r="A47" s="232" t="s">
        <v>72</v>
      </c>
      <c r="B47" s="233" t="s">
        <v>86</v>
      </c>
      <c r="C47" s="233" t="s">
        <v>99</v>
      </c>
      <c r="D47" s="233" t="s">
        <v>84</v>
      </c>
      <c r="AG47" s="259"/>
      <c r="AH47" s="259"/>
      <c r="AI47" s="234"/>
    </row>
    <row r="48" spans="1:35" ht="17.149999999999999" customHeight="1">
      <c r="A48" s="232" t="s">
        <v>39</v>
      </c>
      <c r="B48" s="233">
        <f>(B39/$C$42)*$C$43</f>
        <v>0</v>
      </c>
      <c r="C48" s="233">
        <f>SUM(B38:B38)</f>
        <v>0</v>
      </c>
      <c r="D48" s="233">
        <f t="shared" ref="D48:D59" si="8">+C48-B48</f>
        <v>0</v>
      </c>
      <c r="S48" s="23"/>
      <c r="Z48" s="23"/>
      <c r="AA48" s="23"/>
      <c r="AB48" s="23"/>
      <c r="AC48" s="23"/>
      <c r="AD48" s="23"/>
      <c r="AE48" s="23"/>
      <c r="AI48" s="219"/>
    </row>
    <row r="49" spans="1:36" ht="17.149999999999999" customHeight="1">
      <c r="A49" s="232" t="s">
        <v>40</v>
      </c>
      <c r="B49" s="233">
        <f>(C39/$C$42)*$C$43</f>
        <v>0</v>
      </c>
      <c r="C49" s="233">
        <f>C38</f>
        <v>0</v>
      </c>
      <c r="D49" s="233">
        <f t="shared" si="8"/>
        <v>0</v>
      </c>
      <c r="N49" s="9"/>
      <c r="O49" s="9"/>
      <c r="P49" s="9"/>
      <c r="Q49" s="9"/>
      <c r="R49" s="9"/>
      <c r="S49" s="790"/>
      <c r="T49" s="790"/>
      <c r="U49" s="790"/>
      <c r="V49" s="790"/>
      <c r="W49" s="790"/>
      <c r="X49" s="790"/>
      <c r="Y49" s="790"/>
      <c r="Z49" s="790"/>
      <c r="AA49" s="790"/>
      <c r="AB49" s="790"/>
      <c r="AC49" s="790"/>
      <c r="AD49" s="790"/>
      <c r="AE49" s="790"/>
      <c r="AF49" s="235"/>
      <c r="AG49" s="235"/>
      <c r="AH49" s="235"/>
      <c r="AI49" s="236"/>
      <c r="AJ49" s="235"/>
    </row>
    <row r="50" spans="1:36" ht="17.149999999999999" customHeight="1">
      <c r="A50" s="232" t="s">
        <v>150</v>
      </c>
      <c r="B50" s="233">
        <f>+(D39/$C$42)*$C$43</f>
        <v>0</v>
      </c>
      <c r="C50" s="233">
        <f>SUM(D38:G38)</f>
        <v>0</v>
      </c>
      <c r="D50" s="233">
        <f t="shared" si="8"/>
        <v>0</v>
      </c>
      <c r="AI50" s="219"/>
    </row>
    <row r="51" spans="1:36" ht="17.149999999999999" customHeight="1">
      <c r="A51" s="232" t="s">
        <v>87</v>
      </c>
      <c r="B51" s="233">
        <f>+(H39/$C$42)*$C$43</f>
        <v>0</v>
      </c>
      <c r="C51" s="233">
        <f>SUM(H38)</f>
        <v>0</v>
      </c>
      <c r="D51" s="233">
        <f t="shared" si="8"/>
        <v>0</v>
      </c>
      <c r="AI51" s="219"/>
    </row>
    <row r="52" spans="1:36" ht="17.149999999999999" customHeight="1">
      <c r="A52" s="250" t="s">
        <v>88</v>
      </c>
      <c r="B52" s="251">
        <f>+(I39/$C$42)*$C$43</f>
        <v>0</v>
      </c>
      <c r="C52" s="251">
        <f>+I38</f>
        <v>0</v>
      </c>
      <c r="D52" s="251">
        <f t="shared" si="8"/>
        <v>0</v>
      </c>
      <c r="AI52" s="219"/>
    </row>
    <row r="53" spans="1:36" ht="17.149999999999999" customHeight="1">
      <c r="A53" s="232" t="s">
        <v>43</v>
      </c>
      <c r="B53" s="233">
        <f>+(X39/$C$42)*$C$43</f>
        <v>0</v>
      </c>
      <c r="C53" s="233">
        <f>+X38</f>
        <v>0</v>
      </c>
      <c r="D53" s="233">
        <f t="shared" si="8"/>
        <v>0</v>
      </c>
      <c r="T53" s="9"/>
      <c r="U53" s="9"/>
      <c r="V53" s="9"/>
      <c r="W53" s="9"/>
      <c r="X53" s="9"/>
      <c r="AI53" s="219"/>
    </row>
    <row r="54" spans="1:36" ht="17.149999999999999" customHeight="1">
      <c r="A54" s="87" t="s">
        <v>151</v>
      </c>
      <c r="B54" s="237">
        <f>SUM(B48:B53)</f>
        <v>0</v>
      </c>
      <c r="C54" s="237">
        <f>SUM(C48:C53)</f>
        <v>0</v>
      </c>
      <c r="D54" s="237">
        <f t="shared" si="8"/>
        <v>0</v>
      </c>
      <c r="T54" s="9"/>
      <c r="U54" s="9"/>
      <c r="V54" s="9"/>
      <c r="W54" s="9"/>
      <c r="X54" s="9"/>
      <c r="AI54" s="219"/>
    </row>
    <row r="55" spans="1:36" ht="17.149999999999999" customHeight="1">
      <c r="A55" s="232" t="s">
        <v>91</v>
      </c>
      <c r="B55" s="233">
        <f>+(J39/$C$42)*$C$43</f>
        <v>0</v>
      </c>
      <c r="C55" s="233">
        <f>SUM(J38:U38)</f>
        <v>0</v>
      </c>
      <c r="D55" s="233">
        <f t="shared" si="8"/>
        <v>0</v>
      </c>
      <c r="T55" s="9"/>
      <c r="U55" s="9"/>
      <c r="V55" s="9"/>
      <c r="W55" s="9"/>
      <c r="X55" s="9"/>
      <c r="AI55" s="219"/>
    </row>
    <row r="56" spans="1:36" ht="17.149999999999999" customHeight="1">
      <c r="A56" s="232" t="s">
        <v>92</v>
      </c>
      <c r="B56" s="233">
        <f>+(V39/$C$42)*$C$43</f>
        <v>0</v>
      </c>
      <c r="C56" s="233">
        <f>+V38</f>
        <v>0</v>
      </c>
      <c r="D56" s="233">
        <f t="shared" si="8"/>
        <v>0</v>
      </c>
      <c r="T56" s="9"/>
      <c r="U56" s="9"/>
      <c r="V56" s="9"/>
      <c r="W56" s="9"/>
      <c r="X56" s="9"/>
      <c r="AI56" s="219"/>
    </row>
    <row r="57" spans="1:36" ht="17.149999999999999" customHeight="1">
      <c r="A57" s="232" t="s">
        <v>93</v>
      </c>
      <c r="B57" s="233">
        <f>+(W39/$C$42)*$C$43</f>
        <v>0</v>
      </c>
      <c r="C57" s="233">
        <f>+W38</f>
        <v>0</v>
      </c>
      <c r="D57" s="233">
        <f t="shared" si="8"/>
        <v>0</v>
      </c>
      <c r="AI57" s="219"/>
    </row>
    <row r="58" spans="1:36" ht="17.149999999999999" customHeight="1">
      <c r="A58" s="87" t="s">
        <v>152</v>
      </c>
      <c r="B58" s="237">
        <f>SUM(B55:B57)</f>
        <v>0</v>
      </c>
      <c r="C58" s="237">
        <f>SUM(C55:C57)</f>
        <v>0</v>
      </c>
      <c r="D58" s="237">
        <f t="shared" si="8"/>
        <v>0</v>
      </c>
      <c r="AI58" s="219"/>
    </row>
    <row r="59" spans="1:36" ht="17.149999999999999" customHeight="1">
      <c r="A59" s="87" t="s">
        <v>94</v>
      </c>
      <c r="B59" s="237">
        <f>SUM(B54,B58)</f>
        <v>0</v>
      </c>
      <c r="C59" s="237">
        <f>SUM(C54,C58)</f>
        <v>0</v>
      </c>
      <c r="D59" s="237">
        <f t="shared" si="8"/>
        <v>0</v>
      </c>
      <c r="AI59" s="219"/>
    </row>
    <row r="60" spans="1:36" ht="17.149999999999999" customHeight="1">
      <c r="A60" s="40"/>
      <c r="AI60" s="219"/>
    </row>
    <row r="61" spans="1:36" ht="17.149999999999999" customHeight="1">
      <c r="A61" s="42" t="s">
        <v>153</v>
      </c>
      <c r="AI61" s="219"/>
    </row>
    <row r="62" spans="1:36" ht="17.149999999999999" customHeight="1">
      <c r="A62" s="232" t="s">
        <v>154</v>
      </c>
      <c r="B62" s="233" t="s">
        <v>86</v>
      </c>
      <c r="C62" s="233" t="s">
        <v>99</v>
      </c>
      <c r="D62" s="233" t="s">
        <v>84</v>
      </c>
      <c r="AI62" s="219"/>
    </row>
    <row r="63" spans="1:36" ht="17.149999999999999" customHeight="1">
      <c r="A63" s="232" t="s">
        <v>51</v>
      </c>
      <c r="B63" s="233">
        <f>SUM(B48:B52)</f>
        <v>0</v>
      </c>
      <c r="C63" s="233">
        <f>SUM(C48:C52)</f>
        <v>0</v>
      </c>
      <c r="D63" s="233">
        <f t="shared" ref="D63:D67" si="9">+C63-B63</f>
        <v>0</v>
      </c>
      <c r="AI63" s="219"/>
    </row>
    <row r="64" spans="1:36" ht="17.149999999999999" customHeight="1">
      <c r="A64" s="232" t="s">
        <v>50</v>
      </c>
      <c r="B64" s="233">
        <f>SUM(B56:B57)</f>
        <v>0</v>
      </c>
      <c r="C64" s="233">
        <f>SUM(C56:C57)</f>
        <v>0</v>
      </c>
      <c r="D64" s="233">
        <f t="shared" si="9"/>
        <v>0</v>
      </c>
      <c r="AI64" s="219"/>
    </row>
    <row r="65" spans="1:49" ht="17.149999999999999" customHeight="1">
      <c r="A65" s="232" t="s">
        <v>120</v>
      </c>
      <c r="B65" s="233">
        <f>B55</f>
        <v>0</v>
      </c>
      <c r="C65" s="233">
        <f>C55</f>
        <v>0</v>
      </c>
      <c r="D65" s="233">
        <f t="shared" si="9"/>
        <v>0</v>
      </c>
      <c r="AI65" s="219"/>
      <c r="AU65" s="30"/>
      <c r="AV65" s="238"/>
      <c r="AW65" s="239"/>
    </row>
    <row r="66" spans="1:49" ht="17.149999999999999" customHeight="1">
      <c r="A66" s="232" t="s">
        <v>55</v>
      </c>
      <c r="B66" s="233">
        <f>SUM(B53)</f>
        <v>0</v>
      </c>
      <c r="C66" s="233">
        <f>SUM(C53)</f>
        <v>0</v>
      </c>
      <c r="D66" s="233">
        <f t="shared" si="9"/>
        <v>0</v>
      </c>
      <c r="AI66" s="219"/>
      <c r="AU66" s="31"/>
      <c r="AV66" s="238"/>
      <c r="AW66" s="239"/>
    </row>
    <row r="67" spans="1:49" ht="17.149999999999999" customHeight="1">
      <c r="A67" s="87" t="s">
        <v>62</v>
      </c>
      <c r="B67" s="237">
        <f>SUM(B63:B66)</f>
        <v>0</v>
      </c>
      <c r="C67" s="237">
        <f>SUM(C63:C66)</f>
        <v>0</v>
      </c>
      <c r="D67" s="237">
        <f t="shared" si="9"/>
        <v>0</v>
      </c>
      <c r="AI67" s="219"/>
      <c r="AU67" s="240"/>
      <c r="AV67" s="238"/>
      <c r="AW67" s="239"/>
    </row>
    <row r="68" spans="1:49" ht="17.149999999999999" customHeight="1">
      <c r="A68" s="40"/>
      <c r="AI68" s="219"/>
      <c r="AU68" s="241"/>
      <c r="AV68" s="241"/>
      <c r="AW68" s="239"/>
    </row>
    <row r="69" spans="1:49" ht="17.149999999999999" customHeight="1">
      <c r="A69" s="42" t="s">
        <v>155</v>
      </c>
      <c r="AI69" s="219"/>
      <c r="AU69" s="242"/>
      <c r="AV69" s="238"/>
      <c r="AW69" s="239"/>
    </row>
    <row r="70" spans="1:49" ht="15" customHeight="1">
      <c r="A70" s="232" t="s">
        <v>154</v>
      </c>
      <c r="B70" s="233" t="s">
        <v>86</v>
      </c>
      <c r="C70" s="233" t="s">
        <v>99</v>
      </c>
      <c r="D70" s="233" t="s">
        <v>84</v>
      </c>
      <c r="E70" s="243"/>
      <c r="AI70" s="219"/>
    </row>
    <row r="71" spans="1:49" ht="15" customHeight="1">
      <c r="A71" s="232" t="s">
        <v>136</v>
      </c>
      <c r="B71" s="233">
        <f>+(AB39/$D$42)*$D$43</f>
        <v>0</v>
      </c>
      <c r="C71" s="233">
        <f>+AB38</f>
        <v>0</v>
      </c>
      <c r="D71" s="233">
        <f>+C71-B71</f>
        <v>0</v>
      </c>
      <c r="E71" s="243"/>
      <c r="AI71" s="219"/>
    </row>
    <row r="72" spans="1:49" ht="15" customHeight="1">
      <c r="A72" s="232" t="s">
        <v>137</v>
      </c>
      <c r="B72" s="233">
        <f>+(AC39/$D$42)*$D$43</f>
        <v>0</v>
      </c>
      <c r="C72" s="233">
        <f>+AC38</f>
        <v>0</v>
      </c>
      <c r="D72" s="233">
        <f>+C72-B72</f>
        <v>0</v>
      </c>
      <c r="E72" s="243"/>
      <c r="AI72" s="219"/>
    </row>
    <row r="73" spans="1:49" ht="15" customHeight="1">
      <c r="A73" s="232" t="s">
        <v>53</v>
      </c>
      <c r="B73" s="233">
        <f>+(AD39/$D$42)*$D$43</f>
        <v>0</v>
      </c>
      <c r="C73" s="233">
        <f>+AD38</f>
        <v>0</v>
      </c>
      <c r="D73" s="233">
        <f>+C73-B73</f>
        <v>0</v>
      </c>
      <c r="E73" s="243"/>
      <c r="AI73" s="219"/>
    </row>
    <row r="74" spans="1:49" ht="15" customHeight="1">
      <c r="A74" s="87" t="s">
        <v>62</v>
      </c>
      <c r="B74" s="237">
        <f>SUM(B71:B73)</f>
        <v>0</v>
      </c>
      <c r="C74" s="237">
        <f>SUM(C71:C73)</f>
        <v>0</v>
      </c>
      <c r="D74" s="237">
        <f>+C74-B74</f>
        <v>0</v>
      </c>
      <c r="E74" s="243"/>
      <c r="AA74" s="29"/>
      <c r="AB74" s="29"/>
      <c r="AC74" s="29"/>
      <c r="AD74" s="29"/>
      <c r="AE74" s="29"/>
      <c r="AG74" s="244"/>
      <c r="AH74" s="244"/>
      <c r="AI74" s="219"/>
    </row>
    <row r="75" spans="1:49" ht="13">
      <c r="A75" s="255"/>
      <c r="B75" s="256"/>
      <c r="C75" s="256"/>
      <c r="D75" s="256"/>
      <c r="E75" s="243"/>
      <c r="I75" s="9"/>
      <c r="J75" s="9"/>
      <c r="S75" s="9"/>
      <c r="T75" s="9"/>
      <c r="U75" s="9"/>
      <c r="V75" s="9"/>
      <c r="W75" s="9"/>
      <c r="X75" s="9"/>
      <c r="Y75" s="9"/>
      <c r="Z75" s="9"/>
      <c r="AA75" s="260"/>
      <c r="AB75" s="260"/>
      <c r="AC75" s="260"/>
      <c r="AD75" s="260"/>
      <c r="AE75" s="260"/>
      <c r="AF75" s="9"/>
      <c r="AG75" s="244"/>
      <c r="AH75" s="244"/>
      <c r="AI75" s="219"/>
    </row>
    <row r="76" spans="1:49" ht="13" thickBot="1">
      <c r="A76" s="245"/>
      <c r="B76" s="246"/>
      <c r="C76" s="246"/>
      <c r="D76" s="246"/>
      <c r="E76" s="246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247"/>
      <c r="AB76" s="247"/>
      <c r="AC76" s="247"/>
      <c r="AD76" s="247"/>
      <c r="AE76" s="247"/>
      <c r="AF76" s="55"/>
      <c r="AG76" s="248"/>
      <c r="AH76" s="248"/>
      <c r="AI76" s="231"/>
    </row>
    <row r="77" spans="1:49" s="9" customFormat="1" ht="13">
      <c r="A77" s="249"/>
      <c r="B77" s="243"/>
      <c r="C77" s="243"/>
      <c r="D77" s="243"/>
      <c r="E77" s="24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29"/>
      <c r="AB77" s="29"/>
      <c r="AC77" s="29"/>
      <c r="AD77" s="29"/>
      <c r="AE77" s="29"/>
      <c r="AF77" s="7"/>
    </row>
    <row r="78" spans="1:49">
      <c r="AA78" s="29"/>
      <c r="AB78" s="29"/>
      <c r="AC78" s="29"/>
      <c r="AD78" s="29"/>
      <c r="AE78" s="29"/>
      <c r="AG78" s="244"/>
      <c r="AH78" s="244"/>
    </row>
    <row r="79" spans="1:49">
      <c r="AA79" s="29"/>
      <c r="AB79" s="29"/>
      <c r="AC79" s="29"/>
      <c r="AD79" s="29"/>
      <c r="AE79" s="29"/>
      <c r="AG79" s="244"/>
      <c r="AH79" s="244"/>
    </row>
    <row r="80" spans="1:49">
      <c r="AA80" s="29"/>
      <c r="AB80" s="29"/>
      <c r="AC80" s="29"/>
      <c r="AD80" s="29"/>
      <c r="AE80" s="29"/>
      <c r="AG80" s="244"/>
      <c r="AH80" s="244"/>
    </row>
    <row r="81" spans="33:34">
      <c r="AG81" s="244"/>
      <c r="AH81" s="244"/>
    </row>
    <row r="82" spans="33:34">
      <c r="AG82" s="244"/>
      <c r="AH82" s="244"/>
    </row>
    <row r="83" spans="33:34">
      <c r="AG83" s="244"/>
      <c r="AH83" s="244"/>
    </row>
    <row r="84" spans="33:34">
      <c r="AG84" s="244"/>
      <c r="AH84" s="244"/>
    </row>
    <row r="85" spans="33:34">
      <c r="AG85" s="244"/>
      <c r="AH85" s="244"/>
    </row>
  </sheetData>
  <mergeCells count="32">
    <mergeCell ref="A42:B42"/>
    <mergeCell ref="A43:B43"/>
    <mergeCell ref="A44:B44"/>
    <mergeCell ref="S49:AE49"/>
    <mergeCell ref="V5:W5"/>
    <mergeCell ref="D6:H6"/>
    <mergeCell ref="D39:G39"/>
    <mergeCell ref="J39:U39"/>
    <mergeCell ref="D40:G40"/>
    <mergeCell ref="J40:U40"/>
    <mergeCell ref="J5:K5"/>
    <mergeCell ref="L5:M5"/>
    <mergeCell ref="N5:O5"/>
    <mergeCell ref="P5:Q5"/>
    <mergeCell ref="R5:S5"/>
    <mergeCell ref="T5:U5"/>
    <mergeCell ref="I3:W3"/>
    <mergeCell ref="A1:AI1"/>
    <mergeCell ref="A3:A6"/>
    <mergeCell ref="D3:H3"/>
    <mergeCell ref="X3:X4"/>
    <mergeCell ref="Y3:Y6"/>
    <mergeCell ref="Z3:Z6"/>
    <mergeCell ref="AA3:AA6"/>
    <mergeCell ref="AB3:AB6"/>
    <mergeCell ref="AC3:AC6"/>
    <mergeCell ref="AD3:AD6"/>
    <mergeCell ref="AE3:AE6"/>
    <mergeCell ref="J4:M4"/>
    <mergeCell ref="N4:S4"/>
    <mergeCell ref="T4:U4"/>
    <mergeCell ref="D5:H5"/>
  </mergeCells>
  <printOptions horizontalCentered="1"/>
  <pageMargins left="0" right="0" top="0" bottom="0" header="0" footer="0"/>
  <pageSetup paperSize="9" scale="42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F6AF-D913-4923-A432-5948422E0088}">
  <sheetPr>
    <tabColor rgb="FF92D050"/>
    <pageSetUpPr fitToPage="1"/>
  </sheetPr>
  <dimension ref="A1:AU84"/>
  <sheetViews>
    <sheetView showGridLines="0" view="pageBreakPreview" zoomScale="70" zoomScaleSheetLayoutView="70" workbookViewId="0">
      <pane xSplit="1" ySplit="6" topLeftCell="B7" activePane="bottomRight" state="frozen"/>
      <selection sqref="A1:AH2"/>
      <selection pane="topRight" sqref="A1:AH2"/>
      <selection pane="bottomLeft" sqref="A1:AH2"/>
      <selection pane="bottomRight" sqref="A1:AG1"/>
    </sheetView>
  </sheetViews>
  <sheetFormatPr defaultColWidth="8.81640625" defaultRowHeight="12.5"/>
  <cols>
    <col min="1" max="1" width="10.1796875" style="8" customWidth="1"/>
    <col min="2" max="2" width="13.54296875" style="7" bestFit="1" customWidth="1"/>
    <col min="3" max="3" width="14.81640625" style="7" bestFit="1" customWidth="1"/>
    <col min="4" max="4" width="12.7265625" style="7" customWidth="1"/>
    <col min="5" max="9" width="10.453125" style="7" customWidth="1"/>
    <col min="10" max="10" width="12.453125" style="7" bestFit="1" customWidth="1"/>
    <col min="11" max="15" width="10.453125" style="7" customWidth="1"/>
    <col min="16" max="19" width="10.453125" style="7" hidden="1" customWidth="1"/>
    <col min="20" max="22" width="10.453125" style="7" customWidth="1"/>
    <col min="23" max="23" width="13.1796875" style="7" customWidth="1"/>
    <col min="24" max="24" width="10.453125" style="7" customWidth="1"/>
    <col min="25" max="25" width="12.81640625" style="7" bestFit="1" customWidth="1"/>
    <col min="26" max="26" width="14" style="7" customWidth="1"/>
    <col min="27" max="27" width="14.26953125" style="7" customWidth="1"/>
    <col min="28" max="28" width="13" style="7" bestFit="1" customWidth="1"/>
    <col min="29" max="29" width="13.453125" style="7" bestFit="1" customWidth="1"/>
    <col min="30" max="30" width="12" style="7" bestFit="1" customWidth="1"/>
    <col min="31" max="31" width="14.81640625" style="7" customWidth="1"/>
    <col min="32" max="33" width="0.81640625" style="7" customWidth="1"/>
    <col min="34" max="34" width="11.7265625" style="7" customWidth="1"/>
    <col min="35" max="36" width="8.81640625" style="7"/>
    <col min="37" max="45" width="11.81640625" style="7" customWidth="1"/>
    <col min="46" max="16384" width="8.81640625" style="7"/>
  </cols>
  <sheetData>
    <row r="1" spans="1:33" ht="35.15" customHeight="1">
      <c r="A1" s="761">
        <f>+A6</f>
        <v>44986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3"/>
    </row>
    <row r="2" spans="1:33" ht="25" customHeight="1" thickBot="1">
      <c r="A2" s="40"/>
      <c r="AG2" s="220" t="s">
        <v>127</v>
      </c>
    </row>
    <row r="3" spans="1:33" ht="17.149999999999999" customHeight="1">
      <c r="A3" s="764" t="s">
        <v>128</v>
      </c>
      <c r="B3" s="114" t="s">
        <v>129</v>
      </c>
      <c r="C3" s="114" t="s">
        <v>130</v>
      </c>
      <c r="D3" s="796" t="s">
        <v>131</v>
      </c>
      <c r="E3" s="797"/>
      <c r="F3" s="797"/>
      <c r="G3" s="797"/>
      <c r="H3" s="798"/>
      <c r="I3" s="799" t="s">
        <v>42</v>
      </c>
      <c r="J3" s="800"/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178</v>
      </c>
      <c r="Z3" s="769" t="s">
        <v>179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3" s="9" customFormat="1" ht="17.149999999999999" customHeight="1">
      <c r="A4" s="765"/>
      <c r="B4" s="115" t="s">
        <v>139</v>
      </c>
      <c r="C4" s="115" t="s">
        <v>69</v>
      </c>
      <c r="D4" s="115" t="s">
        <v>166</v>
      </c>
      <c r="E4" s="64"/>
      <c r="F4" s="62"/>
      <c r="G4" s="62"/>
      <c r="H4" s="116" t="s">
        <v>46</v>
      </c>
      <c r="I4" s="115" t="s">
        <v>177</v>
      </c>
      <c r="J4" s="777" t="s">
        <v>184</v>
      </c>
      <c r="K4" s="782"/>
      <c r="L4" s="782"/>
      <c r="M4" s="782"/>
      <c r="N4" s="782"/>
      <c r="O4" s="778"/>
      <c r="P4" s="285"/>
      <c r="Q4" s="286"/>
      <c r="R4" s="777"/>
      <c r="S4" s="778"/>
      <c r="T4" s="284"/>
      <c r="U4" s="254" t="s">
        <v>48</v>
      </c>
      <c r="V4" s="254" t="s">
        <v>140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3" ht="30" customHeight="1" thickBot="1">
      <c r="A5" s="766"/>
      <c r="B5" s="783" t="s">
        <v>51</v>
      </c>
      <c r="C5" s="784"/>
      <c r="D5" s="784"/>
      <c r="E5" s="784"/>
      <c r="F5" s="784"/>
      <c r="G5" s="784"/>
      <c r="H5" s="785"/>
      <c r="I5" s="298" t="s">
        <v>51</v>
      </c>
      <c r="J5" s="310" t="s">
        <v>120</v>
      </c>
      <c r="K5" s="311"/>
      <c r="L5" s="312"/>
      <c r="M5" s="312"/>
      <c r="N5" s="313"/>
      <c r="O5" s="313"/>
      <c r="P5" s="775"/>
      <c r="Q5" s="776"/>
      <c r="R5" s="775"/>
      <c r="S5" s="776"/>
      <c r="T5" s="779" t="s">
        <v>175</v>
      </c>
      <c r="U5" s="780"/>
      <c r="V5" s="780"/>
      <c r="W5" s="781"/>
      <c r="X5" s="299" t="s">
        <v>55</v>
      </c>
      <c r="Y5" s="793"/>
      <c r="Z5" s="771"/>
      <c r="AA5" s="774"/>
      <c r="AB5" s="757"/>
      <c r="AC5" s="757"/>
      <c r="AD5" s="757"/>
      <c r="AE5" s="760"/>
      <c r="AG5" s="219"/>
    </row>
    <row r="6" spans="1:33" ht="17.149999999999999" customHeight="1">
      <c r="A6" s="124">
        <v>44986</v>
      </c>
      <c r="B6" s="339">
        <v>1615</v>
      </c>
      <c r="C6" s="340">
        <v>6594</v>
      </c>
      <c r="D6" s="340">
        <v>10211</v>
      </c>
      <c r="E6" s="339"/>
      <c r="F6" s="340"/>
      <c r="G6" s="341"/>
      <c r="H6" s="341">
        <v>2301</v>
      </c>
      <c r="I6" s="340">
        <v>0</v>
      </c>
      <c r="J6" s="342">
        <v>24626</v>
      </c>
      <c r="K6" s="343"/>
      <c r="L6" s="340"/>
      <c r="M6" s="342"/>
      <c r="N6" s="341"/>
      <c r="O6" s="341"/>
      <c r="P6" s="340"/>
      <c r="Q6" s="342"/>
      <c r="R6" s="340"/>
      <c r="S6" s="340"/>
      <c r="T6" s="340"/>
      <c r="U6" s="340">
        <v>0</v>
      </c>
      <c r="V6" s="340"/>
      <c r="W6" s="342">
        <v>35997</v>
      </c>
      <c r="X6" s="343">
        <v>2443</v>
      </c>
      <c r="Y6" s="344">
        <f t="shared" ref="Y6:Y36" si="0">SUM(B6:H6,X6)</f>
        <v>23164</v>
      </c>
      <c r="Z6" s="344">
        <f>SUM(I6:W6)</f>
        <v>60623</v>
      </c>
      <c r="AA6" s="345">
        <f t="shared" ref="AA6:AA36" si="1">SUM(B6:X6)</f>
        <v>83787</v>
      </c>
      <c r="AB6" s="341">
        <v>30656</v>
      </c>
      <c r="AC6" s="343">
        <v>27965</v>
      </c>
      <c r="AD6" s="343">
        <v>18095</v>
      </c>
      <c r="AE6" s="345">
        <f>SUM(AB6:AD6)</f>
        <v>76716</v>
      </c>
      <c r="AG6" s="219"/>
    </row>
    <row r="7" spans="1:33" ht="17.149999999999999" customHeight="1">
      <c r="A7" s="60">
        <f t="shared" ref="A7:A36" si="2">+A6+1</f>
        <v>44987</v>
      </c>
      <c r="B7" s="346">
        <v>3100</v>
      </c>
      <c r="C7" s="347">
        <v>6863</v>
      </c>
      <c r="D7" s="347">
        <v>7719</v>
      </c>
      <c r="E7" s="346"/>
      <c r="F7" s="347"/>
      <c r="G7" s="348"/>
      <c r="H7" s="348">
        <v>2677</v>
      </c>
      <c r="I7" s="347">
        <v>0</v>
      </c>
      <c r="J7" s="349">
        <v>27110</v>
      </c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347">
        <v>0</v>
      </c>
      <c r="V7" s="347"/>
      <c r="W7" s="347">
        <v>43653</v>
      </c>
      <c r="X7" s="350">
        <v>2842</v>
      </c>
      <c r="Y7" s="344">
        <f t="shared" si="0"/>
        <v>23201</v>
      </c>
      <c r="Z7" s="351">
        <f t="shared" ref="Z7:Z36" si="3">SUM(I7:W7)</f>
        <v>70763</v>
      </c>
      <c r="AA7" s="352">
        <f t="shared" si="1"/>
        <v>93964</v>
      </c>
      <c r="AB7" s="348">
        <v>35827</v>
      </c>
      <c r="AC7" s="350">
        <v>30248</v>
      </c>
      <c r="AD7" s="350">
        <v>20362</v>
      </c>
      <c r="AE7" s="352">
        <f t="shared" ref="AE7:AE36" si="4">SUM(AB7:AD7)</f>
        <v>86437</v>
      </c>
      <c r="AG7" s="219"/>
    </row>
    <row r="8" spans="1:33" ht="17.149999999999999" customHeight="1">
      <c r="A8" s="60">
        <f t="shared" si="2"/>
        <v>44988</v>
      </c>
      <c r="B8" s="346">
        <v>2201</v>
      </c>
      <c r="C8" s="347">
        <v>6409</v>
      </c>
      <c r="D8" s="347">
        <v>9761</v>
      </c>
      <c r="E8" s="346"/>
      <c r="F8" s="347"/>
      <c r="G8" s="348"/>
      <c r="H8" s="348">
        <v>2306</v>
      </c>
      <c r="I8" s="347">
        <v>0</v>
      </c>
      <c r="J8" s="349">
        <v>20599</v>
      </c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>
        <v>0</v>
      </c>
      <c r="V8" s="347"/>
      <c r="W8" s="347">
        <v>37840</v>
      </c>
      <c r="X8" s="353">
        <v>2695</v>
      </c>
      <c r="Y8" s="344">
        <f t="shared" si="0"/>
        <v>23372</v>
      </c>
      <c r="Z8" s="351">
        <f t="shared" si="3"/>
        <v>58439</v>
      </c>
      <c r="AA8" s="352">
        <f t="shared" si="1"/>
        <v>81811</v>
      </c>
      <c r="AB8" s="348">
        <v>36631</v>
      </c>
      <c r="AC8" s="353">
        <v>31208</v>
      </c>
      <c r="AD8" s="353">
        <v>21613</v>
      </c>
      <c r="AE8" s="352">
        <f t="shared" si="4"/>
        <v>89452</v>
      </c>
      <c r="AG8" s="219"/>
    </row>
    <row r="9" spans="1:33" ht="17.149999999999999" customHeight="1">
      <c r="A9" s="60">
        <f t="shared" si="2"/>
        <v>44989</v>
      </c>
      <c r="B9" s="346">
        <v>822</v>
      </c>
      <c r="C9" s="347">
        <v>1850</v>
      </c>
      <c r="D9" s="347">
        <v>3396</v>
      </c>
      <c r="E9" s="346"/>
      <c r="F9" s="347"/>
      <c r="G9" s="348"/>
      <c r="H9" s="348">
        <v>1245</v>
      </c>
      <c r="I9" s="347">
        <v>0</v>
      </c>
      <c r="J9" s="349">
        <v>15198</v>
      </c>
      <c r="K9" s="347"/>
      <c r="L9" s="347"/>
      <c r="M9" s="347"/>
      <c r="N9" s="347"/>
      <c r="O9" s="347"/>
      <c r="P9" s="347"/>
      <c r="Q9" s="347"/>
      <c r="R9" s="347"/>
      <c r="S9" s="347"/>
      <c r="T9" s="347"/>
      <c r="U9" s="347">
        <v>0</v>
      </c>
      <c r="V9" s="347"/>
      <c r="W9" s="347">
        <v>23866</v>
      </c>
      <c r="X9" s="353">
        <v>1305</v>
      </c>
      <c r="Y9" s="344">
        <f t="shared" si="0"/>
        <v>8618</v>
      </c>
      <c r="Z9" s="351">
        <f t="shared" si="3"/>
        <v>39064</v>
      </c>
      <c r="AA9" s="352">
        <f t="shared" si="1"/>
        <v>47682</v>
      </c>
      <c r="AB9" s="348">
        <v>34374</v>
      </c>
      <c r="AC9" s="353">
        <v>27607</v>
      </c>
      <c r="AD9" s="353">
        <v>17129</v>
      </c>
      <c r="AE9" s="352">
        <f t="shared" si="4"/>
        <v>79110</v>
      </c>
      <c r="AG9" s="219"/>
    </row>
    <row r="10" spans="1:33" ht="17.149999999999999" customHeight="1">
      <c r="A10" s="60">
        <f t="shared" si="2"/>
        <v>44990</v>
      </c>
      <c r="B10" s="346">
        <v>1751</v>
      </c>
      <c r="C10" s="347">
        <v>4441</v>
      </c>
      <c r="D10" s="347">
        <v>7318</v>
      </c>
      <c r="E10" s="346"/>
      <c r="F10" s="347"/>
      <c r="G10" s="348"/>
      <c r="H10" s="348">
        <v>1806</v>
      </c>
      <c r="I10" s="347">
        <v>0</v>
      </c>
      <c r="J10" s="349">
        <v>20030</v>
      </c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>
        <v>0</v>
      </c>
      <c r="V10" s="347"/>
      <c r="W10" s="347">
        <v>36521</v>
      </c>
      <c r="X10" s="353">
        <v>1403</v>
      </c>
      <c r="Y10" s="344">
        <f t="shared" si="0"/>
        <v>16719</v>
      </c>
      <c r="Z10" s="351">
        <f t="shared" si="3"/>
        <v>56551</v>
      </c>
      <c r="AA10" s="352">
        <f t="shared" si="1"/>
        <v>73270</v>
      </c>
      <c r="AB10" s="348">
        <v>23559</v>
      </c>
      <c r="AC10" s="353">
        <v>20285</v>
      </c>
      <c r="AD10" s="353">
        <v>14361</v>
      </c>
      <c r="AE10" s="352">
        <f t="shared" si="4"/>
        <v>58205</v>
      </c>
      <c r="AG10" s="219"/>
    </row>
    <row r="11" spans="1:33" ht="17.149999999999999" customHeight="1">
      <c r="A11" s="60">
        <f t="shared" si="2"/>
        <v>44991</v>
      </c>
      <c r="B11" s="346">
        <v>1617</v>
      </c>
      <c r="C11" s="347">
        <v>2836</v>
      </c>
      <c r="D11" s="347">
        <v>6413</v>
      </c>
      <c r="E11" s="346"/>
      <c r="F11" s="347"/>
      <c r="G11" s="348"/>
      <c r="H11" s="348">
        <v>1886</v>
      </c>
      <c r="I11" s="347">
        <v>0</v>
      </c>
      <c r="J11" s="349">
        <v>20237</v>
      </c>
      <c r="K11" s="347"/>
      <c r="L11" s="347"/>
      <c r="M11" s="347"/>
      <c r="N11" s="347"/>
      <c r="O11" s="347"/>
      <c r="P11" s="347"/>
      <c r="Q11" s="347"/>
      <c r="R11" s="347"/>
      <c r="S11" s="347"/>
      <c r="T11" s="347"/>
      <c r="U11" s="347">
        <v>0</v>
      </c>
      <c r="V11" s="347"/>
      <c r="W11" s="347">
        <v>23313</v>
      </c>
      <c r="X11" s="353">
        <v>1998</v>
      </c>
      <c r="Y11" s="344">
        <f t="shared" si="0"/>
        <v>14750</v>
      </c>
      <c r="Z11" s="351">
        <f t="shared" si="3"/>
        <v>43550</v>
      </c>
      <c r="AA11" s="352">
        <f t="shared" si="1"/>
        <v>58300</v>
      </c>
      <c r="AB11" s="348">
        <v>33178</v>
      </c>
      <c r="AC11" s="353">
        <v>28448</v>
      </c>
      <c r="AD11" s="353">
        <v>17902</v>
      </c>
      <c r="AE11" s="352">
        <f t="shared" si="4"/>
        <v>79528</v>
      </c>
      <c r="AG11" s="219"/>
    </row>
    <row r="12" spans="1:33" ht="17.149999999999999" customHeight="1">
      <c r="A12" s="60">
        <f t="shared" si="2"/>
        <v>44992</v>
      </c>
      <c r="B12" s="346">
        <v>2226</v>
      </c>
      <c r="C12" s="347">
        <v>6763</v>
      </c>
      <c r="D12" s="347">
        <v>11483</v>
      </c>
      <c r="E12" s="346"/>
      <c r="F12" s="347"/>
      <c r="G12" s="348"/>
      <c r="H12" s="348">
        <v>4559</v>
      </c>
      <c r="I12" s="347">
        <v>0</v>
      </c>
      <c r="J12" s="349">
        <v>31365</v>
      </c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>
        <v>0</v>
      </c>
      <c r="V12" s="347"/>
      <c r="W12" s="347">
        <v>40508</v>
      </c>
      <c r="X12" s="353">
        <v>2620</v>
      </c>
      <c r="Y12" s="344">
        <f t="shared" si="0"/>
        <v>27651</v>
      </c>
      <c r="Z12" s="351">
        <f t="shared" si="3"/>
        <v>71873</v>
      </c>
      <c r="AA12" s="352">
        <f t="shared" si="1"/>
        <v>99524</v>
      </c>
      <c r="AB12" s="348">
        <v>36057</v>
      </c>
      <c r="AC12" s="353">
        <v>31568</v>
      </c>
      <c r="AD12" s="353">
        <v>20111</v>
      </c>
      <c r="AE12" s="352">
        <f t="shared" si="4"/>
        <v>87736</v>
      </c>
      <c r="AG12" s="219"/>
    </row>
    <row r="13" spans="1:33" ht="17.149999999999999" customHeight="1">
      <c r="A13" s="60">
        <f t="shared" si="2"/>
        <v>44993</v>
      </c>
      <c r="B13" s="346">
        <v>1456</v>
      </c>
      <c r="C13" s="347">
        <v>4569</v>
      </c>
      <c r="D13" s="347">
        <v>9816</v>
      </c>
      <c r="E13" s="346"/>
      <c r="F13" s="347"/>
      <c r="G13" s="348"/>
      <c r="H13" s="348">
        <v>3208</v>
      </c>
      <c r="I13" s="347">
        <v>0</v>
      </c>
      <c r="J13" s="349">
        <v>27630</v>
      </c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>
        <v>0</v>
      </c>
      <c r="V13" s="347"/>
      <c r="W13" s="347">
        <v>27973</v>
      </c>
      <c r="X13" s="353">
        <v>1829</v>
      </c>
      <c r="Y13" s="344">
        <f t="shared" si="0"/>
        <v>20878</v>
      </c>
      <c r="Z13" s="351">
        <f t="shared" si="3"/>
        <v>55603</v>
      </c>
      <c r="AA13" s="352">
        <f t="shared" si="1"/>
        <v>76481</v>
      </c>
      <c r="AB13" s="348">
        <v>36778</v>
      </c>
      <c r="AC13" s="350">
        <v>28567</v>
      </c>
      <c r="AD13" s="350">
        <v>18089</v>
      </c>
      <c r="AE13" s="352">
        <f t="shared" si="4"/>
        <v>83434</v>
      </c>
      <c r="AG13" s="219"/>
    </row>
    <row r="14" spans="1:33" ht="17.149999999999999" customHeight="1">
      <c r="A14" s="60">
        <f t="shared" si="2"/>
        <v>44994</v>
      </c>
      <c r="B14" s="346">
        <v>1826</v>
      </c>
      <c r="C14" s="347">
        <v>3798</v>
      </c>
      <c r="D14" s="347">
        <v>8750</v>
      </c>
      <c r="E14" s="346"/>
      <c r="F14" s="347"/>
      <c r="G14" s="348"/>
      <c r="H14" s="348">
        <v>2594</v>
      </c>
      <c r="I14" s="347">
        <v>0</v>
      </c>
      <c r="J14" s="349">
        <v>16363</v>
      </c>
      <c r="K14" s="347"/>
      <c r="L14" s="347"/>
      <c r="M14" s="347"/>
      <c r="N14" s="347"/>
      <c r="O14" s="347"/>
      <c r="P14" s="347"/>
      <c r="Q14" s="347"/>
      <c r="R14" s="347"/>
      <c r="S14" s="347"/>
      <c r="T14" s="347"/>
      <c r="U14" s="347">
        <v>0</v>
      </c>
      <c r="V14" s="347"/>
      <c r="W14" s="347">
        <v>20507</v>
      </c>
      <c r="X14" s="353">
        <v>2195</v>
      </c>
      <c r="Y14" s="344">
        <f t="shared" si="0"/>
        <v>19163</v>
      </c>
      <c r="Z14" s="351">
        <f t="shared" si="3"/>
        <v>36870</v>
      </c>
      <c r="AA14" s="352">
        <f t="shared" si="1"/>
        <v>56033</v>
      </c>
      <c r="AB14" s="348">
        <v>36060</v>
      </c>
      <c r="AC14" s="353">
        <v>32888</v>
      </c>
      <c r="AD14" s="353">
        <v>18847</v>
      </c>
      <c r="AE14" s="352">
        <f t="shared" si="4"/>
        <v>87795</v>
      </c>
      <c r="AG14" s="219"/>
    </row>
    <row r="15" spans="1:33" ht="17.149999999999999" customHeight="1">
      <c r="A15" s="60">
        <f t="shared" si="2"/>
        <v>44995</v>
      </c>
      <c r="B15" s="346">
        <v>1005</v>
      </c>
      <c r="C15" s="347">
        <v>2887</v>
      </c>
      <c r="D15" s="347">
        <v>5622</v>
      </c>
      <c r="E15" s="346"/>
      <c r="F15" s="347"/>
      <c r="G15" s="348"/>
      <c r="H15" s="348">
        <v>744</v>
      </c>
      <c r="I15" s="347">
        <v>0</v>
      </c>
      <c r="J15" s="349">
        <v>12598</v>
      </c>
      <c r="K15" s="347"/>
      <c r="L15" s="347"/>
      <c r="M15" s="347"/>
      <c r="N15" s="347"/>
      <c r="O15" s="347"/>
      <c r="P15" s="347"/>
      <c r="Q15" s="347"/>
      <c r="R15" s="347"/>
      <c r="S15" s="347"/>
      <c r="T15" s="347"/>
      <c r="U15" s="347">
        <v>0</v>
      </c>
      <c r="V15" s="347"/>
      <c r="W15" s="347">
        <v>10467</v>
      </c>
      <c r="X15" s="353">
        <v>1906</v>
      </c>
      <c r="Y15" s="344">
        <f t="shared" si="0"/>
        <v>12164</v>
      </c>
      <c r="Z15" s="351">
        <f t="shared" si="3"/>
        <v>23065</v>
      </c>
      <c r="AA15" s="352">
        <f t="shared" si="1"/>
        <v>35229</v>
      </c>
      <c r="AB15" s="348">
        <v>21641</v>
      </c>
      <c r="AC15" s="353">
        <v>17164</v>
      </c>
      <c r="AD15" s="353">
        <v>10711</v>
      </c>
      <c r="AE15" s="352">
        <f t="shared" si="4"/>
        <v>49516</v>
      </c>
      <c r="AG15" s="219"/>
    </row>
    <row r="16" spans="1:33" ht="17.149999999999999" customHeight="1">
      <c r="A16" s="60">
        <f t="shared" si="2"/>
        <v>44996</v>
      </c>
      <c r="B16" s="346">
        <v>1640</v>
      </c>
      <c r="C16" s="347">
        <v>6159</v>
      </c>
      <c r="D16" s="347">
        <v>7793</v>
      </c>
      <c r="E16" s="346"/>
      <c r="F16" s="347"/>
      <c r="G16" s="348"/>
      <c r="H16" s="348">
        <v>2392</v>
      </c>
      <c r="I16" s="347">
        <v>0</v>
      </c>
      <c r="J16" s="349">
        <v>16608</v>
      </c>
      <c r="K16" s="347"/>
      <c r="L16" s="347"/>
      <c r="M16" s="347"/>
      <c r="N16" s="347"/>
      <c r="O16" s="347"/>
      <c r="P16" s="347"/>
      <c r="Q16" s="347"/>
      <c r="R16" s="347"/>
      <c r="S16" s="347"/>
      <c r="T16" s="347"/>
      <c r="U16" s="347">
        <v>0</v>
      </c>
      <c r="V16" s="347"/>
      <c r="W16" s="347">
        <v>27192</v>
      </c>
      <c r="X16" s="353">
        <v>1451</v>
      </c>
      <c r="Y16" s="344">
        <f t="shared" si="0"/>
        <v>19435</v>
      </c>
      <c r="Z16" s="351">
        <f t="shared" si="3"/>
        <v>43800</v>
      </c>
      <c r="AA16" s="352">
        <f t="shared" si="1"/>
        <v>63235</v>
      </c>
      <c r="AB16" s="348">
        <v>33182</v>
      </c>
      <c r="AC16" s="353">
        <v>27247</v>
      </c>
      <c r="AD16" s="353">
        <v>18265</v>
      </c>
      <c r="AE16" s="352">
        <f t="shared" si="4"/>
        <v>78694</v>
      </c>
      <c r="AG16" s="219"/>
    </row>
    <row r="17" spans="1:33" ht="17.149999999999999" customHeight="1">
      <c r="A17" s="60">
        <f t="shared" si="2"/>
        <v>44997</v>
      </c>
      <c r="B17" s="346">
        <v>553</v>
      </c>
      <c r="C17" s="347">
        <v>3760</v>
      </c>
      <c r="D17" s="347">
        <v>10219</v>
      </c>
      <c r="E17" s="346"/>
      <c r="F17" s="347"/>
      <c r="G17" s="348"/>
      <c r="H17" s="348">
        <v>675</v>
      </c>
      <c r="I17" s="347">
        <v>0</v>
      </c>
      <c r="J17" s="349">
        <v>19356</v>
      </c>
      <c r="K17" s="347"/>
      <c r="L17" s="347"/>
      <c r="M17" s="347"/>
      <c r="N17" s="347"/>
      <c r="O17" s="347"/>
      <c r="P17" s="347"/>
      <c r="Q17" s="347"/>
      <c r="R17" s="347"/>
      <c r="S17" s="347"/>
      <c r="T17" s="347"/>
      <c r="U17" s="347">
        <v>0</v>
      </c>
      <c r="V17" s="347"/>
      <c r="W17" s="347">
        <v>15920</v>
      </c>
      <c r="X17" s="353">
        <v>1954</v>
      </c>
      <c r="Y17" s="344">
        <f t="shared" si="0"/>
        <v>17161</v>
      </c>
      <c r="Z17" s="351">
        <f t="shared" si="3"/>
        <v>35276</v>
      </c>
      <c r="AA17" s="352">
        <f t="shared" si="1"/>
        <v>52437</v>
      </c>
      <c r="AB17" s="348">
        <v>0</v>
      </c>
      <c r="AC17" s="353">
        <v>0</v>
      </c>
      <c r="AD17" s="353">
        <v>0</v>
      </c>
      <c r="AE17" s="352">
        <f t="shared" si="4"/>
        <v>0</v>
      </c>
      <c r="AG17" s="219"/>
    </row>
    <row r="18" spans="1:33" ht="17.149999999999999" customHeight="1">
      <c r="A18" s="60">
        <f t="shared" si="2"/>
        <v>44998</v>
      </c>
      <c r="B18" s="346">
        <v>2616</v>
      </c>
      <c r="C18" s="347">
        <v>4725</v>
      </c>
      <c r="D18" s="347">
        <v>13588</v>
      </c>
      <c r="E18" s="346"/>
      <c r="F18" s="347"/>
      <c r="G18" s="348"/>
      <c r="H18" s="348">
        <v>488</v>
      </c>
      <c r="I18" s="347">
        <v>0</v>
      </c>
      <c r="J18" s="349">
        <v>20231</v>
      </c>
      <c r="K18" s="347"/>
      <c r="L18" s="347"/>
      <c r="M18" s="347"/>
      <c r="N18" s="347"/>
      <c r="O18" s="347"/>
      <c r="P18" s="347"/>
      <c r="Q18" s="347"/>
      <c r="R18" s="347"/>
      <c r="S18" s="347"/>
      <c r="T18" s="347"/>
      <c r="U18" s="347">
        <v>0</v>
      </c>
      <c r="V18" s="347"/>
      <c r="W18" s="347">
        <v>24518</v>
      </c>
      <c r="X18" s="350">
        <v>2070</v>
      </c>
      <c r="Y18" s="344">
        <f t="shared" si="0"/>
        <v>23487</v>
      </c>
      <c r="Z18" s="351">
        <f t="shared" si="3"/>
        <v>44749</v>
      </c>
      <c r="AA18" s="352">
        <f t="shared" si="1"/>
        <v>68236</v>
      </c>
      <c r="AB18" s="348">
        <v>23441</v>
      </c>
      <c r="AC18" s="350">
        <v>21382</v>
      </c>
      <c r="AD18" s="350">
        <v>10166</v>
      </c>
      <c r="AE18" s="352">
        <f t="shared" si="4"/>
        <v>54989</v>
      </c>
      <c r="AG18" s="219"/>
    </row>
    <row r="19" spans="1:33" ht="17.149999999999999" customHeight="1">
      <c r="A19" s="60">
        <f t="shared" si="2"/>
        <v>44999</v>
      </c>
      <c r="B19" s="346">
        <v>924</v>
      </c>
      <c r="C19" s="347">
        <v>0</v>
      </c>
      <c r="D19" s="347">
        <v>9352</v>
      </c>
      <c r="E19" s="346"/>
      <c r="F19" s="347"/>
      <c r="G19" s="348"/>
      <c r="H19" s="348">
        <v>0</v>
      </c>
      <c r="I19" s="347">
        <v>0</v>
      </c>
      <c r="J19" s="349">
        <v>5826</v>
      </c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>
        <v>0</v>
      </c>
      <c r="V19" s="347"/>
      <c r="W19" s="347">
        <v>8997</v>
      </c>
      <c r="X19" s="354">
        <v>1399</v>
      </c>
      <c r="Y19" s="344">
        <f t="shared" si="0"/>
        <v>11675</v>
      </c>
      <c r="Z19" s="351">
        <f t="shared" si="3"/>
        <v>14823</v>
      </c>
      <c r="AA19" s="352">
        <f t="shared" si="1"/>
        <v>26498</v>
      </c>
      <c r="AB19" s="348">
        <v>30935</v>
      </c>
      <c r="AC19" s="354">
        <v>27474</v>
      </c>
      <c r="AD19" s="354">
        <v>15762</v>
      </c>
      <c r="AE19" s="352">
        <f t="shared" si="4"/>
        <v>74171</v>
      </c>
      <c r="AG19" s="219"/>
    </row>
    <row r="20" spans="1:33" ht="17.149999999999999" customHeight="1">
      <c r="A20" s="60">
        <f t="shared" si="2"/>
        <v>45000</v>
      </c>
      <c r="B20" s="346">
        <v>1770</v>
      </c>
      <c r="C20" s="347">
        <v>1662</v>
      </c>
      <c r="D20" s="347">
        <v>8477</v>
      </c>
      <c r="E20" s="347"/>
      <c r="F20" s="347"/>
      <c r="G20" s="348"/>
      <c r="H20" s="348">
        <v>75</v>
      </c>
      <c r="I20" s="347">
        <v>0</v>
      </c>
      <c r="J20" s="349">
        <v>13051</v>
      </c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>
        <v>0</v>
      </c>
      <c r="V20" s="347"/>
      <c r="W20" s="347">
        <v>25456</v>
      </c>
      <c r="X20" s="354">
        <v>1476</v>
      </c>
      <c r="Y20" s="344">
        <f t="shared" si="0"/>
        <v>13460</v>
      </c>
      <c r="Z20" s="351">
        <f t="shared" si="3"/>
        <v>38507</v>
      </c>
      <c r="AA20" s="352">
        <f t="shared" si="1"/>
        <v>51967</v>
      </c>
      <c r="AB20" s="348">
        <v>32510</v>
      </c>
      <c r="AC20" s="354">
        <v>29935</v>
      </c>
      <c r="AD20" s="354">
        <v>18470</v>
      </c>
      <c r="AE20" s="352">
        <f t="shared" si="4"/>
        <v>80915</v>
      </c>
      <c r="AG20" s="219"/>
    </row>
    <row r="21" spans="1:33" ht="17.149999999999999" customHeight="1">
      <c r="A21" s="60">
        <f t="shared" si="2"/>
        <v>45001</v>
      </c>
      <c r="B21" s="346">
        <v>3542</v>
      </c>
      <c r="C21" s="347">
        <v>5001</v>
      </c>
      <c r="D21" s="347">
        <v>17158</v>
      </c>
      <c r="E21" s="348"/>
      <c r="F21" s="347"/>
      <c r="G21" s="348"/>
      <c r="H21" s="348">
        <v>354</v>
      </c>
      <c r="I21" s="347">
        <v>0</v>
      </c>
      <c r="J21" s="349">
        <v>28625</v>
      </c>
      <c r="K21" s="347"/>
      <c r="L21" s="347"/>
      <c r="M21" s="347"/>
      <c r="N21" s="347"/>
      <c r="O21" s="347"/>
      <c r="P21" s="347"/>
      <c r="Q21" s="355"/>
      <c r="R21" s="347"/>
      <c r="S21" s="347"/>
      <c r="T21" s="347"/>
      <c r="U21" s="347">
        <v>0</v>
      </c>
      <c r="V21" s="347"/>
      <c r="W21" s="355">
        <v>27883</v>
      </c>
      <c r="X21" s="356">
        <v>3025</v>
      </c>
      <c r="Y21" s="344">
        <f t="shared" si="0"/>
        <v>29080</v>
      </c>
      <c r="Z21" s="351">
        <f t="shared" si="3"/>
        <v>56508</v>
      </c>
      <c r="AA21" s="352">
        <f t="shared" si="1"/>
        <v>85588</v>
      </c>
      <c r="AB21" s="348">
        <v>25538</v>
      </c>
      <c r="AC21" s="350">
        <v>23574</v>
      </c>
      <c r="AD21" s="350">
        <v>13362</v>
      </c>
      <c r="AE21" s="352">
        <f t="shared" si="4"/>
        <v>62474</v>
      </c>
      <c r="AG21" s="219"/>
    </row>
    <row r="22" spans="1:33" ht="17.149999999999999" customHeight="1">
      <c r="A22" s="60">
        <f t="shared" si="2"/>
        <v>45002</v>
      </c>
      <c r="B22" s="346">
        <v>2013</v>
      </c>
      <c r="C22" s="347">
        <v>6741</v>
      </c>
      <c r="D22" s="347">
        <v>8247</v>
      </c>
      <c r="E22" s="348"/>
      <c r="F22" s="347"/>
      <c r="G22" s="348"/>
      <c r="H22" s="348">
        <v>479</v>
      </c>
      <c r="I22" s="347">
        <v>2304</v>
      </c>
      <c r="J22" s="349">
        <v>22769</v>
      </c>
      <c r="K22" s="347"/>
      <c r="L22" s="347"/>
      <c r="M22" s="347"/>
      <c r="N22" s="347"/>
      <c r="O22" s="347"/>
      <c r="P22" s="347"/>
      <c r="Q22" s="347"/>
      <c r="R22" s="347"/>
      <c r="S22" s="347"/>
      <c r="T22" s="347"/>
      <c r="U22" s="347">
        <v>0</v>
      </c>
      <c r="V22" s="347"/>
      <c r="W22" s="347">
        <v>28890</v>
      </c>
      <c r="X22" s="353">
        <v>2328</v>
      </c>
      <c r="Y22" s="344">
        <f t="shared" si="0"/>
        <v>19808</v>
      </c>
      <c r="Z22" s="351">
        <f t="shared" si="3"/>
        <v>53963</v>
      </c>
      <c r="AA22" s="352">
        <f t="shared" si="1"/>
        <v>73771</v>
      </c>
      <c r="AB22" s="348">
        <v>34444</v>
      </c>
      <c r="AC22" s="353">
        <v>32407</v>
      </c>
      <c r="AD22" s="353">
        <v>20498</v>
      </c>
      <c r="AE22" s="352">
        <f t="shared" si="4"/>
        <v>87349</v>
      </c>
      <c r="AG22" s="219"/>
    </row>
    <row r="23" spans="1:33" ht="17.149999999999999" customHeight="1">
      <c r="A23" s="60">
        <f t="shared" si="2"/>
        <v>45003</v>
      </c>
      <c r="B23" s="346">
        <v>1774</v>
      </c>
      <c r="C23" s="347">
        <v>8863</v>
      </c>
      <c r="D23" s="347">
        <v>11772</v>
      </c>
      <c r="E23" s="348"/>
      <c r="F23" s="347"/>
      <c r="G23" s="348"/>
      <c r="H23" s="348">
        <v>0</v>
      </c>
      <c r="I23" s="347">
        <v>1748</v>
      </c>
      <c r="J23" s="349">
        <v>22339</v>
      </c>
      <c r="K23" s="347"/>
      <c r="L23" s="347"/>
      <c r="M23" s="347"/>
      <c r="N23" s="347"/>
      <c r="O23" s="347"/>
      <c r="P23" s="347"/>
      <c r="Q23" s="347"/>
      <c r="R23" s="347"/>
      <c r="S23" s="347"/>
      <c r="T23" s="347"/>
      <c r="U23" s="347">
        <v>0</v>
      </c>
      <c r="V23" s="347"/>
      <c r="W23" s="347">
        <v>33990</v>
      </c>
      <c r="X23" s="353">
        <v>3018</v>
      </c>
      <c r="Y23" s="344">
        <f t="shared" si="0"/>
        <v>25427</v>
      </c>
      <c r="Z23" s="351">
        <f t="shared" si="3"/>
        <v>58077</v>
      </c>
      <c r="AA23" s="352">
        <f t="shared" si="1"/>
        <v>83504</v>
      </c>
      <c r="AB23" s="348">
        <v>27037</v>
      </c>
      <c r="AC23" s="353">
        <v>26036</v>
      </c>
      <c r="AD23" s="353">
        <v>18094</v>
      </c>
      <c r="AE23" s="352">
        <f t="shared" si="4"/>
        <v>71167</v>
      </c>
      <c r="AG23" s="219"/>
    </row>
    <row r="24" spans="1:33" ht="17.149999999999999" customHeight="1">
      <c r="A24" s="60">
        <f t="shared" si="2"/>
        <v>45004</v>
      </c>
      <c r="B24" s="346">
        <v>2725</v>
      </c>
      <c r="C24" s="347">
        <v>7181</v>
      </c>
      <c r="D24" s="347">
        <v>12657</v>
      </c>
      <c r="E24" s="348"/>
      <c r="F24" s="347"/>
      <c r="G24" s="348"/>
      <c r="H24" s="348">
        <v>1006</v>
      </c>
      <c r="I24" s="347">
        <v>0</v>
      </c>
      <c r="J24" s="349">
        <v>21411</v>
      </c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>
        <v>0</v>
      </c>
      <c r="V24" s="347"/>
      <c r="W24" s="347">
        <v>30235</v>
      </c>
      <c r="X24" s="353">
        <v>2405</v>
      </c>
      <c r="Y24" s="344">
        <f t="shared" si="0"/>
        <v>25974</v>
      </c>
      <c r="Z24" s="351">
        <f t="shared" si="3"/>
        <v>51646</v>
      </c>
      <c r="AA24" s="352">
        <f t="shared" si="1"/>
        <v>77620</v>
      </c>
      <c r="AB24" s="348">
        <v>30519</v>
      </c>
      <c r="AC24" s="353">
        <v>27016</v>
      </c>
      <c r="AD24" s="353">
        <v>16992</v>
      </c>
      <c r="AE24" s="352">
        <f t="shared" si="4"/>
        <v>74527</v>
      </c>
      <c r="AG24" s="219"/>
    </row>
    <row r="25" spans="1:33" ht="17.149999999999999" customHeight="1">
      <c r="A25" s="60">
        <f t="shared" si="2"/>
        <v>45005</v>
      </c>
      <c r="B25" s="346">
        <v>2592</v>
      </c>
      <c r="C25" s="347">
        <v>3871</v>
      </c>
      <c r="D25" s="347">
        <v>6469</v>
      </c>
      <c r="E25" s="346"/>
      <c r="F25" s="347"/>
      <c r="G25" s="348"/>
      <c r="H25" s="348">
        <v>587</v>
      </c>
      <c r="I25" s="347">
        <v>0</v>
      </c>
      <c r="J25" s="349">
        <v>15101</v>
      </c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>
        <v>0</v>
      </c>
      <c r="V25" s="347"/>
      <c r="W25" s="347">
        <v>29805</v>
      </c>
      <c r="X25" s="353">
        <v>1805</v>
      </c>
      <c r="Y25" s="344">
        <f t="shared" si="0"/>
        <v>15324</v>
      </c>
      <c r="Z25" s="351">
        <f t="shared" si="3"/>
        <v>44906</v>
      </c>
      <c r="AA25" s="352">
        <f t="shared" si="1"/>
        <v>60230</v>
      </c>
      <c r="AB25" s="348">
        <v>37974</v>
      </c>
      <c r="AC25" s="353">
        <v>36128</v>
      </c>
      <c r="AD25" s="353">
        <v>23875</v>
      </c>
      <c r="AE25" s="352">
        <f t="shared" si="4"/>
        <v>97977</v>
      </c>
      <c r="AG25" s="219"/>
    </row>
    <row r="26" spans="1:33" ht="17.149999999999999" customHeight="1">
      <c r="A26" s="60">
        <f t="shared" si="2"/>
        <v>45006</v>
      </c>
      <c r="B26" s="346">
        <v>1401</v>
      </c>
      <c r="C26" s="347">
        <v>4743</v>
      </c>
      <c r="D26" s="357">
        <v>5413</v>
      </c>
      <c r="E26" s="347"/>
      <c r="F26" s="347"/>
      <c r="G26" s="348"/>
      <c r="H26" s="348">
        <v>716</v>
      </c>
      <c r="I26" s="347">
        <v>0</v>
      </c>
      <c r="J26" s="349">
        <v>19322</v>
      </c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>
        <v>0</v>
      </c>
      <c r="V26" s="347"/>
      <c r="W26" s="347">
        <v>25350</v>
      </c>
      <c r="X26" s="353">
        <v>1675</v>
      </c>
      <c r="Y26" s="344">
        <f t="shared" si="0"/>
        <v>13948</v>
      </c>
      <c r="Z26" s="351">
        <f t="shared" si="3"/>
        <v>44672</v>
      </c>
      <c r="AA26" s="352">
        <f t="shared" si="1"/>
        <v>58620</v>
      </c>
      <c r="AB26" s="348">
        <v>31248</v>
      </c>
      <c r="AC26" s="353">
        <v>31447</v>
      </c>
      <c r="AD26" s="353">
        <v>20614</v>
      </c>
      <c r="AE26" s="352">
        <f t="shared" si="4"/>
        <v>83309</v>
      </c>
      <c r="AG26" s="219"/>
    </row>
    <row r="27" spans="1:33" ht="17.149999999999999" customHeight="1">
      <c r="A27" s="60">
        <f t="shared" si="2"/>
        <v>45007</v>
      </c>
      <c r="B27" s="346">
        <v>1004</v>
      </c>
      <c r="C27" s="347">
        <v>3496</v>
      </c>
      <c r="D27" s="347">
        <v>5545</v>
      </c>
      <c r="E27" s="346"/>
      <c r="F27" s="347"/>
      <c r="G27" s="348"/>
      <c r="H27" s="348">
        <v>0</v>
      </c>
      <c r="I27" s="347">
        <v>0</v>
      </c>
      <c r="J27" s="349">
        <v>13723</v>
      </c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>
        <v>0</v>
      </c>
      <c r="V27" s="347"/>
      <c r="W27" s="347">
        <v>19395</v>
      </c>
      <c r="X27" s="353">
        <v>1526</v>
      </c>
      <c r="Y27" s="344">
        <f>SUM(B27:H27,X27)</f>
        <v>11571</v>
      </c>
      <c r="Z27" s="351">
        <f t="shared" si="3"/>
        <v>33118</v>
      </c>
      <c r="AA27" s="352">
        <f>SUM(B27:X27)</f>
        <v>44689</v>
      </c>
      <c r="AB27" s="348">
        <v>17065</v>
      </c>
      <c r="AC27" s="353">
        <v>16681</v>
      </c>
      <c r="AD27" s="353">
        <v>15612</v>
      </c>
      <c r="AE27" s="352">
        <f t="shared" si="4"/>
        <v>49358</v>
      </c>
      <c r="AG27" s="219"/>
    </row>
    <row r="28" spans="1:33" ht="17.149999999999999" customHeight="1">
      <c r="A28" s="60">
        <f t="shared" si="2"/>
        <v>45008</v>
      </c>
      <c r="B28" s="346">
        <v>2564</v>
      </c>
      <c r="C28" s="347">
        <v>7178</v>
      </c>
      <c r="D28" s="347">
        <v>8207</v>
      </c>
      <c r="E28" s="347"/>
      <c r="F28" s="348"/>
      <c r="G28" s="348"/>
      <c r="H28" s="348">
        <v>0</v>
      </c>
      <c r="I28" s="347">
        <v>0</v>
      </c>
      <c r="J28" s="349">
        <v>22757</v>
      </c>
      <c r="K28" s="347"/>
      <c r="L28" s="347"/>
      <c r="M28" s="347"/>
      <c r="N28" s="347"/>
      <c r="O28" s="347"/>
      <c r="P28" s="347"/>
      <c r="Q28" s="347"/>
      <c r="R28" s="347"/>
      <c r="S28" s="347"/>
      <c r="T28" s="347"/>
      <c r="U28" s="347">
        <v>0</v>
      </c>
      <c r="V28" s="347"/>
      <c r="W28" s="347">
        <v>38070</v>
      </c>
      <c r="X28" s="353">
        <v>1864</v>
      </c>
      <c r="Y28" s="344">
        <f t="shared" si="0"/>
        <v>19813</v>
      </c>
      <c r="Z28" s="351">
        <f t="shared" si="3"/>
        <v>60827</v>
      </c>
      <c r="AA28" s="352">
        <f t="shared" si="1"/>
        <v>80640</v>
      </c>
      <c r="AB28" s="348">
        <v>18620</v>
      </c>
      <c r="AC28" s="353">
        <v>17763</v>
      </c>
      <c r="AD28" s="353">
        <v>12456</v>
      </c>
      <c r="AE28" s="352">
        <f t="shared" si="4"/>
        <v>48839</v>
      </c>
      <c r="AG28" s="219"/>
    </row>
    <row r="29" spans="1:33" ht="17.149999999999999" customHeight="1">
      <c r="A29" s="60">
        <f t="shared" si="2"/>
        <v>45009</v>
      </c>
      <c r="B29" s="346">
        <v>1243</v>
      </c>
      <c r="C29" s="347">
        <v>8070</v>
      </c>
      <c r="D29" s="347">
        <v>7485</v>
      </c>
      <c r="E29" s="346"/>
      <c r="F29" s="347"/>
      <c r="G29" s="348"/>
      <c r="H29" s="348">
        <v>1035</v>
      </c>
      <c r="I29" s="347">
        <v>0</v>
      </c>
      <c r="J29" s="349">
        <v>22765</v>
      </c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>
        <v>0</v>
      </c>
      <c r="V29" s="347"/>
      <c r="W29" s="347">
        <v>35374</v>
      </c>
      <c r="X29" s="353">
        <v>1844</v>
      </c>
      <c r="Y29" s="344">
        <f t="shared" si="0"/>
        <v>19677</v>
      </c>
      <c r="Z29" s="351">
        <f t="shared" si="3"/>
        <v>58139</v>
      </c>
      <c r="AA29" s="352">
        <f t="shared" si="1"/>
        <v>77816</v>
      </c>
      <c r="AB29" s="348">
        <v>27632</v>
      </c>
      <c r="AC29" s="353">
        <v>29887</v>
      </c>
      <c r="AD29" s="353">
        <v>18788</v>
      </c>
      <c r="AE29" s="352">
        <f t="shared" si="4"/>
        <v>76307</v>
      </c>
      <c r="AG29" s="219"/>
    </row>
    <row r="30" spans="1:33" ht="17.149999999999999" customHeight="1">
      <c r="A30" s="60">
        <f t="shared" si="2"/>
        <v>45010</v>
      </c>
      <c r="B30" s="346">
        <v>2726</v>
      </c>
      <c r="C30" s="347">
        <v>8382</v>
      </c>
      <c r="D30" s="346">
        <v>15120</v>
      </c>
      <c r="E30" s="346"/>
      <c r="F30" s="346"/>
      <c r="G30" s="346"/>
      <c r="H30" s="346">
        <v>0</v>
      </c>
      <c r="I30" s="347">
        <v>1430</v>
      </c>
      <c r="J30" s="349">
        <v>27603</v>
      </c>
      <c r="K30" s="347"/>
      <c r="L30" s="349"/>
      <c r="M30" s="349"/>
      <c r="N30" s="349"/>
      <c r="O30" s="347"/>
      <c r="P30" s="349"/>
      <c r="Q30" s="349"/>
      <c r="R30" s="349"/>
      <c r="S30" s="349"/>
      <c r="T30" s="349"/>
      <c r="U30" s="349">
        <v>0</v>
      </c>
      <c r="V30" s="349"/>
      <c r="W30" s="349">
        <v>38193</v>
      </c>
      <c r="X30" s="349">
        <v>2707</v>
      </c>
      <c r="Y30" s="344">
        <f t="shared" si="0"/>
        <v>28935</v>
      </c>
      <c r="Z30" s="351">
        <f t="shared" si="3"/>
        <v>67226</v>
      </c>
      <c r="AA30" s="352">
        <f t="shared" si="1"/>
        <v>96161</v>
      </c>
      <c r="AB30" s="348">
        <v>38084</v>
      </c>
      <c r="AC30" s="349">
        <v>32165</v>
      </c>
      <c r="AD30" s="348">
        <v>21665</v>
      </c>
      <c r="AE30" s="352">
        <f t="shared" si="4"/>
        <v>91914</v>
      </c>
      <c r="AG30" s="219"/>
    </row>
    <row r="31" spans="1:33" ht="17.149999999999999" customHeight="1">
      <c r="A31" s="60">
        <f t="shared" si="2"/>
        <v>45011</v>
      </c>
      <c r="B31" s="350">
        <v>4584</v>
      </c>
      <c r="C31" s="347">
        <v>7727</v>
      </c>
      <c r="D31" s="346">
        <v>19322</v>
      </c>
      <c r="E31" s="346"/>
      <c r="F31" s="346"/>
      <c r="G31" s="346"/>
      <c r="H31" s="346">
        <v>475</v>
      </c>
      <c r="I31" s="347">
        <v>1906</v>
      </c>
      <c r="J31" s="349">
        <v>29912</v>
      </c>
      <c r="K31" s="347"/>
      <c r="L31" s="346"/>
      <c r="M31" s="346"/>
      <c r="N31" s="346"/>
      <c r="O31" s="347"/>
      <c r="P31" s="346"/>
      <c r="Q31" s="346"/>
      <c r="R31" s="346"/>
      <c r="S31" s="346"/>
      <c r="T31" s="346"/>
      <c r="U31" s="346">
        <v>0</v>
      </c>
      <c r="V31" s="346"/>
      <c r="W31" s="346">
        <v>39453</v>
      </c>
      <c r="X31" s="346">
        <v>4892</v>
      </c>
      <c r="Y31" s="344">
        <f t="shared" si="0"/>
        <v>37000</v>
      </c>
      <c r="Z31" s="351">
        <f t="shared" si="3"/>
        <v>71271</v>
      </c>
      <c r="AA31" s="352">
        <f t="shared" si="1"/>
        <v>108271</v>
      </c>
      <c r="AB31" s="348">
        <v>27513</v>
      </c>
      <c r="AC31" s="346">
        <v>24731</v>
      </c>
      <c r="AD31" s="350">
        <v>12499</v>
      </c>
      <c r="AE31" s="352">
        <f t="shared" si="4"/>
        <v>64743</v>
      </c>
      <c r="AG31" s="219"/>
    </row>
    <row r="32" spans="1:33" ht="17.149999999999999" customHeight="1">
      <c r="A32" s="60">
        <f t="shared" si="2"/>
        <v>45012</v>
      </c>
      <c r="B32" s="346">
        <v>3309</v>
      </c>
      <c r="C32" s="347">
        <v>4610</v>
      </c>
      <c r="D32" s="347">
        <v>13092</v>
      </c>
      <c r="E32" s="346"/>
      <c r="F32" s="347"/>
      <c r="G32" s="348"/>
      <c r="H32" s="348">
        <v>0</v>
      </c>
      <c r="I32" s="347">
        <v>0</v>
      </c>
      <c r="J32" s="349">
        <v>26341</v>
      </c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>
        <v>0</v>
      </c>
      <c r="V32" s="347"/>
      <c r="W32" s="347">
        <v>29253</v>
      </c>
      <c r="X32" s="353">
        <v>3587</v>
      </c>
      <c r="Y32" s="344">
        <f t="shared" si="0"/>
        <v>24598</v>
      </c>
      <c r="Z32" s="351">
        <f t="shared" si="3"/>
        <v>55594</v>
      </c>
      <c r="AA32" s="352">
        <f t="shared" si="1"/>
        <v>80192</v>
      </c>
      <c r="AB32" s="348">
        <v>43760</v>
      </c>
      <c r="AC32" s="353">
        <v>36976</v>
      </c>
      <c r="AD32" s="353">
        <v>17599</v>
      </c>
      <c r="AE32" s="352">
        <f t="shared" si="4"/>
        <v>98335</v>
      </c>
      <c r="AG32" s="219"/>
    </row>
    <row r="33" spans="1:34" ht="17.149999999999999" customHeight="1">
      <c r="A33" s="60">
        <f t="shared" si="2"/>
        <v>45013</v>
      </c>
      <c r="B33" s="346">
        <v>4875</v>
      </c>
      <c r="C33" s="347">
        <v>6677</v>
      </c>
      <c r="D33" s="358">
        <v>14420</v>
      </c>
      <c r="E33" s="346"/>
      <c r="F33" s="347"/>
      <c r="G33" s="348"/>
      <c r="H33" s="348">
        <v>0</v>
      </c>
      <c r="I33" s="347">
        <v>0</v>
      </c>
      <c r="J33" s="349">
        <v>25017</v>
      </c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>
        <v>0</v>
      </c>
      <c r="V33" s="347"/>
      <c r="W33" s="347">
        <v>33348</v>
      </c>
      <c r="X33" s="353">
        <v>4218</v>
      </c>
      <c r="Y33" s="344">
        <f t="shared" si="0"/>
        <v>30190</v>
      </c>
      <c r="Z33" s="351">
        <f t="shared" si="3"/>
        <v>58365</v>
      </c>
      <c r="AA33" s="352">
        <f t="shared" si="1"/>
        <v>88555</v>
      </c>
      <c r="AB33" s="348">
        <v>40140</v>
      </c>
      <c r="AC33" s="353">
        <v>36614</v>
      </c>
      <c r="AD33" s="353">
        <v>18449</v>
      </c>
      <c r="AE33" s="352">
        <f t="shared" si="4"/>
        <v>95203</v>
      </c>
      <c r="AG33" s="219"/>
    </row>
    <row r="34" spans="1:34" ht="17.149999999999999" customHeight="1">
      <c r="A34" s="60">
        <f t="shared" si="2"/>
        <v>45014</v>
      </c>
      <c r="B34" s="346">
        <v>7446</v>
      </c>
      <c r="C34" s="347">
        <v>10174</v>
      </c>
      <c r="D34" s="347">
        <v>19375</v>
      </c>
      <c r="E34" s="346"/>
      <c r="F34" s="347"/>
      <c r="G34" s="348"/>
      <c r="H34" s="348">
        <v>1242</v>
      </c>
      <c r="I34" s="347">
        <v>0</v>
      </c>
      <c r="J34" s="349">
        <v>30227</v>
      </c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>
        <v>0</v>
      </c>
      <c r="V34" s="347"/>
      <c r="W34" s="347">
        <v>32825</v>
      </c>
      <c r="X34" s="350">
        <v>4343</v>
      </c>
      <c r="Y34" s="344">
        <f t="shared" si="0"/>
        <v>42580</v>
      </c>
      <c r="Z34" s="351">
        <f t="shared" si="3"/>
        <v>63052</v>
      </c>
      <c r="AA34" s="352">
        <f t="shared" si="1"/>
        <v>105632</v>
      </c>
      <c r="AB34" s="348">
        <v>38813</v>
      </c>
      <c r="AC34" s="350">
        <v>36374</v>
      </c>
      <c r="AD34" s="350">
        <v>17673</v>
      </c>
      <c r="AE34" s="352">
        <f t="shared" si="4"/>
        <v>92860</v>
      </c>
      <c r="AG34" s="219"/>
    </row>
    <row r="35" spans="1:34" ht="17.149999999999999" customHeight="1">
      <c r="A35" s="60">
        <f t="shared" si="2"/>
        <v>45015</v>
      </c>
      <c r="B35" s="346">
        <v>4583</v>
      </c>
      <c r="C35" s="347">
        <v>7295</v>
      </c>
      <c r="D35" s="347">
        <v>18532</v>
      </c>
      <c r="E35" s="346"/>
      <c r="F35" s="347"/>
      <c r="G35" s="359"/>
      <c r="H35" s="359">
        <v>1084</v>
      </c>
      <c r="I35" s="347">
        <v>0</v>
      </c>
      <c r="J35" s="349">
        <v>24686</v>
      </c>
      <c r="K35" s="347"/>
      <c r="L35" s="357"/>
      <c r="M35" s="357"/>
      <c r="N35" s="357"/>
      <c r="O35" s="347"/>
      <c r="P35" s="357"/>
      <c r="Q35" s="357"/>
      <c r="R35" s="357"/>
      <c r="S35" s="357"/>
      <c r="T35" s="357"/>
      <c r="U35" s="357">
        <v>0</v>
      </c>
      <c r="V35" s="357"/>
      <c r="W35" s="357">
        <v>22249</v>
      </c>
      <c r="X35" s="360">
        <v>3353</v>
      </c>
      <c r="Y35" s="344">
        <f t="shared" si="0"/>
        <v>34847</v>
      </c>
      <c r="Z35" s="351">
        <f t="shared" si="3"/>
        <v>46935</v>
      </c>
      <c r="AA35" s="352">
        <f t="shared" si="1"/>
        <v>81782</v>
      </c>
      <c r="AB35" s="348">
        <v>35689</v>
      </c>
      <c r="AC35" s="360">
        <v>33976</v>
      </c>
      <c r="AD35" s="360">
        <v>17015</v>
      </c>
      <c r="AE35" s="352">
        <f t="shared" si="4"/>
        <v>86680</v>
      </c>
      <c r="AG35" s="219"/>
    </row>
    <row r="36" spans="1:34" ht="17.149999999999999" customHeight="1">
      <c r="A36" s="61">
        <f t="shared" si="2"/>
        <v>45016</v>
      </c>
      <c r="B36" s="361">
        <v>1880.2999999999988</v>
      </c>
      <c r="C36" s="357">
        <v>3759.1999999999994</v>
      </c>
      <c r="D36" s="357">
        <v>7216.1</v>
      </c>
      <c r="E36" s="361"/>
      <c r="F36" s="357"/>
      <c r="G36" s="359"/>
      <c r="H36" s="359">
        <v>608.9</v>
      </c>
      <c r="I36" s="357">
        <v>0</v>
      </c>
      <c r="J36" s="349">
        <v>13823.799999999994</v>
      </c>
      <c r="K36" s="347"/>
      <c r="L36" s="357"/>
      <c r="M36" s="357"/>
      <c r="N36" s="357"/>
      <c r="O36" s="347"/>
      <c r="P36" s="357"/>
      <c r="Q36" s="357"/>
      <c r="R36" s="357"/>
      <c r="S36" s="357"/>
      <c r="T36" s="357"/>
      <c r="U36" s="357">
        <v>0</v>
      </c>
      <c r="V36" s="357"/>
      <c r="W36" s="357">
        <v>26927.599999999973</v>
      </c>
      <c r="X36" s="360">
        <v>1102.2</v>
      </c>
      <c r="Y36" s="344">
        <f t="shared" si="0"/>
        <v>14566.699999999999</v>
      </c>
      <c r="Z36" s="351">
        <f t="shared" si="3"/>
        <v>40751.399999999965</v>
      </c>
      <c r="AA36" s="362">
        <f t="shared" si="1"/>
        <v>55318.099999999962</v>
      </c>
      <c r="AB36" s="348">
        <v>31845</v>
      </c>
      <c r="AC36" s="360">
        <v>33127</v>
      </c>
      <c r="AD36" s="360">
        <v>19757</v>
      </c>
      <c r="AE36" s="362">
        <f t="shared" si="4"/>
        <v>84729</v>
      </c>
      <c r="AG36" s="219"/>
    </row>
    <row r="37" spans="1:34" s="14" customFormat="1" ht="17.149999999999999" customHeight="1">
      <c r="A37" s="71" t="s">
        <v>38</v>
      </c>
      <c r="B37" s="363">
        <f>SUM(B6:B36)</f>
        <v>73383.3</v>
      </c>
      <c r="C37" s="363">
        <f>SUM(C6:C36)</f>
        <v>167084.20000000001</v>
      </c>
      <c r="D37" s="363">
        <f>SUM(D6:D36)</f>
        <v>319948.09999999998</v>
      </c>
      <c r="E37" s="363"/>
      <c r="F37" s="363"/>
      <c r="G37" s="363"/>
      <c r="H37" s="363">
        <f t="shared" ref="H37:AE37" si="5">SUM(H6:H36)</f>
        <v>34542.9</v>
      </c>
      <c r="I37" s="363">
        <f>SUM(I6:I36)</f>
        <v>7388</v>
      </c>
      <c r="J37" s="364">
        <f>SUM(J6:J36)</f>
        <v>657249.80000000005</v>
      </c>
      <c r="K37" s="364">
        <f t="shared" si="5"/>
        <v>0</v>
      </c>
      <c r="L37" s="365">
        <f>SUM(L6:L36)</f>
        <v>0</v>
      </c>
      <c r="M37" s="365">
        <f>SUM(M6:M36)</f>
        <v>0</v>
      </c>
      <c r="N37" s="366">
        <f t="shared" si="5"/>
        <v>0</v>
      </c>
      <c r="O37" s="366">
        <f t="shared" si="5"/>
        <v>0</v>
      </c>
      <c r="P37" s="367">
        <f>SUM(P6:P36)</f>
        <v>0</v>
      </c>
      <c r="Q37" s="367">
        <f>SUM(Q6:Q36)</f>
        <v>0</v>
      </c>
      <c r="R37" s="367">
        <f>SUM(R6:R36)</f>
        <v>0</v>
      </c>
      <c r="S37" s="367">
        <f>SUM(S6:S36)</f>
        <v>0</v>
      </c>
      <c r="T37" s="368">
        <f t="shared" si="5"/>
        <v>0</v>
      </c>
      <c r="U37" s="368">
        <f t="shared" si="5"/>
        <v>0</v>
      </c>
      <c r="V37" s="368">
        <f>SUM(V6:V36)</f>
        <v>0</v>
      </c>
      <c r="W37" s="368">
        <f>SUM(W6:W36)</f>
        <v>893968.6</v>
      </c>
      <c r="X37" s="369">
        <f>SUM(X6:X36)</f>
        <v>73278.2</v>
      </c>
      <c r="Y37" s="370">
        <f>SUM(Y6:Y36)</f>
        <v>668236.69999999995</v>
      </c>
      <c r="Z37" s="371">
        <f>SUM(Z6:Z36)</f>
        <v>1558606.4</v>
      </c>
      <c r="AA37" s="372">
        <f t="shared" si="5"/>
        <v>2226843.1</v>
      </c>
      <c r="AB37" s="373">
        <f t="shared" si="5"/>
        <v>950750</v>
      </c>
      <c r="AC37" s="374">
        <f t="shared" si="5"/>
        <v>856888</v>
      </c>
      <c r="AD37" s="374">
        <f t="shared" si="5"/>
        <v>524831</v>
      </c>
      <c r="AE37" s="375">
        <f t="shared" si="5"/>
        <v>2332469</v>
      </c>
      <c r="AG37" s="234"/>
    </row>
    <row r="38" spans="1:34" s="14" customFormat="1" ht="17.149999999999999" customHeight="1">
      <c r="A38" s="71" t="s">
        <v>86</v>
      </c>
      <c r="B38" s="376">
        <v>50000</v>
      </c>
      <c r="C38" s="363">
        <v>160000</v>
      </c>
      <c r="D38" s="377">
        <v>250000</v>
      </c>
      <c r="E38" s="363"/>
      <c r="F38" s="363"/>
      <c r="G38" s="363"/>
      <c r="H38" s="363">
        <v>70000</v>
      </c>
      <c r="I38" s="376">
        <v>75000</v>
      </c>
      <c r="J38" s="378">
        <v>700000</v>
      </c>
      <c r="K38" s="379"/>
      <c r="L38" s="379"/>
      <c r="M38" s="379"/>
      <c r="N38" s="379"/>
      <c r="O38" s="379"/>
      <c r="P38" s="367"/>
      <c r="Q38" s="367"/>
      <c r="R38" s="367"/>
      <c r="S38" s="367"/>
      <c r="T38" s="368"/>
      <c r="U38" s="368">
        <v>120000</v>
      </c>
      <c r="V38" s="368"/>
      <c r="W38" s="368">
        <v>1080000</v>
      </c>
      <c r="X38" s="369">
        <v>70000</v>
      </c>
      <c r="Y38" s="370">
        <f>SUM(B38:H38,X38)</f>
        <v>600000</v>
      </c>
      <c r="Z38" s="371">
        <f t="shared" ref="Z38" si="6">SUM(I38:W38)</f>
        <v>1975000</v>
      </c>
      <c r="AA38" s="372">
        <f>+Y38+Z38</f>
        <v>2575000</v>
      </c>
      <c r="AB38" s="373">
        <v>1020000</v>
      </c>
      <c r="AC38" s="374">
        <v>1020000</v>
      </c>
      <c r="AD38" s="374">
        <v>560000</v>
      </c>
      <c r="AE38" s="375">
        <f>SUM(AB38:AD38)</f>
        <v>2600000</v>
      </c>
      <c r="AG38" s="234"/>
    </row>
    <row r="39" spans="1:34" s="14" customFormat="1" ht="17.149999999999999" customHeight="1" thickBot="1">
      <c r="A39" s="80" t="s">
        <v>144</v>
      </c>
      <c r="B39" s="380">
        <f>SUM(B37)-B38</f>
        <v>23383.300000000003</v>
      </c>
      <c r="C39" s="381">
        <f>C37-C38</f>
        <v>7084.2000000000116</v>
      </c>
      <c r="D39" s="380">
        <f>SUM(D37:G37)-D38</f>
        <v>69948.099999999977</v>
      </c>
      <c r="E39" s="381"/>
      <c r="F39" s="381"/>
      <c r="G39" s="381"/>
      <c r="H39" s="381">
        <f>+H37-H38</f>
        <v>-35457.1</v>
      </c>
      <c r="I39" s="380">
        <f>I37-I38</f>
        <v>-67612</v>
      </c>
      <c r="J39" s="382">
        <f>SUM(J37:U37)-J38</f>
        <v>-42750.199999999953</v>
      </c>
      <c r="K39" s="383"/>
      <c r="L39" s="383"/>
      <c r="M39" s="383"/>
      <c r="N39" s="383"/>
      <c r="O39" s="383"/>
      <c r="P39" s="384"/>
      <c r="Q39" s="384"/>
      <c r="R39" s="384"/>
      <c r="S39" s="384"/>
      <c r="T39" s="385"/>
      <c r="U39" s="385">
        <f t="shared" ref="U39:W39" si="7">+U37-U38</f>
        <v>-120000</v>
      </c>
      <c r="V39" s="385">
        <f t="shared" si="7"/>
        <v>0</v>
      </c>
      <c r="W39" s="385">
        <f t="shared" si="7"/>
        <v>-186031.40000000002</v>
      </c>
      <c r="X39" s="386">
        <f>(X37)-X38</f>
        <v>3278.1999999999971</v>
      </c>
      <c r="Y39" s="387">
        <f>Y37-Y38</f>
        <v>68236.699999999953</v>
      </c>
      <c r="Z39" s="388">
        <f>Z37-Z38</f>
        <v>-416393.60000000009</v>
      </c>
      <c r="AA39" s="389">
        <f>AA37-AA38</f>
        <v>-348156.89999999991</v>
      </c>
      <c r="AB39" s="390">
        <f t="shared" ref="AB39:AE39" si="8">AB37-AB38</f>
        <v>-69250</v>
      </c>
      <c r="AC39" s="391">
        <f t="shared" si="8"/>
        <v>-163112</v>
      </c>
      <c r="AD39" s="391">
        <f t="shared" si="8"/>
        <v>-35169</v>
      </c>
      <c r="AE39" s="392">
        <f t="shared" si="8"/>
        <v>-267531</v>
      </c>
      <c r="AG39" s="234"/>
    </row>
    <row r="40" spans="1:34" ht="17.149999999999999" customHeight="1" thickBot="1">
      <c r="A40" s="40"/>
      <c r="C40" s="7" t="s">
        <v>190</v>
      </c>
      <c r="D40" s="7" t="s">
        <v>191</v>
      </c>
      <c r="AG40" s="219"/>
    </row>
    <row r="41" spans="1:34" ht="17.149999999999999" customHeight="1">
      <c r="A41" s="767" t="s">
        <v>145</v>
      </c>
      <c r="B41" s="768"/>
      <c r="C41" s="36">
        <v>31</v>
      </c>
      <c r="D41" s="36">
        <v>29</v>
      </c>
      <c r="E41" s="229" t="s">
        <v>146</v>
      </c>
      <c r="AG41" s="219"/>
    </row>
    <row r="42" spans="1:34" ht="17.149999999999999" customHeight="1">
      <c r="A42" s="786" t="s">
        <v>147</v>
      </c>
      <c r="B42" s="787"/>
      <c r="C42" s="314">
        <v>31</v>
      </c>
      <c r="D42" s="314">
        <v>29</v>
      </c>
      <c r="E42" s="219" t="s">
        <v>146</v>
      </c>
      <c r="AG42" s="219"/>
    </row>
    <row r="43" spans="1:34" ht="17.149999999999999" customHeight="1" thickBot="1">
      <c r="A43" s="788" t="s">
        <v>148</v>
      </c>
      <c r="B43" s="789"/>
      <c r="C43" s="230">
        <f>+C41-C42</f>
        <v>0</v>
      </c>
      <c r="D43" s="230">
        <f>+D41-D42</f>
        <v>0</v>
      </c>
      <c r="E43" s="231" t="s">
        <v>146</v>
      </c>
      <c r="I43" s="464"/>
      <c r="AG43" s="219"/>
    </row>
    <row r="44" spans="1:34" ht="17.149999999999999" customHeight="1">
      <c r="A44" s="41"/>
      <c r="AG44" s="219"/>
    </row>
    <row r="45" spans="1:34" ht="17.149999999999999" customHeight="1">
      <c r="A45" s="42" t="s">
        <v>149</v>
      </c>
      <c r="AG45" s="219"/>
    </row>
    <row r="46" spans="1:34" ht="17.149999999999999" customHeight="1">
      <c r="A46" s="232" t="s">
        <v>72</v>
      </c>
      <c r="B46" s="233" t="s">
        <v>86</v>
      </c>
      <c r="C46" s="233" t="s">
        <v>99</v>
      </c>
      <c r="D46" s="233" t="s">
        <v>84</v>
      </c>
      <c r="AE46" s="259"/>
      <c r="AF46" s="259"/>
      <c r="AG46" s="234"/>
    </row>
    <row r="47" spans="1:34" ht="17.149999999999999" customHeight="1">
      <c r="A47" s="232" t="s">
        <v>39</v>
      </c>
      <c r="B47" s="393">
        <f>B38/$C$41*$C$42</f>
        <v>50000</v>
      </c>
      <c r="C47" s="393">
        <f>SUM(B37:B37)</f>
        <v>73383.3</v>
      </c>
      <c r="D47" s="393">
        <f t="shared" ref="D47:D59" si="9">+C47-B47</f>
        <v>23383.300000000003</v>
      </c>
      <c r="Q47" s="23"/>
      <c r="X47" s="23"/>
      <c r="Y47" s="23"/>
      <c r="Z47" s="23"/>
      <c r="AA47" s="23"/>
      <c r="AB47" s="23"/>
      <c r="AC47" s="23"/>
      <c r="AG47" s="219"/>
    </row>
    <row r="48" spans="1:34" ht="17.149999999999999" customHeight="1">
      <c r="A48" s="232" t="s">
        <v>40</v>
      </c>
      <c r="B48" s="393">
        <f>(C38/$C$41)*$C$42</f>
        <v>160000</v>
      </c>
      <c r="C48" s="393">
        <f>SUM(C37:C37)</f>
        <v>167084.20000000001</v>
      </c>
      <c r="D48" s="393">
        <f t="shared" si="9"/>
        <v>7084.2000000000116</v>
      </c>
      <c r="L48" s="9"/>
      <c r="M48" s="9"/>
      <c r="N48" s="9"/>
      <c r="O48" s="9"/>
      <c r="P48" s="9"/>
      <c r="Q48" s="790"/>
      <c r="R48" s="790"/>
      <c r="S48" s="790"/>
      <c r="T48" s="790"/>
      <c r="U48" s="790"/>
      <c r="V48" s="790"/>
      <c r="W48" s="790"/>
      <c r="X48" s="790"/>
      <c r="Y48" s="790"/>
      <c r="Z48" s="790"/>
      <c r="AA48" s="790"/>
      <c r="AB48" s="790"/>
      <c r="AC48" s="790"/>
      <c r="AD48" s="235"/>
      <c r="AE48" s="235"/>
      <c r="AF48" s="235"/>
      <c r="AG48" s="236"/>
      <c r="AH48" s="235"/>
    </row>
    <row r="49" spans="1:33" ht="17.149999999999999" customHeight="1">
      <c r="A49" s="232" t="s">
        <v>150</v>
      </c>
      <c r="B49" s="393">
        <f>+(D38/$C$41)*$C$42</f>
        <v>250000</v>
      </c>
      <c r="C49" s="393">
        <f>SUM(D37:G37)</f>
        <v>319948.09999999998</v>
      </c>
      <c r="D49" s="393">
        <f t="shared" si="9"/>
        <v>69948.099999999977</v>
      </c>
      <c r="AG49" s="219"/>
    </row>
    <row r="50" spans="1:33" ht="17.149999999999999" customHeight="1">
      <c r="A50" s="232" t="s">
        <v>87</v>
      </c>
      <c r="B50" s="393">
        <f>+(H38/$C$41)*$C$42</f>
        <v>70000</v>
      </c>
      <c r="C50" s="393">
        <f>SUM(H37)</f>
        <v>34542.9</v>
      </c>
      <c r="D50" s="393">
        <f t="shared" si="9"/>
        <v>-35457.1</v>
      </c>
      <c r="AG50" s="219"/>
    </row>
    <row r="51" spans="1:33" ht="17.149999999999999" customHeight="1">
      <c r="A51" s="250" t="s">
        <v>182</v>
      </c>
      <c r="B51" s="394">
        <f>+(I38/$C$41)*$C$42</f>
        <v>75000</v>
      </c>
      <c r="C51" s="394">
        <f>+I37</f>
        <v>7388</v>
      </c>
      <c r="D51" s="394">
        <f t="shared" si="9"/>
        <v>-67612</v>
      </c>
      <c r="AG51" s="219"/>
    </row>
    <row r="52" spans="1:33" ht="17.149999999999999" customHeight="1">
      <c r="A52" s="232" t="s">
        <v>43</v>
      </c>
      <c r="B52" s="393">
        <f>+(X38/$C$41)*$C$42</f>
        <v>70000</v>
      </c>
      <c r="C52" s="393">
        <f>+X37</f>
        <v>73278.2</v>
      </c>
      <c r="D52" s="393">
        <f t="shared" si="9"/>
        <v>3278.1999999999971</v>
      </c>
      <c r="R52" s="9"/>
      <c r="S52" s="9"/>
      <c r="T52" s="9"/>
      <c r="U52" s="9"/>
      <c r="V52" s="9"/>
      <c r="AG52" s="219"/>
    </row>
    <row r="53" spans="1:33" ht="17.149999999999999" customHeight="1">
      <c r="A53" s="87" t="s">
        <v>151</v>
      </c>
      <c r="B53" s="395">
        <f>SUM(B47:B52)</f>
        <v>675000</v>
      </c>
      <c r="C53" s="395">
        <f>SUM(C47:C52)</f>
        <v>675624.7</v>
      </c>
      <c r="D53" s="395">
        <f t="shared" si="9"/>
        <v>624.69999999995343</v>
      </c>
      <c r="R53" s="9"/>
      <c r="S53" s="9"/>
      <c r="T53" s="9"/>
      <c r="U53" s="9"/>
      <c r="V53" s="9"/>
      <c r="AG53" s="219"/>
    </row>
    <row r="54" spans="1:33" ht="17.149999999999999" customHeight="1">
      <c r="A54" s="232" t="s">
        <v>91</v>
      </c>
      <c r="B54" s="393">
        <f>+(J38/$C$41)*$C$42</f>
        <v>700000</v>
      </c>
      <c r="C54" s="393">
        <f>SUM(J37:S37)</f>
        <v>657249.80000000005</v>
      </c>
      <c r="D54" s="393">
        <f t="shared" si="9"/>
        <v>-42750.199999999953</v>
      </c>
      <c r="R54" s="9"/>
      <c r="S54" s="9"/>
      <c r="T54" s="9"/>
      <c r="U54" s="9"/>
      <c r="V54" s="9"/>
      <c r="AG54" s="219"/>
    </row>
    <row r="55" spans="1:33" ht="17.149999999999999" customHeight="1">
      <c r="A55" s="232" t="s">
        <v>92</v>
      </c>
      <c r="B55" s="393">
        <f>+(U38/$C$41)*$C$42</f>
        <v>120000</v>
      </c>
      <c r="C55" s="393">
        <f>+U37</f>
        <v>0</v>
      </c>
      <c r="D55" s="393">
        <f t="shared" si="9"/>
        <v>-120000</v>
      </c>
      <c r="R55" s="9"/>
      <c r="S55" s="9"/>
      <c r="T55" s="9"/>
      <c r="U55" s="9"/>
      <c r="V55" s="9"/>
      <c r="AG55" s="219"/>
    </row>
    <row r="56" spans="1:33" ht="17.149999999999999" customHeight="1">
      <c r="A56" s="232" t="s">
        <v>188</v>
      </c>
      <c r="B56" s="393"/>
      <c r="C56" s="393"/>
      <c r="D56" s="393"/>
      <c r="R56" s="9"/>
      <c r="S56" s="9"/>
      <c r="T56" s="9"/>
      <c r="U56" s="9"/>
      <c r="V56" s="9"/>
      <c r="AG56" s="219"/>
    </row>
    <row r="57" spans="1:33" ht="17.149999999999999" customHeight="1">
      <c r="A57" s="232" t="s">
        <v>93</v>
      </c>
      <c r="B57" s="393">
        <f>+(W38/$C$41)*$C$42</f>
        <v>1080000</v>
      </c>
      <c r="C57" s="393">
        <f>+W37</f>
        <v>893968.6</v>
      </c>
      <c r="D57" s="393">
        <f t="shared" si="9"/>
        <v>-186031.40000000002</v>
      </c>
      <c r="AG57" s="219"/>
    </row>
    <row r="58" spans="1:33" ht="17.149999999999999" customHeight="1">
      <c r="A58" s="87" t="s">
        <v>152</v>
      </c>
      <c r="B58" s="395">
        <f>SUM(B54:B57)</f>
        <v>1900000</v>
      </c>
      <c r="C58" s="395">
        <f>SUM(C54:C57)</f>
        <v>1551218.4</v>
      </c>
      <c r="D58" s="395">
        <f t="shared" si="9"/>
        <v>-348781.60000000009</v>
      </c>
      <c r="AG58" s="219"/>
    </row>
    <row r="59" spans="1:33" ht="17.149999999999999" customHeight="1">
      <c r="A59" s="87" t="s">
        <v>94</v>
      </c>
      <c r="B59" s="395">
        <f>SUM(B53,B58)</f>
        <v>2575000</v>
      </c>
      <c r="C59" s="395">
        <f>SUM(C53,C58)</f>
        <v>2226843.0999999996</v>
      </c>
      <c r="D59" s="395">
        <f t="shared" si="9"/>
        <v>-348156.90000000037</v>
      </c>
      <c r="AG59" s="219"/>
    </row>
    <row r="60" spans="1:33" ht="17.149999999999999" customHeight="1">
      <c r="A60" s="40"/>
      <c r="B60" s="396"/>
      <c r="C60" s="396"/>
      <c r="D60" s="396"/>
      <c r="AG60" s="219"/>
    </row>
    <row r="61" spans="1:33" ht="17.149999999999999" customHeight="1">
      <c r="A61" s="42" t="s">
        <v>153</v>
      </c>
      <c r="B61" s="396"/>
      <c r="C61" s="396"/>
      <c r="D61" s="396"/>
      <c r="AG61" s="219"/>
    </row>
    <row r="62" spans="1:33" ht="17.149999999999999" customHeight="1">
      <c r="A62" s="232" t="s">
        <v>154</v>
      </c>
      <c r="B62" s="393" t="s">
        <v>86</v>
      </c>
      <c r="C62" s="393" t="s">
        <v>99</v>
      </c>
      <c r="D62" s="393" t="s">
        <v>84</v>
      </c>
      <c r="AG62" s="219"/>
    </row>
    <row r="63" spans="1:33" ht="17.149999999999999" customHeight="1">
      <c r="A63" s="232" t="s">
        <v>51</v>
      </c>
      <c r="B63" s="393">
        <f>SUM(B47:B51)</f>
        <v>605000</v>
      </c>
      <c r="C63" s="393">
        <f>SUM(C47:C51)</f>
        <v>602346.5</v>
      </c>
      <c r="D63" s="393">
        <f>+C63-B63</f>
        <v>-2653.5</v>
      </c>
      <c r="AG63" s="219"/>
    </row>
    <row r="64" spans="1:33" ht="17.149999999999999" customHeight="1">
      <c r="A64" s="232" t="s">
        <v>50</v>
      </c>
      <c r="B64" s="393">
        <f>SUM(B55:B57)</f>
        <v>1200000</v>
      </c>
      <c r="C64" s="393">
        <f>SUM(C55:C57)</f>
        <v>893968.6</v>
      </c>
      <c r="D64" s="393">
        <f>+C64-B64</f>
        <v>-306031.40000000002</v>
      </c>
      <c r="AG64" s="219"/>
    </row>
    <row r="65" spans="1:47" ht="17.149999999999999" customHeight="1">
      <c r="A65" s="232" t="s">
        <v>120</v>
      </c>
      <c r="B65" s="393">
        <f>B54</f>
        <v>700000</v>
      </c>
      <c r="C65" s="393">
        <f>C54</f>
        <v>657249.80000000005</v>
      </c>
      <c r="D65" s="393">
        <f>+C65-B65</f>
        <v>-42750.199999999953</v>
      </c>
      <c r="AG65" s="219"/>
      <c r="AS65" s="30"/>
      <c r="AT65" s="238"/>
      <c r="AU65" s="239"/>
    </row>
    <row r="66" spans="1:47" ht="17.149999999999999" customHeight="1">
      <c r="A66" s="232" t="s">
        <v>55</v>
      </c>
      <c r="B66" s="393">
        <f>SUM(B52)</f>
        <v>70000</v>
      </c>
      <c r="C66" s="393">
        <f>SUM(C52)</f>
        <v>73278.2</v>
      </c>
      <c r="D66" s="393">
        <f>+C66-B66</f>
        <v>3278.1999999999971</v>
      </c>
      <c r="AG66" s="219"/>
      <c r="AS66" s="31"/>
      <c r="AT66" s="238"/>
      <c r="AU66" s="239"/>
    </row>
    <row r="67" spans="1:47" ht="17.149999999999999" customHeight="1">
      <c r="A67" s="87" t="s">
        <v>62</v>
      </c>
      <c r="B67" s="395">
        <f>SUM(B63:B66)</f>
        <v>2575000</v>
      </c>
      <c r="C67" s="395">
        <f>SUM(C63:C66)</f>
        <v>2226843.1000000006</v>
      </c>
      <c r="D67" s="395">
        <f>+C67-B67</f>
        <v>-348156.89999999944</v>
      </c>
      <c r="AG67" s="219"/>
      <c r="AS67" s="240"/>
      <c r="AT67" s="238"/>
      <c r="AU67" s="239"/>
    </row>
    <row r="68" spans="1:47" ht="17.149999999999999" customHeight="1">
      <c r="A68" s="40"/>
      <c r="B68" s="396"/>
      <c r="C68" s="396"/>
      <c r="D68" s="396"/>
      <c r="AG68" s="219"/>
      <c r="AS68" s="241"/>
      <c r="AT68" s="241"/>
      <c r="AU68" s="239"/>
    </row>
    <row r="69" spans="1:47" ht="17.149999999999999" customHeight="1">
      <c r="A69" s="42" t="s">
        <v>155</v>
      </c>
      <c r="B69" s="396"/>
      <c r="C69" s="396"/>
      <c r="D69" s="396"/>
      <c r="AG69" s="219"/>
      <c r="AS69" s="242"/>
      <c r="AT69" s="238"/>
      <c r="AU69" s="239"/>
    </row>
    <row r="70" spans="1:47" ht="15" customHeight="1">
      <c r="A70" s="232" t="s">
        <v>154</v>
      </c>
      <c r="B70" s="393" t="s">
        <v>86</v>
      </c>
      <c r="C70" s="393" t="s">
        <v>99</v>
      </c>
      <c r="D70" s="393" t="s">
        <v>84</v>
      </c>
      <c r="E70" s="243"/>
      <c r="AG70" s="219"/>
    </row>
    <row r="71" spans="1:47" ht="15" customHeight="1">
      <c r="A71" s="232" t="s">
        <v>136</v>
      </c>
      <c r="B71" s="393">
        <f>+(AB38/$D$41)*$D$42</f>
        <v>1020000</v>
      </c>
      <c r="C71" s="393">
        <f>+AB37</f>
        <v>950750</v>
      </c>
      <c r="D71" s="393">
        <f>+C71-B71</f>
        <v>-69250</v>
      </c>
      <c r="E71" s="243"/>
      <c r="AG71" s="219"/>
    </row>
    <row r="72" spans="1:47" ht="15" customHeight="1">
      <c r="A72" s="232" t="s">
        <v>137</v>
      </c>
      <c r="B72" s="393">
        <f>+(AC38/$D$41)*$D$42</f>
        <v>1020000</v>
      </c>
      <c r="C72" s="393">
        <f>+AC37</f>
        <v>856888</v>
      </c>
      <c r="D72" s="393">
        <f>+C72-B72</f>
        <v>-163112</v>
      </c>
      <c r="E72" s="243"/>
      <c r="AG72" s="219"/>
    </row>
    <row r="73" spans="1:47" ht="15" customHeight="1">
      <c r="A73" s="232" t="s">
        <v>53</v>
      </c>
      <c r="B73" s="393">
        <f>+(AD38/$D$41)*$D$42</f>
        <v>560000</v>
      </c>
      <c r="C73" s="393">
        <f>+AD37</f>
        <v>524831</v>
      </c>
      <c r="D73" s="393">
        <f>+C73-B73</f>
        <v>-35169</v>
      </c>
      <c r="E73" s="243"/>
      <c r="AG73" s="219"/>
    </row>
    <row r="74" spans="1:47" ht="15" customHeight="1">
      <c r="A74" s="87" t="s">
        <v>62</v>
      </c>
      <c r="B74" s="395">
        <f>SUM(B71:B73)</f>
        <v>2600000</v>
      </c>
      <c r="C74" s="395">
        <f>SUM(C71:C73)</f>
        <v>2332469</v>
      </c>
      <c r="D74" s="395">
        <f>+C74-B74</f>
        <v>-267531</v>
      </c>
      <c r="E74" s="243"/>
      <c r="Y74" s="29"/>
      <c r="Z74" s="29"/>
      <c r="AA74" s="29"/>
      <c r="AB74" s="29"/>
      <c r="AC74" s="29"/>
      <c r="AE74" s="244"/>
      <c r="AF74" s="244"/>
      <c r="AG74" s="219"/>
    </row>
    <row r="75" spans="1:47" ht="13" thickBot="1">
      <c r="A75" s="245"/>
      <c r="B75" s="246"/>
      <c r="C75" s="246"/>
      <c r="D75" s="246"/>
      <c r="E75" s="246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247"/>
      <c r="Z75" s="247"/>
      <c r="AA75" s="247"/>
      <c r="AB75" s="247"/>
      <c r="AC75" s="247"/>
      <c r="AD75" s="55"/>
      <c r="AE75" s="248"/>
      <c r="AF75" s="248"/>
      <c r="AG75" s="231"/>
    </row>
    <row r="76" spans="1:47" s="9" customFormat="1" ht="13">
      <c r="A76" s="249"/>
      <c r="B76" s="243"/>
      <c r="C76" s="24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29"/>
      <c r="Z76" s="29"/>
      <c r="AA76" s="29"/>
      <c r="AB76" s="29"/>
      <c r="AC76" s="29"/>
      <c r="AD76" s="7"/>
    </row>
    <row r="77" spans="1:47">
      <c r="Y77" s="29"/>
      <c r="Z77" s="29"/>
      <c r="AA77" s="29"/>
      <c r="AB77" s="29"/>
      <c r="AC77" s="29"/>
      <c r="AE77" s="244"/>
      <c r="AF77" s="244"/>
    </row>
    <row r="78" spans="1:47">
      <c r="Y78" s="29"/>
      <c r="Z78" s="29"/>
      <c r="AA78" s="29"/>
      <c r="AB78" s="29"/>
      <c r="AC78" s="29"/>
      <c r="AE78" s="244"/>
      <c r="AF78" s="244"/>
    </row>
    <row r="79" spans="1:47">
      <c r="Y79" s="29"/>
      <c r="Z79" s="29"/>
      <c r="AA79" s="29"/>
      <c r="AB79" s="29"/>
      <c r="AC79" s="29"/>
      <c r="AE79" s="244"/>
      <c r="AF79" s="244"/>
    </row>
    <row r="80" spans="1:47">
      <c r="AE80" s="244"/>
      <c r="AF80" s="244"/>
    </row>
    <row r="81" spans="31:32">
      <c r="AE81" s="244"/>
      <c r="AF81" s="244"/>
    </row>
    <row r="82" spans="31:32">
      <c r="AE82" s="244"/>
      <c r="AF82" s="244"/>
    </row>
    <row r="83" spans="31:32">
      <c r="AE83" s="244"/>
      <c r="AF83" s="244"/>
    </row>
    <row r="84" spans="31:32">
      <c r="AE84" s="244"/>
      <c r="AF84" s="244"/>
    </row>
  </sheetData>
  <mergeCells count="22">
    <mergeCell ref="A1:AG1"/>
    <mergeCell ref="A3:A5"/>
    <mergeCell ref="D3:H3"/>
    <mergeCell ref="I3:W3"/>
    <mergeCell ref="X3:X4"/>
    <mergeCell ref="Y3:Y5"/>
    <mergeCell ref="Z3:Z5"/>
    <mergeCell ref="AA3:AA5"/>
    <mergeCell ref="AB3:AB5"/>
    <mergeCell ref="AC3:AC5"/>
    <mergeCell ref="AD3:AD5"/>
    <mergeCell ref="AE3:AE5"/>
    <mergeCell ref="J4:O4"/>
    <mergeCell ref="R4:S4"/>
    <mergeCell ref="B5:H5"/>
    <mergeCell ref="T5:W5"/>
    <mergeCell ref="A43:B43"/>
    <mergeCell ref="P5:Q5"/>
    <mergeCell ref="R5:S5"/>
    <mergeCell ref="A41:B41"/>
    <mergeCell ref="Q48:AC48"/>
    <mergeCell ref="A42:B42"/>
  </mergeCells>
  <printOptions horizontalCentered="1"/>
  <pageMargins left="0" right="0" top="0" bottom="0" header="0" footer="0"/>
  <pageSetup paperSize="9" scale="43" orientation="landscape" r:id="rId1"/>
  <headerFooter alignWithMargins="0"/>
  <ignoredErrors>
    <ignoredError sqref="Y6:AA36" formulaRange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0D17-AC3A-4657-A4B1-7BC1827C6497}">
  <sheetPr>
    <tabColor rgb="FF92D050"/>
    <pageSetUpPr fitToPage="1"/>
  </sheetPr>
  <dimension ref="A1:AU84"/>
  <sheetViews>
    <sheetView showGridLines="0" view="pageBreakPreview" zoomScale="70" zoomScaleSheetLayoutView="70" workbookViewId="0">
      <pane xSplit="1" ySplit="6" topLeftCell="B7" activePane="bottomRight" state="frozen"/>
      <selection sqref="A1:AH2"/>
      <selection pane="topRight" sqref="A1:AH2"/>
      <selection pane="bottomLeft" sqref="A1:AH2"/>
      <selection pane="bottomRight" sqref="A1:AG1"/>
    </sheetView>
  </sheetViews>
  <sheetFormatPr defaultColWidth="8.81640625" defaultRowHeight="12.5"/>
  <cols>
    <col min="1" max="1" width="10.1796875" style="8" customWidth="1"/>
    <col min="2" max="2" width="13.54296875" style="7" bestFit="1" customWidth="1"/>
    <col min="3" max="3" width="14.81640625" style="7" bestFit="1" customWidth="1"/>
    <col min="4" max="4" width="12.7265625" style="7" customWidth="1"/>
    <col min="5" max="8" width="10.453125" style="7" customWidth="1"/>
    <col min="9" max="9" width="12" style="7" bestFit="1" customWidth="1"/>
    <col min="10" max="10" width="12.453125" style="7" bestFit="1" customWidth="1"/>
    <col min="11" max="15" width="10.453125" style="7" customWidth="1"/>
    <col min="16" max="19" width="10.453125" style="7" hidden="1" customWidth="1"/>
    <col min="20" max="22" width="10.453125" style="7" customWidth="1"/>
    <col min="23" max="23" width="13.1796875" style="7" customWidth="1"/>
    <col min="24" max="24" width="10.453125" style="7" customWidth="1"/>
    <col min="25" max="25" width="12.81640625" style="7" bestFit="1" customWidth="1"/>
    <col min="26" max="26" width="14" style="7" customWidth="1"/>
    <col min="27" max="27" width="14.26953125" style="7" customWidth="1"/>
    <col min="28" max="28" width="13" style="7" bestFit="1" customWidth="1"/>
    <col min="29" max="29" width="13.453125" style="7" bestFit="1" customWidth="1"/>
    <col min="30" max="30" width="12" style="7" bestFit="1" customWidth="1"/>
    <col min="31" max="31" width="14.81640625" style="7" customWidth="1"/>
    <col min="32" max="33" width="0.81640625" style="7" customWidth="1"/>
    <col min="34" max="34" width="11.7265625" style="7" customWidth="1"/>
    <col min="35" max="36" width="8.81640625" style="7"/>
    <col min="37" max="45" width="11.81640625" style="7" customWidth="1"/>
    <col min="46" max="16384" width="8.81640625" style="7"/>
  </cols>
  <sheetData>
    <row r="1" spans="1:33" ht="35.15" customHeight="1">
      <c r="A1" s="761">
        <f>+A6</f>
        <v>45017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3"/>
    </row>
    <row r="2" spans="1:33" ht="25" customHeight="1" thickBot="1">
      <c r="A2" s="40"/>
      <c r="AG2" s="220" t="s">
        <v>127</v>
      </c>
    </row>
    <row r="3" spans="1:33" ht="17.149999999999999" customHeight="1">
      <c r="A3" s="764" t="s">
        <v>128</v>
      </c>
      <c r="B3" s="114" t="s">
        <v>129</v>
      </c>
      <c r="C3" s="114" t="s">
        <v>130</v>
      </c>
      <c r="D3" s="796" t="s">
        <v>131</v>
      </c>
      <c r="E3" s="797"/>
      <c r="F3" s="797"/>
      <c r="G3" s="797"/>
      <c r="H3" s="798"/>
      <c r="I3" s="799" t="s">
        <v>42</v>
      </c>
      <c r="J3" s="800"/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178</v>
      </c>
      <c r="Z3" s="769" t="s">
        <v>179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3" s="9" customFormat="1" ht="17.149999999999999" customHeight="1">
      <c r="A4" s="765"/>
      <c r="B4" s="115" t="s">
        <v>139</v>
      </c>
      <c r="C4" s="115" t="s">
        <v>69</v>
      </c>
      <c r="D4" s="115" t="s">
        <v>166</v>
      </c>
      <c r="E4" s="64"/>
      <c r="F4" s="62"/>
      <c r="G4" s="62"/>
      <c r="H4" s="116" t="s">
        <v>46</v>
      </c>
      <c r="I4" s="115" t="s">
        <v>177</v>
      </c>
      <c r="J4" s="777" t="s">
        <v>184</v>
      </c>
      <c r="K4" s="782"/>
      <c r="L4" s="782"/>
      <c r="M4" s="782"/>
      <c r="N4" s="782"/>
      <c r="O4" s="778"/>
      <c r="P4" s="285"/>
      <c r="Q4" s="286"/>
      <c r="R4" s="777"/>
      <c r="S4" s="778"/>
      <c r="T4" s="284"/>
      <c r="U4" s="254" t="s">
        <v>48</v>
      </c>
      <c r="V4" s="254" t="s">
        <v>140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3" ht="30" customHeight="1" thickBot="1">
      <c r="A5" s="766"/>
      <c r="B5" s="783" t="s">
        <v>51</v>
      </c>
      <c r="C5" s="784"/>
      <c r="D5" s="784"/>
      <c r="E5" s="784"/>
      <c r="F5" s="784"/>
      <c r="G5" s="784"/>
      <c r="H5" s="785"/>
      <c r="I5" s="298" t="s">
        <v>51</v>
      </c>
      <c r="J5" s="310" t="s">
        <v>120</v>
      </c>
      <c r="K5" s="311"/>
      <c r="L5" s="312"/>
      <c r="M5" s="312"/>
      <c r="N5" s="313"/>
      <c r="O5" s="313"/>
      <c r="P5" s="775"/>
      <c r="Q5" s="776"/>
      <c r="R5" s="775"/>
      <c r="S5" s="776"/>
      <c r="T5" s="481"/>
      <c r="U5" s="482" t="s">
        <v>51</v>
      </c>
      <c r="V5" s="482"/>
      <c r="W5" s="483" t="s">
        <v>175</v>
      </c>
      <c r="X5" s="299" t="s">
        <v>55</v>
      </c>
      <c r="Y5" s="793"/>
      <c r="Z5" s="771"/>
      <c r="AA5" s="774"/>
      <c r="AB5" s="757"/>
      <c r="AC5" s="757"/>
      <c r="AD5" s="757"/>
      <c r="AE5" s="760"/>
      <c r="AG5" s="219"/>
    </row>
    <row r="6" spans="1:33" ht="17.149999999999999" customHeight="1">
      <c r="A6" s="124">
        <v>45017</v>
      </c>
      <c r="B6" s="339">
        <v>5640</v>
      </c>
      <c r="C6" s="340">
        <v>10964</v>
      </c>
      <c r="D6" s="340">
        <v>14375</v>
      </c>
      <c r="E6" s="339"/>
      <c r="F6" s="340"/>
      <c r="G6" s="341"/>
      <c r="H6" s="341">
        <v>1402</v>
      </c>
      <c r="I6" s="340">
        <v>0</v>
      </c>
      <c r="J6" s="342">
        <v>26686</v>
      </c>
      <c r="K6" s="343"/>
      <c r="L6" s="340"/>
      <c r="M6" s="342"/>
      <c r="N6" s="341"/>
      <c r="O6" s="341"/>
      <c r="P6" s="340"/>
      <c r="Q6" s="342"/>
      <c r="R6" s="340"/>
      <c r="S6" s="340"/>
      <c r="T6" s="340"/>
      <c r="U6" s="340">
        <v>0</v>
      </c>
      <c r="V6" s="340"/>
      <c r="W6" s="342">
        <v>45044</v>
      </c>
      <c r="X6" s="343">
        <v>2428</v>
      </c>
      <c r="Y6" s="344">
        <f t="shared" ref="Y6:Y36" si="0">SUM(B6:H6,X6)</f>
        <v>34809</v>
      </c>
      <c r="Z6" s="344">
        <f>SUM(I6:W6)</f>
        <v>71730</v>
      </c>
      <c r="AA6" s="345">
        <f t="shared" ref="AA6:AA36" si="1">SUM(B6:X6)</f>
        <v>106539</v>
      </c>
      <c r="AB6" s="341">
        <v>29569</v>
      </c>
      <c r="AC6" s="343">
        <v>32286</v>
      </c>
      <c r="AD6" s="343">
        <v>20037</v>
      </c>
      <c r="AE6" s="345">
        <f>SUM(AB6:AD6)</f>
        <v>81892</v>
      </c>
      <c r="AG6" s="219"/>
    </row>
    <row r="7" spans="1:33" ht="17.149999999999999" customHeight="1">
      <c r="A7" s="60">
        <f t="shared" ref="A7:A35" si="2">+A6+1</f>
        <v>45018</v>
      </c>
      <c r="B7" s="346">
        <v>3974</v>
      </c>
      <c r="C7" s="347">
        <v>5217</v>
      </c>
      <c r="D7" s="347">
        <v>8141</v>
      </c>
      <c r="E7" s="346"/>
      <c r="F7" s="347"/>
      <c r="G7" s="348"/>
      <c r="H7" s="348">
        <v>877</v>
      </c>
      <c r="I7" s="347">
        <v>0</v>
      </c>
      <c r="J7" s="349">
        <v>17781</v>
      </c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347">
        <v>0</v>
      </c>
      <c r="V7" s="347"/>
      <c r="W7" s="347">
        <v>31013</v>
      </c>
      <c r="X7" s="350">
        <v>2842</v>
      </c>
      <c r="Y7" s="344">
        <f t="shared" si="0"/>
        <v>21051</v>
      </c>
      <c r="Z7" s="351">
        <f t="shared" ref="Z7:Z36" si="3">SUM(I7:W7)</f>
        <v>48794</v>
      </c>
      <c r="AA7" s="352">
        <f t="shared" si="1"/>
        <v>69845</v>
      </c>
      <c r="AB7" s="348">
        <v>24638</v>
      </c>
      <c r="AC7" s="350">
        <v>21724</v>
      </c>
      <c r="AD7" s="350">
        <v>14405</v>
      </c>
      <c r="AE7" s="352">
        <f t="shared" ref="AE7:AE36" si="4">SUM(AB7:AD7)</f>
        <v>60767</v>
      </c>
      <c r="AG7" s="219"/>
    </row>
    <row r="8" spans="1:33" ht="17.149999999999999" customHeight="1">
      <c r="A8" s="60">
        <f t="shared" si="2"/>
        <v>45019</v>
      </c>
      <c r="B8" s="346">
        <v>6258</v>
      </c>
      <c r="C8" s="347">
        <v>8421</v>
      </c>
      <c r="D8" s="347">
        <v>12595</v>
      </c>
      <c r="E8" s="346"/>
      <c r="F8" s="347"/>
      <c r="G8" s="348"/>
      <c r="H8" s="348">
        <v>1591</v>
      </c>
      <c r="I8" s="347">
        <v>0</v>
      </c>
      <c r="J8" s="349">
        <v>26608</v>
      </c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>
        <v>0</v>
      </c>
      <c r="V8" s="347"/>
      <c r="W8" s="347">
        <v>31829</v>
      </c>
      <c r="X8" s="353">
        <v>3260</v>
      </c>
      <c r="Y8" s="344">
        <f t="shared" si="0"/>
        <v>32125</v>
      </c>
      <c r="Z8" s="351">
        <f t="shared" si="3"/>
        <v>58437</v>
      </c>
      <c r="AA8" s="352">
        <f t="shared" si="1"/>
        <v>90562</v>
      </c>
      <c r="AB8" s="348">
        <v>36290</v>
      </c>
      <c r="AC8" s="353">
        <v>34089</v>
      </c>
      <c r="AD8" s="353">
        <v>21732</v>
      </c>
      <c r="AE8" s="352">
        <f t="shared" si="4"/>
        <v>92111</v>
      </c>
      <c r="AG8" s="219"/>
    </row>
    <row r="9" spans="1:33" ht="17.149999999999999" customHeight="1">
      <c r="A9" s="60">
        <f t="shared" si="2"/>
        <v>45020</v>
      </c>
      <c r="B9" s="346">
        <v>3659</v>
      </c>
      <c r="C9" s="347">
        <v>7461</v>
      </c>
      <c r="D9" s="347">
        <v>11933</v>
      </c>
      <c r="E9" s="346"/>
      <c r="F9" s="347"/>
      <c r="G9" s="348"/>
      <c r="H9" s="348">
        <v>2704</v>
      </c>
      <c r="I9" s="347">
        <v>0</v>
      </c>
      <c r="J9" s="349">
        <v>31132</v>
      </c>
      <c r="K9" s="347"/>
      <c r="L9" s="347"/>
      <c r="M9" s="347"/>
      <c r="N9" s="347"/>
      <c r="O9" s="347"/>
      <c r="P9" s="347"/>
      <c r="Q9" s="347"/>
      <c r="R9" s="347"/>
      <c r="S9" s="347"/>
      <c r="T9" s="347"/>
      <c r="U9" s="347">
        <v>0</v>
      </c>
      <c r="V9" s="347"/>
      <c r="W9" s="347">
        <v>54268</v>
      </c>
      <c r="X9" s="353">
        <v>2782</v>
      </c>
      <c r="Y9" s="344">
        <f t="shared" si="0"/>
        <v>28539</v>
      </c>
      <c r="Z9" s="351">
        <f t="shared" si="3"/>
        <v>85400</v>
      </c>
      <c r="AA9" s="352">
        <f t="shared" si="1"/>
        <v>113939</v>
      </c>
      <c r="AB9" s="348">
        <v>37729</v>
      </c>
      <c r="AC9" s="353">
        <v>35649</v>
      </c>
      <c r="AD9" s="353">
        <v>21184</v>
      </c>
      <c r="AE9" s="352">
        <f t="shared" si="4"/>
        <v>94562</v>
      </c>
      <c r="AG9" s="219"/>
    </row>
    <row r="10" spans="1:33" ht="17.149999999999999" customHeight="1">
      <c r="A10" s="60">
        <f t="shared" si="2"/>
        <v>45021</v>
      </c>
      <c r="B10" s="346">
        <v>5987</v>
      </c>
      <c r="C10" s="347">
        <v>6967</v>
      </c>
      <c r="D10" s="347">
        <v>9742</v>
      </c>
      <c r="E10" s="346"/>
      <c r="F10" s="347"/>
      <c r="G10" s="348"/>
      <c r="H10" s="348">
        <v>1191</v>
      </c>
      <c r="I10" s="347">
        <v>0</v>
      </c>
      <c r="J10" s="349">
        <v>25516</v>
      </c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>
        <v>2120</v>
      </c>
      <c r="V10" s="347"/>
      <c r="W10" s="347">
        <v>24760</v>
      </c>
      <c r="X10" s="353">
        <v>2969</v>
      </c>
      <c r="Y10" s="344">
        <f t="shared" si="0"/>
        <v>26856</v>
      </c>
      <c r="Z10" s="351">
        <f t="shared" si="3"/>
        <v>52396</v>
      </c>
      <c r="AA10" s="352">
        <f t="shared" si="1"/>
        <v>79252</v>
      </c>
      <c r="AB10" s="348">
        <v>36291</v>
      </c>
      <c r="AC10" s="353">
        <v>34329</v>
      </c>
      <c r="AD10" s="353">
        <v>20644</v>
      </c>
      <c r="AE10" s="352">
        <f t="shared" si="4"/>
        <v>91264</v>
      </c>
      <c r="AG10" s="219"/>
    </row>
    <row r="11" spans="1:33" ht="17.149999999999999" customHeight="1">
      <c r="A11" s="60">
        <f t="shared" si="2"/>
        <v>45022</v>
      </c>
      <c r="B11" s="346">
        <v>1667</v>
      </c>
      <c r="C11" s="347">
        <v>3535</v>
      </c>
      <c r="D11" s="347">
        <v>2973</v>
      </c>
      <c r="E11" s="346"/>
      <c r="F11" s="347"/>
      <c r="G11" s="348"/>
      <c r="H11" s="348">
        <v>821</v>
      </c>
      <c r="I11" s="347">
        <v>0</v>
      </c>
      <c r="J11" s="349">
        <v>12320</v>
      </c>
      <c r="K11" s="347"/>
      <c r="L11" s="347"/>
      <c r="M11" s="347"/>
      <c r="N11" s="347"/>
      <c r="O11" s="347"/>
      <c r="P11" s="347"/>
      <c r="Q11" s="347"/>
      <c r="R11" s="347"/>
      <c r="S11" s="347"/>
      <c r="T11" s="347"/>
      <c r="U11" s="347">
        <v>1232</v>
      </c>
      <c r="V11" s="347"/>
      <c r="W11" s="347">
        <v>22495</v>
      </c>
      <c r="X11" s="353">
        <v>2741</v>
      </c>
      <c r="Y11" s="344">
        <f t="shared" si="0"/>
        <v>11737</v>
      </c>
      <c r="Z11" s="351">
        <f t="shared" si="3"/>
        <v>36047</v>
      </c>
      <c r="AA11" s="352">
        <f t="shared" si="1"/>
        <v>47784</v>
      </c>
      <c r="AB11" s="348">
        <v>31840</v>
      </c>
      <c r="AC11" s="353">
        <v>29885</v>
      </c>
      <c r="AD11" s="353">
        <v>18326</v>
      </c>
      <c r="AE11" s="352">
        <f t="shared" si="4"/>
        <v>80051</v>
      </c>
      <c r="AG11" s="219"/>
    </row>
    <row r="12" spans="1:33" ht="17.149999999999999" customHeight="1">
      <c r="A12" s="60">
        <f t="shared" si="2"/>
        <v>45023</v>
      </c>
      <c r="B12" s="346">
        <v>53</v>
      </c>
      <c r="C12" s="347">
        <v>1725</v>
      </c>
      <c r="D12" s="347">
        <v>2202</v>
      </c>
      <c r="E12" s="346"/>
      <c r="F12" s="347"/>
      <c r="G12" s="348"/>
      <c r="H12" s="348">
        <v>106</v>
      </c>
      <c r="I12" s="347">
        <v>239</v>
      </c>
      <c r="J12" s="349">
        <v>0</v>
      </c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>
        <v>201</v>
      </c>
      <c r="V12" s="347"/>
      <c r="W12" s="347">
        <v>12817</v>
      </c>
      <c r="X12" s="353">
        <v>1184</v>
      </c>
      <c r="Y12" s="344">
        <f t="shared" si="0"/>
        <v>5270</v>
      </c>
      <c r="Z12" s="351">
        <f t="shared" si="3"/>
        <v>13257</v>
      </c>
      <c r="AA12" s="352">
        <f t="shared" si="1"/>
        <v>18527</v>
      </c>
      <c r="AB12" s="348">
        <v>8894</v>
      </c>
      <c r="AC12" s="353">
        <v>8041</v>
      </c>
      <c r="AD12" s="353">
        <v>3353</v>
      </c>
      <c r="AE12" s="352">
        <f t="shared" si="4"/>
        <v>20288</v>
      </c>
      <c r="AG12" s="219"/>
    </row>
    <row r="13" spans="1:33" ht="17.149999999999999" customHeight="1">
      <c r="A13" s="60">
        <f t="shared" si="2"/>
        <v>45024</v>
      </c>
      <c r="B13" s="346">
        <v>0</v>
      </c>
      <c r="C13" s="347">
        <v>0</v>
      </c>
      <c r="D13" s="347">
        <v>0</v>
      </c>
      <c r="E13" s="346"/>
      <c r="F13" s="347"/>
      <c r="G13" s="348"/>
      <c r="H13" s="348">
        <v>0</v>
      </c>
      <c r="I13" s="347">
        <v>0</v>
      </c>
      <c r="J13" s="349">
        <v>0</v>
      </c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>
        <v>0</v>
      </c>
      <c r="V13" s="347"/>
      <c r="W13" s="347">
        <v>0</v>
      </c>
      <c r="X13" s="353">
        <v>0</v>
      </c>
      <c r="Y13" s="344">
        <f t="shared" si="0"/>
        <v>0</v>
      </c>
      <c r="Z13" s="351">
        <f t="shared" si="3"/>
        <v>0</v>
      </c>
      <c r="AA13" s="352">
        <f t="shared" si="1"/>
        <v>0</v>
      </c>
      <c r="AB13" s="348">
        <v>0</v>
      </c>
      <c r="AC13" s="350">
        <v>0</v>
      </c>
      <c r="AD13" s="350">
        <v>0</v>
      </c>
      <c r="AE13" s="352">
        <f t="shared" si="4"/>
        <v>0</v>
      </c>
      <c r="AG13" s="219"/>
    </row>
    <row r="14" spans="1:33" ht="17.149999999999999" customHeight="1">
      <c r="A14" s="60">
        <f t="shared" si="2"/>
        <v>45025</v>
      </c>
      <c r="B14" s="346">
        <v>0</v>
      </c>
      <c r="C14" s="347">
        <v>0</v>
      </c>
      <c r="D14" s="347">
        <v>0</v>
      </c>
      <c r="E14" s="346"/>
      <c r="F14" s="347"/>
      <c r="G14" s="348"/>
      <c r="H14" s="348">
        <v>0</v>
      </c>
      <c r="I14" s="347">
        <v>0</v>
      </c>
      <c r="J14" s="349">
        <v>0</v>
      </c>
      <c r="K14" s="347"/>
      <c r="L14" s="347"/>
      <c r="M14" s="347"/>
      <c r="N14" s="347"/>
      <c r="O14" s="347"/>
      <c r="P14" s="347"/>
      <c r="Q14" s="347"/>
      <c r="R14" s="347"/>
      <c r="S14" s="347"/>
      <c r="T14" s="347"/>
      <c r="U14" s="347">
        <v>0</v>
      </c>
      <c r="V14" s="347"/>
      <c r="W14" s="347">
        <v>0</v>
      </c>
      <c r="X14" s="353">
        <v>0</v>
      </c>
      <c r="Y14" s="344">
        <f t="shared" si="0"/>
        <v>0</v>
      </c>
      <c r="Z14" s="351">
        <f t="shared" si="3"/>
        <v>0</v>
      </c>
      <c r="AA14" s="352">
        <f t="shared" si="1"/>
        <v>0</v>
      </c>
      <c r="AB14" s="348">
        <v>0</v>
      </c>
      <c r="AC14" s="353">
        <v>0</v>
      </c>
      <c r="AD14" s="353">
        <v>0</v>
      </c>
      <c r="AE14" s="352">
        <f t="shared" si="4"/>
        <v>0</v>
      </c>
      <c r="AG14" s="219"/>
    </row>
    <row r="15" spans="1:33" ht="17.149999999999999" customHeight="1">
      <c r="A15" s="60">
        <f t="shared" si="2"/>
        <v>45026</v>
      </c>
      <c r="B15" s="346">
        <v>212</v>
      </c>
      <c r="C15" s="347">
        <v>924</v>
      </c>
      <c r="D15" s="347">
        <v>530</v>
      </c>
      <c r="E15" s="346"/>
      <c r="F15" s="347"/>
      <c r="G15" s="348"/>
      <c r="H15" s="348">
        <v>0</v>
      </c>
      <c r="I15" s="347">
        <v>238</v>
      </c>
      <c r="J15" s="349">
        <v>0</v>
      </c>
      <c r="K15" s="347"/>
      <c r="L15" s="347"/>
      <c r="M15" s="347"/>
      <c r="N15" s="347"/>
      <c r="O15" s="347"/>
      <c r="P15" s="347"/>
      <c r="Q15" s="347"/>
      <c r="R15" s="347"/>
      <c r="S15" s="347"/>
      <c r="T15" s="347"/>
      <c r="U15" s="347">
        <v>395</v>
      </c>
      <c r="V15" s="347"/>
      <c r="W15" s="347">
        <v>0</v>
      </c>
      <c r="X15" s="353">
        <v>1004</v>
      </c>
      <c r="Y15" s="344">
        <f t="shared" si="0"/>
        <v>2670</v>
      </c>
      <c r="Z15" s="351">
        <f t="shared" si="3"/>
        <v>633</v>
      </c>
      <c r="AA15" s="352">
        <f t="shared" si="1"/>
        <v>3303</v>
      </c>
      <c r="AB15" s="348">
        <v>0</v>
      </c>
      <c r="AC15" s="353">
        <v>0</v>
      </c>
      <c r="AD15" s="353">
        <v>0</v>
      </c>
      <c r="AE15" s="352">
        <f t="shared" si="4"/>
        <v>0</v>
      </c>
      <c r="AG15" s="219"/>
    </row>
    <row r="16" spans="1:33" ht="17.149999999999999" customHeight="1">
      <c r="A16" s="60">
        <f t="shared" si="2"/>
        <v>45027</v>
      </c>
      <c r="B16" s="346">
        <v>2939</v>
      </c>
      <c r="C16" s="347">
        <v>9724</v>
      </c>
      <c r="D16" s="347">
        <v>14438</v>
      </c>
      <c r="E16" s="346"/>
      <c r="F16" s="347"/>
      <c r="G16" s="348"/>
      <c r="H16" s="348">
        <v>447</v>
      </c>
      <c r="I16" s="347">
        <v>2836</v>
      </c>
      <c r="J16" s="349">
        <v>0</v>
      </c>
      <c r="K16" s="347"/>
      <c r="L16" s="347"/>
      <c r="M16" s="347"/>
      <c r="N16" s="347"/>
      <c r="O16" s="347"/>
      <c r="P16" s="347"/>
      <c r="Q16" s="347"/>
      <c r="R16" s="347"/>
      <c r="S16" s="347"/>
      <c r="T16" s="347"/>
      <c r="U16" s="347">
        <v>3247</v>
      </c>
      <c r="V16" s="347"/>
      <c r="W16" s="347">
        <v>37254</v>
      </c>
      <c r="X16" s="353">
        <v>3440</v>
      </c>
      <c r="Y16" s="344">
        <f t="shared" si="0"/>
        <v>30988</v>
      </c>
      <c r="Z16" s="351">
        <f t="shared" si="3"/>
        <v>43337</v>
      </c>
      <c r="AA16" s="352">
        <f t="shared" si="1"/>
        <v>74325</v>
      </c>
      <c r="AB16" s="348">
        <v>33039</v>
      </c>
      <c r="AC16" s="353">
        <v>32762</v>
      </c>
      <c r="AD16" s="353">
        <v>17402</v>
      </c>
      <c r="AE16" s="352">
        <f t="shared" si="4"/>
        <v>83203</v>
      </c>
      <c r="AG16" s="219"/>
    </row>
    <row r="17" spans="1:33" ht="17.149999999999999" customHeight="1">
      <c r="A17" s="60">
        <f t="shared" si="2"/>
        <v>45028</v>
      </c>
      <c r="B17" s="346">
        <v>3443</v>
      </c>
      <c r="C17" s="347">
        <v>8128</v>
      </c>
      <c r="D17" s="347">
        <v>12290</v>
      </c>
      <c r="E17" s="346"/>
      <c r="F17" s="347"/>
      <c r="G17" s="348"/>
      <c r="H17" s="348">
        <v>2965</v>
      </c>
      <c r="I17" s="347">
        <v>3048</v>
      </c>
      <c r="J17" s="349">
        <v>0</v>
      </c>
      <c r="K17" s="347"/>
      <c r="L17" s="347"/>
      <c r="M17" s="347"/>
      <c r="N17" s="347"/>
      <c r="O17" s="347"/>
      <c r="P17" s="347"/>
      <c r="Q17" s="347"/>
      <c r="R17" s="347"/>
      <c r="S17" s="347"/>
      <c r="T17" s="347"/>
      <c r="U17" s="347">
        <v>3980</v>
      </c>
      <c r="V17" s="347"/>
      <c r="W17" s="347">
        <v>39288</v>
      </c>
      <c r="X17" s="353">
        <v>3025</v>
      </c>
      <c r="Y17" s="344">
        <f t="shared" si="0"/>
        <v>29851</v>
      </c>
      <c r="Z17" s="351">
        <f t="shared" si="3"/>
        <v>46316</v>
      </c>
      <c r="AA17" s="352">
        <f t="shared" si="1"/>
        <v>76167</v>
      </c>
      <c r="AB17" s="348">
        <v>31474</v>
      </c>
      <c r="AC17" s="353">
        <v>32049</v>
      </c>
      <c r="AD17" s="353">
        <v>16158</v>
      </c>
      <c r="AE17" s="352">
        <f t="shared" si="4"/>
        <v>79681</v>
      </c>
      <c r="AG17" s="219"/>
    </row>
    <row r="18" spans="1:33" ht="17.149999999999999" customHeight="1">
      <c r="A18" s="60">
        <f t="shared" si="2"/>
        <v>45029</v>
      </c>
      <c r="B18" s="346">
        <v>5056</v>
      </c>
      <c r="C18" s="347">
        <v>6925</v>
      </c>
      <c r="D18" s="347">
        <v>17405</v>
      </c>
      <c r="E18" s="346"/>
      <c r="F18" s="347"/>
      <c r="G18" s="348"/>
      <c r="H18" s="348">
        <v>2035</v>
      </c>
      <c r="I18" s="347">
        <v>2362</v>
      </c>
      <c r="J18" s="349">
        <v>0</v>
      </c>
      <c r="K18" s="347"/>
      <c r="L18" s="347"/>
      <c r="M18" s="347"/>
      <c r="N18" s="347"/>
      <c r="O18" s="347"/>
      <c r="P18" s="347"/>
      <c r="Q18" s="347"/>
      <c r="R18" s="347"/>
      <c r="S18" s="347"/>
      <c r="T18" s="347"/>
      <c r="U18" s="347">
        <v>2436</v>
      </c>
      <c r="V18" s="347"/>
      <c r="W18" s="347">
        <v>43089</v>
      </c>
      <c r="X18" s="350">
        <v>2814</v>
      </c>
      <c r="Y18" s="344">
        <f t="shared" si="0"/>
        <v>34235</v>
      </c>
      <c r="Z18" s="351">
        <f t="shared" si="3"/>
        <v>47887</v>
      </c>
      <c r="AA18" s="352">
        <f t="shared" si="1"/>
        <v>82122</v>
      </c>
      <c r="AB18" s="348">
        <v>32198</v>
      </c>
      <c r="AC18" s="350">
        <v>32408</v>
      </c>
      <c r="AD18" s="350">
        <v>16925</v>
      </c>
      <c r="AE18" s="352">
        <f t="shared" si="4"/>
        <v>81531</v>
      </c>
      <c r="AG18" s="219"/>
    </row>
    <row r="19" spans="1:33" ht="17.149999999999999" customHeight="1">
      <c r="A19" s="60">
        <f t="shared" si="2"/>
        <v>45030</v>
      </c>
      <c r="B19" s="346">
        <v>3492</v>
      </c>
      <c r="C19" s="347">
        <v>9890</v>
      </c>
      <c r="D19" s="347">
        <v>13584</v>
      </c>
      <c r="E19" s="346"/>
      <c r="F19" s="347"/>
      <c r="G19" s="348"/>
      <c r="H19" s="348">
        <v>3393</v>
      </c>
      <c r="I19" s="347">
        <v>2945</v>
      </c>
      <c r="J19" s="349">
        <v>0</v>
      </c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>
        <v>1334</v>
      </c>
      <c r="V19" s="347"/>
      <c r="W19" s="347">
        <v>38435</v>
      </c>
      <c r="X19" s="354">
        <v>3521</v>
      </c>
      <c r="Y19" s="344">
        <f t="shared" si="0"/>
        <v>33880</v>
      </c>
      <c r="Z19" s="351">
        <f t="shared" si="3"/>
        <v>42714</v>
      </c>
      <c r="AA19" s="352">
        <f t="shared" si="1"/>
        <v>76594</v>
      </c>
      <c r="AB19" s="348">
        <v>31105</v>
      </c>
      <c r="AC19" s="354">
        <v>30847</v>
      </c>
      <c r="AD19" s="354">
        <v>15304</v>
      </c>
      <c r="AE19" s="352">
        <f t="shared" si="4"/>
        <v>77256</v>
      </c>
      <c r="AG19" s="219"/>
    </row>
    <row r="20" spans="1:33" ht="17.149999999999999" customHeight="1">
      <c r="A20" s="60">
        <f t="shared" si="2"/>
        <v>45031</v>
      </c>
      <c r="B20" s="346">
        <v>894</v>
      </c>
      <c r="C20" s="347">
        <v>8233</v>
      </c>
      <c r="D20" s="347">
        <v>12039</v>
      </c>
      <c r="E20" s="347"/>
      <c r="F20" s="347"/>
      <c r="G20" s="348"/>
      <c r="H20" s="348">
        <v>2097</v>
      </c>
      <c r="I20" s="347">
        <v>5711</v>
      </c>
      <c r="J20" s="349">
        <v>0</v>
      </c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>
        <v>815</v>
      </c>
      <c r="V20" s="347"/>
      <c r="W20" s="347">
        <v>43044</v>
      </c>
      <c r="X20" s="354">
        <v>3981</v>
      </c>
      <c r="Y20" s="344">
        <f t="shared" si="0"/>
        <v>27244</v>
      </c>
      <c r="Z20" s="351">
        <f t="shared" si="3"/>
        <v>49570</v>
      </c>
      <c r="AA20" s="352">
        <f t="shared" si="1"/>
        <v>76814</v>
      </c>
      <c r="AB20" s="348">
        <v>28823</v>
      </c>
      <c r="AC20" s="354">
        <v>25926</v>
      </c>
      <c r="AD20" s="354">
        <v>15014</v>
      </c>
      <c r="AE20" s="352">
        <f t="shared" si="4"/>
        <v>69763</v>
      </c>
      <c r="AG20" s="219"/>
    </row>
    <row r="21" spans="1:33" ht="17.149999999999999" customHeight="1">
      <c r="A21" s="60">
        <f t="shared" si="2"/>
        <v>45032</v>
      </c>
      <c r="B21" s="346">
        <v>264</v>
      </c>
      <c r="C21" s="347">
        <v>6450</v>
      </c>
      <c r="D21" s="347">
        <v>8829</v>
      </c>
      <c r="E21" s="348"/>
      <c r="F21" s="347"/>
      <c r="G21" s="348"/>
      <c r="H21" s="348">
        <v>2846</v>
      </c>
      <c r="I21" s="347">
        <v>3517</v>
      </c>
      <c r="J21" s="349">
        <v>0</v>
      </c>
      <c r="K21" s="347"/>
      <c r="L21" s="347"/>
      <c r="M21" s="347"/>
      <c r="N21" s="347"/>
      <c r="O21" s="347"/>
      <c r="P21" s="347"/>
      <c r="Q21" s="355"/>
      <c r="R21" s="347"/>
      <c r="S21" s="347"/>
      <c r="T21" s="347"/>
      <c r="U21" s="347">
        <v>367</v>
      </c>
      <c r="V21" s="347"/>
      <c r="W21" s="355">
        <v>33125</v>
      </c>
      <c r="X21" s="356">
        <v>2675</v>
      </c>
      <c r="Y21" s="344">
        <f t="shared" si="0"/>
        <v>21064</v>
      </c>
      <c r="Z21" s="351">
        <f t="shared" si="3"/>
        <v>37009</v>
      </c>
      <c r="AA21" s="352">
        <f t="shared" si="1"/>
        <v>58073</v>
      </c>
      <c r="AB21" s="348">
        <v>21987</v>
      </c>
      <c r="AC21" s="350">
        <v>19446</v>
      </c>
      <c r="AD21" s="350">
        <v>11326</v>
      </c>
      <c r="AE21" s="352">
        <f t="shared" si="4"/>
        <v>52759</v>
      </c>
      <c r="AG21" s="219"/>
    </row>
    <row r="22" spans="1:33" ht="17.149999999999999" customHeight="1">
      <c r="A22" s="60">
        <f t="shared" si="2"/>
        <v>45033</v>
      </c>
      <c r="B22" s="346">
        <v>2961</v>
      </c>
      <c r="C22" s="347">
        <v>9238</v>
      </c>
      <c r="D22" s="347">
        <v>10617</v>
      </c>
      <c r="E22" s="348"/>
      <c r="F22" s="347"/>
      <c r="G22" s="348"/>
      <c r="H22" s="348">
        <v>2203</v>
      </c>
      <c r="I22" s="347">
        <v>3255</v>
      </c>
      <c r="J22" s="349">
        <v>0</v>
      </c>
      <c r="K22" s="347"/>
      <c r="L22" s="347"/>
      <c r="M22" s="347"/>
      <c r="N22" s="347"/>
      <c r="O22" s="347"/>
      <c r="P22" s="347"/>
      <c r="Q22" s="347"/>
      <c r="R22" s="347"/>
      <c r="S22" s="347"/>
      <c r="T22" s="347"/>
      <c r="U22" s="347">
        <v>0</v>
      </c>
      <c r="V22" s="347"/>
      <c r="W22" s="347">
        <v>46406</v>
      </c>
      <c r="X22" s="353">
        <v>2631</v>
      </c>
      <c r="Y22" s="344">
        <f t="shared" si="0"/>
        <v>27650</v>
      </c>
      <c r="Z22" s="351">
        <f t="shared" si="3"/>
        <v>49661</v>
      </c>
      <c r="AA22" s="352">
        <f t="shared" si="1"/>
        <v>77311</v>
      </c>
      <c r="AB22" s="348">
        <v>28607</v>
      </c>
      <c r="AC22" s="353">
        <v>28325</v>
      </c>
      <c r="AD22" s="353">
        <v>16095</v>
      </c>
      <c r="AE22" s="352">
        <f t="shared" si="4"/>
        <v>73027</v>
      </c>
      <c r="AG22" s="219"/>
    </row>
    <row r="23" spans="1:33" ht="17.149999999999999" customHeight="1">
      <c r="A23" s="60">
        <f t="shared" si="2"/>
        <v>45034</v>
      </c>
      <c r="B23" s="346">
        <v>2599</v>
      </c>
      <c r="C23" s="347">
        <v>4933</v>
      </c>
      <c r="D23" s="347">
        <v>6497</v>
      </c>
      <c r="E23" s="348"/>
      <c r="F23" s="347"/>
      <c r="G23" s="348"/>
      <c r="H23" s="348">
        <v>928</v>
      </c>
      <c r="I23" s="347">
        <v>1004</v>
      </c>
      <c r="J23" s="349">
        <v>0</v>
      </c>
      <c r="K23" s="347"/>
      <c r="L23" s="347"/>
      <c r="M23" s="347"/>
      <c r="N23" s="347"/>
      <c r="O23" s="347"/>
      <c r="P23" s="347"/>
      <c r="Q23" s="347"/>
      <c r="R23" s="347"/>
      <c r="S23" s="347"/>
      <c r="T23" s="347"/>
      <c r="U23" s="347">
        <v>1101</v>
      </c>
      <c r="V23" s="347"/>
      <c r="W23" s="347">
        <v>31038</v>
      </c>
      <c r="X23" s="353">
        <v>1969</v>
      </c>
      <c r="Y23" s="344">
        <f t="shared" si="0"/>
        <v>16926</v>
      </c>
      <c r="Z23" s="351">
        <f t="shared" si="3"/>
        <v>33143</v>
      </c>
      <c r="AA23" s="352">
        <f t="shared" si="1"/>
        <v>50069</v>
      </c>
      <c r="AB23" s="348">
        <v>28122</v>
      </c>
      <c r="AC23" s="353">
        <v>25928</v>
      </c>
      <c r="AD23" s="353">
        <v>14925</v>
      </c>
      <c r="AE23" s="352">
        <f t="shared" si="4"/>
        <v>68975</v>
      </c>
      <c r="AG23" s="219"/>
    </row>
    <row r="24" spans="1:33" ht="17.149999999999999" customHeight="1">
      <c r="A24" s="60">
        <f t="shared" si="2"/>
        <v>45035</v>
      </c>
      <c r="B24" s="346">
        <v>954</v>
      </c>
      <c r="C24" s="347">
        <v>4261</v>
      </c>
      <c r="D24" s="347">
        <v>5304</v>
      </c>
      <c r="E24" s="348"/>
      <c r="F24" s="347"/>
      <c r="G24" s="348"/>
      <c r="H24" s="348">
        <v>451</v>
      </c>
      <c r="I24" s="347">
        <v>819</v>
      </c>
      <c r="J24" s="349">
        <v>0</v>
      </c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>
        <v>1911</v>
      </c>
      <c r="V24" s="347"/>
      <c r="W24" s="347">
        <v>37978</v>
      </c>
      <c r="X24" s="353">
        <v>1653</v>
      </c>
      <c r="Y24" s="344">
        <f t="shared" si="0"/>
        <v>12623</v>
      </c>
      <c r="Z24" s="351">
        <f t="shared" si="3"/>
        <v>40708</v>
      </c>
      <c r="AA24" s="352">
        <f t="shared" si="1"/>
        <v>53331</v>
      </c>
      <c r="AB24" s="348">
        <v>22111</v>
      </c>
      <c r="AC24" s="353">
        <v>22084</v>
      </c>
      <c r="AD24" s="353">
        <v>11957</v>
      </c>
      <c r="AE24" s="352">
        <f t="shared" si="4"/>
        <v>56152</v>
      </c>
      <c r="AG24" s="219"/>
    </row>
    <row r="25" spans="1:33" ht="17.149999999999999" customHeight="1">
      <c r="A25" s="60">
        <f t="shared" si="2"/>
        <v>45036</v>
      </c>
      <c r="B25" s="346">
        <v>1510</v>
      </c>
      <c r="C25" s="347">
        <v>2775</v>
      </c>
      <c r="D25" s="347">
        <v>6369</v>
      </c>
      <c r="E25" s="346"/>
      <c r="F25" s="347"/>
      <c r="G25" s="348"/>
      <c r="H25" s="348">
        <v>0</v>
      </c>
      <c r="I25" s="347">
        <v>476</v>
      </c>
      <c r="J25" s="349">
        <v>0</v>
      </c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>
        <v>1157</v>
      </c>
      <c r="V25" s="347"/>
      <c r="W25" s="347">
        <v>24689</v>
      </c>
      <c r="X25" s="353">
        <v>1341</v>
      </c>
      <c r="Y25" s="344">
        <f t="shared" si="0"/>
        <v>11995</v>
      </c>
      <c r="Z25" s="351">
        <f t="shared" si="3"/>
        <v>26322</v>
      </c>
      <c r="AA25" s="352">
        <f t="shared" si="1"/>
        <v>38317</v>
      </c>
      <c r="AB25" s="348">
        <v>11778</v>
      </c>
      <c r="AC25" s="353">
        <v>11523</v>
      </c>
      <c r="AD25" s="353">
        <v>6190</v>
      </c>
      <c r="AE25" s="352">
        <f t="shared" si="4"/>
        <v>29491</v>
      </c>
      <c r="AG25" s="219"/>
    </row>
    <row r="26" spans="1:33" ht="17.149999999999999" customHeight="1">
      <c r="A26" s="60">
        <f t="shared" si="2"/>
        <v>45037</v>
      </c>
      <c r="B26" s="346">
        <v>1325</v>
      </c>
      <c r="C26" s="347">
        <v>4179</v>
      </c>
      <c r="D26" s="357">
        <v>5601</v>
      </c>
      <c r="E26" s="347"/>
      <c r="F26" s="347"/>
      <c r="G26" s="348"/>
      <c r="H26" s="348">
        <v>0</v>
      </c>
      <c r="I26" s="347">
        <v>688</v>
      </c>
      <c r="J26" s="349">
        <v>0</v>
      </c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>
        <v>1171</v>
      </c>
      <c r="V26" s="347"/>
      <c r="W26" s="347">
        <v>21147</v>
      </c>
      <c r="X26" s="353">
        <v>899</v>
      </c>
      <c r="Y26" s="344">
        <f t="shared" si="0"/>
        <v>12004</v>
      </c>
      <c r="Z26" s="351">
        <f t="shared" si="3"/>
        <v>23006</v>
      </c>
      <c r="AA26" s="352">
        <f t="shared" si="1"/>
        <v>35010</v>
      </c>
      <c r="AB26" s="348">
        <v>17189</v>
      </c>
      <c r="AC26" s="353">
        <v>16685</v>
      </c>
      <c r="AD26" s="353">
        <v>6457</v>
      </c>
      <c r="AE26" s="352">
        <f t="shared" si="4"/>
        <v>40331</v>
      </c>
      <c r="AG26" s="219"/>
    </row>
    <row r="27" spans="1:33" ht="17.149999999999999" customHeight="1">
      <c r="A27" s="60">
        <f t="shared" si="2"/>
        <v>45038</v>
      </c>
      <c r="B27" s="346">
        <v>0</v>
      </c>
      <c r="C27" s="347">
        <v>2198</v>
      </c>
      <c r="D27" s="347">
        <v>0</v>
      </c>
      <c r="E27" s="346"/>
      <c r="F27" s="347"/>
      <c r="G27" s="348"/>
      <c r="H27" s="348">
        <v>0</v>
      </c>
      <c r="I27" s="347">
        <v>0</v>
      </c>
      <c r="J27" s="349">
        <v>0</v>
      </c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>
        <v>0</v>
      </c>
      <c r="V27" s="347"/>
      <c r="W27" s="347">
        <v>12503</v>
      </c>
      <c r="X27" s="353">
        <v>1211</v>
      </c>
      <c r="Y27" s="344">
        <f>SUM(B27:H27,X27)</f>
        <v>3409</v>
      </c>
      <c r="Z27" s="351">
        <f t="shared" si="3"/>
        <v>12503</v>
      </c>
      <c r="AA27" s="352">
        <f>SUM(B27:X27)</f>
        <v>15912</v>
      </c>
      <c r="AB27" s="348">
        <v>0</v>
      </c>
      <c r="AC27" s="353">
        <v>0</v>
      </c>
      <c r="AD27" s="353">
        <v>0</v>
      </c>
      <c r="AE27" s="352">
        <f t="shared" si="4"/>
        <v>0</v>
      </c>
      <c r="AG27" s="219"/>
    </row>
    <row r="28" spans="1:33" ht="17.149999999999999" customHeight="1">
      <c r="A28" s="60">
        <f t="shared" si="2"/>
        <v>45039</v>
      </c>
      <c r="B28" s="346">
        <v>1351</v>
      </c>
      <c r="C28" s="347">
        <v>4034</v>
      </c>
      <c r="D28" s="347">
        <v>9570</v>
      </c>
      <c r="E28" s="347"/>
      <c r="F28" s="348"/>
      <c r="G28" s="348"/>
      <c r="H28" s="348">
        <v>0</v>
      </c>
      <c r="I28" s="347">
        <v>3071</v>
      </c>
      <c r="J28" s="349">
        <v>0</v>
      </c>
      <c r="K28" s="347"/>
      <c r="L28" s="347"/>
      <c r="M28" s="347"/>
      <c r="N28" s="347"/>
      <c r="O28" s="347"/>
      <c r="P28" s="347"/>
      <c r="Q28" s="347"/>
      <c r="R28" s="347"/>
      <c r="S28" s="347"/>
      <c r="T28" s="347"/>
      <c r="U28" s="347">
        <v>3948</v>
      </c>
      <c r="V28" s="347"/>
      <c r="W28" s="347">
        <v>30860</v>
      </c>
      <c r="X28" s="353">
        <v>2160</v>
      </c>
      <c r="Y28" s="344">
        <f t="shared" si="0"/>
        <v>17115</v>
      </c>
      <c r="Z28" s="351">
        <f t="shared" si="3"/>
        <v>37879</v>
      </c>
      <c r="AA28" s="352">
        <f t="shared" si="1"/>
        <v>54994</v>
      </c>
      <c r="AB28" s="348">
        <v>25484</v>
      </c>
      <c r="AC28" s="353">
        <v>23525</v>
      </c>
      <c r="AD28" s="353">
        <v>13842</v>
      </c>
      <c r="AE28" s="352">
        <f t="shared" si="4"/>
        <v>62851</v>
      </c>
      <c r="AG28" s="219"/>
    </row>
    <row r="29" spans="1:33" ht="17.149999999999999" customHeight="1">
      <c r="A29" s="60">
        <f t="shared" si="2"/>
        <v>45040</v>
      </c>
      <c r="B29" s="346">
        <v>398</v>
      </c>
      <c r="C29" s="347">
        <v>3937</v>
      </c>
      <c r="D29" s="347">
        <v>8994</v>
      </c>
      <c r="E29" s="346"/>
      <c r="F29" s="347"/>
      <c r="G29" s="348"/>
      <c r="H29" s="348">
        <v>0</v>
      </c>
      <c r="I29" s="347">
        <v>1957</v>
      </c>
      <c r="J29" s="349">
        <v>0</v>
      </c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>
        <v>1759</v>
      </c>
      <c r="V29" s="347"/>
      <c r="W29" s="347">
        <v>29326</v>
      </c>
      <c r="X29" s="353">
        <v>2353</v>
      </c>
      <c r="Y29" s="344">
        <f t="shared" si="0"/>
        <v>15682</v>
      </c>
      <c r="Z29" s="351">
        <f t="shared" si="3"/>
        <v>33042</v>
      </c>
      <c r="AA29" s="352">
        <f t="shared" si="1"/>
        <v>48724</v>
      </c>
      <c r="AB29" s="348">
        <v>27519</v>
      </c>
      <c r="AC29" s="353">
        <v>26286</v>
      </c>
      <c r="AD29" s="353">
        <v>12477</v>
      </c>
      <c r="AE29" s="352">
        <f t="shared" si="4"/>
        <v>66282</v>
      </c>
      <c r="AG29" s="219"/>
    </row>
    <row r="30" spans="1:33" ht="17.149999999999999" customHeight="1">
      <c r="A30" s="60">
        <f t="shared" si="2"/>
        <v>45041</v>
      </c>
      <c r="B30" s="346">
        <v>398</v>
      </c>
      <c r="C30" s="347">
        <v>4384</v>
      </c>
      <c r="D30" s="346">
        <v>9122</v>
      </c>
      <c r="E30" s="346"/>
      <c r="F30" s="346"/>
      <c r="G30" s="346"/>
      <c r="H30" s="346">
        <v>27</v>
      </c>
      <c r="I30" s="347">
        <v>1297</v>
      </c>
      <c r="J30" s="349">
        <v>0</v>
      </c>
      <c r="K30" s="347"/>
      <c r="L30" s="349"/>
      <c r="M30" s="349"/>
      <c r="N30" s="349"/>
      <c r="O30" s="347"/>
      <c r="P30" s="349"/>
      <c r="Q30" s="349"/>
      <c r="R30" s="349"/>
      <c r="S30" s="349"/>
      <c r="T30" s="349"/>
      <c r="U30" s="349">
        <v>2382</v>
      </c>
      <c r="V30" s="349"/>
      <c r="W30" s="349">
        <v>34571</v>
      </c>
      <c r="X30" s="349">
        <v>1814</v>
      </c>
      <c r="Y30" s="344">
        <f t="shared" si="0"/>
        <v>15745</v>
      </c>
      <c r="Z30" s="351">
        <f t="shared" si="3"/>
        <v>38250</v>
      </c>
      <c r="AA30" s="352">
        <f t="shared" si="1"/>
        <v>53995</v>
      </c>
      <c r="AB30" s="348">
        <v>14512</v>
      </c>
      <c r="AC30" s="349">
        <v>14642</v>
      </c>
      <c r="AD30" s="348">
        <v>7470</v>
      </c>
      <c r="AE30" s="352">
        <f t="shared" si="4"/>
        <v>36624</v>
      </c>
      <c r="AG30" s="219"/>
    </row>
    <row r="31" spans="1:33" ht="17.149999999999999" customHeight="1">
      <c r="A31" s="60">
        <f t="shared" si="2"/>
        <v>45042</v>
      </c>
      <c r="B31" s="350">
        <v>2866</v>
      </c>
      <c r="C31" s="347">
        <v>8045</v>
      </c>
      <c r="D31" s="346">
        <v>10076</v>
      </c>
      <c r="E31" s="346"/>
      <c r="F31" s="346"/>
      <c r="G31" s="346"/>
      <c r="H31" s="346">
        <v>2679</v>
      </c>
      <c r="I31" s="347">
        <v>4202</v>
      </c>
      <c r="J31" s="349">
        <v>0</v>
      </c>
      <c r="K31" s="347"/>
      <c r="L31" s="346"/>
      <c r="M31" s="346"/>
      <c r="N31" s="346"/>
      <c r="O31" s="347"/>
      <c r="P31" s="346"/>
      <c r="Q31" s="346"/>
      <c r="R31" s="346"/>
      <c r="S31" s="346"/>
      <c r="T31" s="346"/>
      <c r="U31" s="346">
        <v>2757</v>
      </c>
      <c r="V31" s="346"/>
      <c r="W31" s="346">
        <v>43197</v>
      </c>
      <c r="X31" s="346">
        <v>2041</v>
      </c>
      <c r="Y31" s="344">
        <f t="shared" si="0"/>
        <v>25707</v>
      </c>
      <c r="Z31" s="351">
        <f t="shared" si="3"/>
        <v>50156</v>
      </c>
      <c r="AA31" s="352">
        <f t="shared" si="1"/>
        <v>75863</v>
      </c>
      <c r="AB31" s="348">
        <v>31605</v>
      </c>
      <c r="AC31" s="346">
        <v>30609</v>
      </c>
      <c r="AD31" s="350">
        <v>17086</v>
      </c>
      <c r="AE31" s="352">
        <f t="shared" si="4"/>
        <v>79300</v>
      </c>
      <c r="AG31" s="219"/>
    </row>
    <row r="32" spans="1:33" ht="17.149999999999999" customHeight="1">
      <c r="A32" s="60">
        <f t="shared" si="2"/>
        <v>45043</v>
      </c>
      <c r="B32" s="346">
        <v>769</v>
      </c>
      <c r="C32" s="347">
        <v>3478</v>
      </c>
      <c r="D32" s="347">
        <v>5778</v>
      </c>
      <c r="E32" s="346"/>
      <c r="F32" s="347"/>
      <c r="G32" s="348"/>
      <c r="H32" s="348">
        <v>1832</v>
      </c>
      <c r="I32" s="347">
        <v>714</v>
      </c>
      <c r="J32" s="349">
        <v>11916</v>
      </c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>
        <v>2970</v>
      </c>
      <c r="V32" s="347"/>
      <c r="W32" s="347">
        <v>34069</v>
      </c>
      <c r="X32" s="353">
        <v>1985</v>
      </c>
      <c r="Y32" s="344">
        <f t="shared" si="0"/>
        <v>13842</v>
      </c>
      <c r="Z32" s="351">
        <f t="shared" si="3"/>
        <v>49669</v>
      </c>
      <c r="AA32" s="352">
        <f t="shared" si="1"/>
        <v>63511</v>
      </c>
      <c r="AB32" s="348">
        <v>29360</v>
      </c>
      <c r="AC32" s="353">
        <v>28087</v>
      </c>
      <c r="AD32" s="353">
        <v>15626</v>
      </c>
      <c r="AE32" s="352">
        <f t="shared" si="4"/>
        <v>73073</v>
      </c>
      <c r="AG32" s="219"/>
    </row>
    <row r="33" spans="1:34" ht="17.149999999999999" customHeight="1">
      <c r="A33" s="60">
        <f t="shared" si="2"/>
        <v>45044</v>
      </c>
      <c r="B33" s="346">
        <v>927</v>
      </c>
      <c r="C33" s="347">
        <v>2991</v>
      </c>
      <c r="D33" s="358">
        <v>4876</v>
      </c>
      <c r="E33" s="346"/>
      <c r="F33" s="347"/>
      <c r="G33" s="348"/>
      <c r="H33" s="348">
        <v>26</v>
      </c>
      <c r="I33" s="347">
        <v>212</v>
      </c>
      <c r="J33" s="349">
        <v>8254</v>
      </c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>
        <v>1815</v>
      </c>
      <c r="V33" s="347"/>
      <c r="W33" s="347">
        <v>26603</v>
      </c>
      <c r="X33" s="353">
        <v>1715</v>
      </c>
      <c r="Y33" s="344">
        <f t="shared" si="0"/>
        <v>10535</v>
      </c>
      <c r="Z33" s="351">
        <f t="shared" si="3"/>
        <v>36884</v>
      </c>
      <c r="AA33" s="352">
        <f t="shared" si="1"/>
        <v>47419</v>
      </c>
      <c r="AB33" s="348">
        <v>21752</v>
      </c>
      <c r="AC33" s="353">
        <v>19326</v>
      </c>
      <c r="AD33" s="353">
        <v>10619</v>
      </c>
      <c r="AE33" s="352">
        <f t="shared" si="4"/>
        <v>51697</v>
      </c>
      <c r="AG33" s="219"/>
    </row>
    <row r="34" spans="1:34" ht="17.149999999999999" customHeight="1">
      <c r="A34" s="60">
        <f t="shared" si="2"/>
        <v>45045</v>
      </c>
      <c r="B34" s="346">
        <v>1484</v>
      </c>
      <c r="C34" s="347">
        <v>6139</v>
      </c>
      <c r="D34" s="347">
        <v>7347</v>
      </c>
      <c r="E34" s="346"/>
      <c r="F34" s="347"/>
      <c r="G34" s="348"/>
      <c r="H34" s="348">
        <v>2232</v>
      </c>
      <c r="I34" s="347">
        <v>717</v>
      </c>
      <c r="J34" s="349">
        <v>16365</v>
      </c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>
        <v>2770</v>
      </c>
      <c r="V34" s="347"/>
      <c r="W34" s="347">
        <v>46944</v>
      </c>
      <c r="X34" s="350">
        <v>2290</v>
      </c>
      <c r="Y34" s="344">
        <f t="shared" si="0"/>
        <v>19492</v>
      </c>
      <c r="Z34" s="351">
        <f t="shared" si="3"/>
        <v>66796</v>
      </c>
      <c r="AA34" s="352">
        <f t="shared" si="1"/>
        <v>86288</v>
      </c>
      <c r="AB34" s="348">
        <v>28238</v>
      </c>
      <c r="AC34" s="350">
        <v>25686</v>
      </c>
      <c r="AD34" s="350">
        <v>13767</v>
      </c>
      <c r="AE34" s="352">
        <f t="shared" si="4"/>
        <v>67691</v>
      </c>
      <c r="AG34" s="219"/>
    </row>
    <row r="35" spans="1:34" ht="17.149999999999999" customHeight="1">
      <c r="A35" s="60">
        <f t="shared" si="2"/>
        <v>45046</v>
      </c>
      <c r="B35" s="346">
        <v>0</v>
      </c>
      <c r="C35" s="347">
        <v>7861</v>
      </c>
      <c r="D35" s="347">
        <v>58276</v>
      </c>
      <c r="E35" s="346"/>
      <c r="F35" s="347"/>
      <c r="G35" s="359"/>
      <c r="H35" s="359">
        <v>2283</v>
      </c>
      <c r="I35" s="347">
        <v>159</v>
      </c>
      <c r="J35" s="349">
        <v>15016</v>
      </c>
      <c r="K35" s="347"/>
      <c r="L35" s="357"/>
      <c r="M35" s="357"/>
      <c r="N35" s="357"/>
      <c r="O35" s="347"/>
      <c r="P35" s="357"/>
      <c r="Q35" s="357"/>
      <c r="R35" s="357"/>
      <c r="S35" s="357"/>
      <c r="T35" s="357"/>
      <c r="U35" s="357">
        <v>1707</v>
      </c>
      <c r="V35" s="357"/>
      <c r="W35" s="357">
        <v>29096</v>
      </c>
      <c r="X35" s="360">
        <v>14196</v>
      </c>
      <c r="Y35" s="344">
        <f t="shared" si="0"/>
        <v>82616</v>
      </c>
      <c r="Z35" s="351">
        <f t="shared" si="3"/>
        <v>45978</v>
      </c>
      <c r="AA35" s="352">
        <f t="shared" si="1"/>
        <v>128594</v>
      </c>
      <c r="AB35" s="348">
        <v>44144</v>
      </c>
      <c r="AC35" s="360">
        <v>43515</v>
      </c>
      <c r="AD35" s="360">
        <v>12162</v>
      </c>
      <c r="AE35" s="352">
        <f t="shared" si="4"/>
        <v>99821</v>
      </c>
      <c r="AG35" s="219"/>
    </row>
    <row r="36" spans="1:34" ht="17.149999999999999" customHeight="1">
      <c r="A36" s="61"/>
      <c r="B36" s="361"/>
      <c r="C36" s="357"/>
      <c r="D36" s="357"/>
      <c r="E36" s="361"/>
      <c r="F36" s="357"/>
      <c r="G36" s="359"/>
      <c r="H36" s="359"/>
      <c r="I36" s="357"/>
      <c r="J36" s="349"/>
      <c r="K36" s="347"/>
      <c r="L36" s="357"/>
      <c r="M36" s="357"/>
      <c r="N36" s="357"/>
      <c r="O36" s="347"/>
      <c r="P36" s="357"/>
      <c r="Q36" s="357"/>
      <c r="R36" s="357"/>
      <c r="S36" s="357"/>
      <c r="T36" s="357"/>
      <c r="U36" s="357"/>
      <c r="V36" s="357"/>
      <c r="W36" s="357"/>
      <c r="X36" s="360"/>
      <c r="Y36" s="344">
        <f t="shared" si="0"/>
        <v>0</v>
      </c>
      <c r="Z36" s="351">
        <f t="shared" si="3"/>
        <v>0</v>
      </c>
      <c r="AA36" s="362">
        <f t="shared" si="1"/>
        <v>0</v>
      </c>
      <c r="AB36" s="348"/>
      <c r="AC36" s="360"/>
      <c r="AD36" s="360"/>
      <c r="AE36" s="362">
        <f t="shared" si="4"/>
        <v>0</v>
      </c>
      <c r="AG36" s="219"/>
    </row>
    <row r="37" spans="1:34" s="14" customFormat="1" ht="17.149999999999999" customHeight="1">
      <c r="A37" s="71" t="s">
        <v>38</v>
      </c>
      <c r="B37" s="363">
        <f>SUM(B6:B36)</f>
        <v>61080</v>
      </c>
      <c r="C37" s="363">
        <f>SUM(C6:C36)</f>
        <v>163017</v>
      </c>
      <c r="D37" s="363">
        <f>SUM(D6:D36)</f>
        <v>289503</v>
      </c>
      <c r="E37" s="363"/>
      <c r="F37" s="363"/>
      <c r="G37" s="363"/>
      <c r="H37" s="363">
        <f t="shared" ref="H37:AE37" si="5">SUM(H6:H36)</f>
        <v>35136</v>
      </c>
      <c r="I37" s="363">
        <f>SUM(I6:I36)</f>
        <v>39467</v>
      </c>
      <c r="J37" s="364">
        <f>SUM(J6:J36)</f>
        <v>191594</v>
      </c>
      <c r="K37" s="364">
        <f t="shared" si="5"/>
        <v>0</v>
      </c>
      <c r="L37" s="365">
        <f>SUM(L6:L36)</f>
        <v>0</v>
      </c>
      <c r="M37" s="365">
        <f>SUM(M6:M36)</f>
        <v>0</v>
      </c>
      <c r="N37" s="366">
        <f t="shared" si="5"/>
        <v>0</v>
      </c>
      <c r="O37" s="366">
        <f t="shared" si="5"/>
        <v>0</v>
      </c>
      <c r="P37" s="367">
        <f>SUM(P6:P36)</f>
        <v>0</v>
      </c>
      <c r="Q37" s="367">
        <f>SUM(Q6:Q36)</f>
        <v>0</v>
      </c>
      <c r="R37" s="367">
        <f>SUM(R6:R36)</f>
        <v>0</v>
      </c>
      <c r="S37" s="367">
        <f>SUM(S6:S36)</f>
        <v>0</v>
      </c>
      <c r="T37" s="368">
        <f t="shared" si="5"/>
        <v>0</v>
      </c>
      <c r="U37" s="368">
        <f t="shared" si="5"/>
        <v>41575</v>
      </c>
      <c r="V37" s="368">
        <f>SUM(V6:V36)</f>
        <v>0</v>
      </c>
      <c r="W37" s="368">
        <f>SUM(W6:W36)</f>
        <v>904888</v>
      </c>
      <c r="X37" s="369">
        <f>SUM(X6:X36)</f>
        <v>76924</v>
      </c>
      <c r="Y37" s="370">
        <f>SUM(Y6:Y36)</f>
        <v>625660</v>
      </c>
      <c r="Z37" s="371">
        <f>SUM(Z6:Z36)</f>
        <v>1177524</v>
      </c>
      <c r="AA37" s="372">
        <f t="shared" si="5"/>
        <v>1803184</v>
      </c>
      <c r="AB37" s="373">
        <f t="shared" si="5"/>
        <v>714298</v>
      </c>
      <c r="AC37" s="374">
        <f t="shared" si="5"/>
        <v>685662</v>
      </c>
      <c r="AD37" s="374">
        <f t="shared" si="5"/>
        <v>370483</v>
      </c>
      <c r="AE37" s="375">
        <f t="shared" si="5"/>
        <v>1770443</v>
      </c>
      <c r="AG37" s="234"/>
    </row>
    <row r="38" spans="1:34" s="14" customFormat="1" ht="17.149999999999999" customHeight="1">
      <c r="A38" s="71" t="s">
        <v>86</v>
      </c>
      <c r="B38" s="376">
        <v>70000</v>
      </c>
      <c r="C38" s="363">
        <v>170000</v>
      </c>
      <c r="D38" s="377">
        <v>200000</v>
      </c>
      <c r="E38" s="363"/>
      <c r="F38" s="363"/>
      <c r="G38" s="363"/>
      <c r="H38" s="363">
        <v>70000</v>
      </c>
      <c r="I38" s="376">
        <v>100000</v>
      </c>
      <c r="J38" s="378">
        <v>700000</v>
      </c>
      <c r="K38" s="379"/>
      <c r="L38" s="379"/>
      <c r="M38" s="379"/>
      <c r="N38" s="379"/>
      <c r="O38" s="379"/>
      <c r="P38" s="367"/>
      <c r="Q38" s="367"/>
      <c r="R38" s="367"/>
      <c r="S38" s="367"/>
      <c r="T38" s="368"/>
      <c r="U38" s="368">
        <v>60000</v>
      </c>
      <c r="V38" s="368"/>
      <c r="W38" s="368">
        <v>1124000</v>
      </c>
      <c r="X38" s="369">
        <v>70000</v>
      </c>
      <c r="Y38" s="370">
        <f>SUM(B38:H38,X38)</f>
        <v>580000</v>
      </c>
      <c r="Z38" s="371">
        <f t="shared" ref="Z38" si="6">SUM(I38:W38)</f>
        <v>1984000</v>
      </c>
      <c r="AA38" s="372">
        <f>+Y38+Z38</f>
        <v>2564000</v>
      </c>
      <c r="AB38" s="373">
        <v>1050000</v>
      </c>
      <c r="AC38" s="374">
        <v>950000</v>
      </c>
      <c r="AD38" s="374">
        <v>500000</v>
      </c>
      <c r="AE38" s="375">
        <f>SUM(AB38:AD38)</f>
        <v>2500000</v>
      </c>
      <c r="AG38" s="234"/>
    </row>
    <row r="39" spans="1:34" s="14" customFormat="1" ht="17.149999999999999" customHeight="1" thickBot="1">
      <c r="A39" s="80" t="s">
        <v>144</v>
      </c>
      <c r="B39" s="380">
        <f>SUM(B37)-B38</f>
        <v>-8920</v>
      </c>
      <c r="C39" s="381">
        <f>C37-C38</f>
        <v>-6983</v>
      </c>
      <c r="D39" s="380">
        <f>SUM(D37:G37)-D38</f>
        <v>89503</v>
      </c>
      <c r="E39" s="381"/>
      <c r="F39" s="381"/>
      <c r="G39" s="381"/>
      <c r="H39" s="381">
        <f>+H37-H38</f>
        <v>-34864</v>
      </c>
      <c r="I39" s="380">
        <f>I37-I38</f>
        <v>-60533</v>
      </c>
      <c r="J39" s="382">
        <f>SUM(J37:U37)-J38</f>
        <v>-466831</v>
      </c>
      <c r="K39" s="383"/>
      <c r="L39" s="383"/>
      <c r="M39" s="383"/>
      <c r="N39" s="383"/>
      <c r="O39" s="383"/>
      <c r="P39" s="384"/>
      <c r="Q39" s="384"/>
      <c r="R39" s="384"/>
      <c r="S39" s="384"/>
      <c r="T39" s="385"/>
      <c r="U39" s="385">
        <f t="shared" ref="U39:W39" si="7">+U37-U38</f>
        <v>-18425</v>
      </c>
      <c r="V39" s="385">
        <f t="shared" si="7"/>
        <v>0</v>
      </c>
      <c r="W39" s="385">
        <f t="shared" si="7"/>
        <v>-219112</v>
      </c>
      <c r="X39" s="386">
        <f>(X37)-X38</f>
        <v>6924</v>
      </c>
      <c r="Y39" s="387">
        <f>Y37-Y38</f>
        <v>45660</v>
      </c>
      <c r="Z39" s="388">
        <f>Z37-Z38</f>
        <v>-806476</v>
      </c>
      <c r="AA39" s="389">
        <f>AA37-AA38</f>
        <v>-760816</v>
      </c>
      <c r="AB39" s="390">
        <f t="shared" ref="AB39:AE39" si="8">AB37-AB38</f>
        <v>-335702</v>
      </c>
      <c r="AC39" s="391">
        <f t="shared" si="8"/>
        <v>-264338</v>
      </c>
      <c r="AD39" s="391">
        <f t="shared" si="8"/>
        <v>-129517</v>
      </c>
      <c r="AE39" s="392">
        <f t="shared" si="8"/>
        <v>-729557</v>
      </c>
      <c r="AG39" s="234"/>
    </row>
    <row r="40" spans="1:34" ht="17.149999999999999" customHeight="1" thickBot="1">
      <c r="A40" s="40"/>
      <c r="C40" s="7" t="s">
        <v>190</v>
      </c>
      <c r="D40" s="7" t="s">
        <v>191</v>
      </c>
      <c r="AG40" s="219"/>
    </row>
    <row r="41" spans="1:34" ht="17.149999999999999" customHeight="1">
      <c r="A41" s="767" t="s">
        <v>145</v>
      </c>
      <c r="B41" s="768"/>
      <c r="C41" s="36">
        <v>29</v>
      </c>
      <c r="D41" s="36">
        <v>27</v>
      </c>
      <c r="E41" s="229" t="s">
        <v>146</v>
      </c>
      <c r="AG41" s="219"/>
    </row>
    <row r="42" spans="1:34" ht="17.149999999999999" customHeight="1">
      <c r="A42" s="786" t="s">
        <v>147</v>
      </c>
      <c r="B42" s="787"/>
      <c r="C42" s="314">
        <v>29</v>
      </c>
      <c r="D42" s="314">
        <v>27</v>
      </c>
      <c r="E42" s="219" t="s">
        <v>146</v>
      </c>
      <c r="AG42" s="219"/>
    </row>
    <row r="43" spans="1:34" ht="17.149999999999999" customHeight="1" thickBot="1">
      <c r="A43" s="788" t="s">
        <v>148</v>
      </c>
      <c r="B43" s="789"/>
      <c r="C43" s="230">
        <f>+C41-C42</f>
        <v>0</v>
      </c>
      <c r="D43" s="230">
        <f>+D41-D42</f>
        <v>0</v>
      </c>
      <c r="E43" s="231" t="s">
        <v>146</v>
      </c>
      <c r="I43" s="464"/>
      <c r="AG43" s="219"/>
    </row>
    <row r="44" spans="1:34" ht="17.149999999999999" customHeight="1">
      <c r="A44" s="41"/>
      <c r="AG44" s="219"/>
    </row>
    <row r="45" spans="1:34" ht="17.149999999999999" customHeight="1">
      <c r="A45" s="42" t="s">
        <v>149</v>
      </c>
      <c r="AG45" s="219"/>
    </row>
    <row r="46" spans="1:34" ht="17.149999999999999" customHeight="1">
      <c r="A46" s="232" t="s">
        <v>72</v>
      </c>
      <c r="B46" s="233" t="s">
        <v>86</v>
      </c>
      <c r="C46" s="233" t="s">
        <v>99</v>
      </c>
      <c r="D46" s="233" t="s">
        <v>84</v>
      </c>
      <c r="AE46" s="259"/>
      <c r="AF46" s="259"/>
      <c r="AG46" s="234"/>
    </row>
    <row r="47" spans="1:34" ht="17.149999999999999" customHeight="1">
      <c r="A47" s="232" t="s">
        <v>39</v>
      </c>
      <c r="B47" s="393">
        <f>B38/$C$41*$C$42</f>
        <v>70000</v>
      </c>
      <c r="C47" s="393">
        <f>SUM(B37:B37)</f>
        <v>61080</v>
      </c>
      <c r="D47" s="393">
        <f t="shared" ref="D47:D59" si="9">+C47-B47</f>
        <v>-8920</v>
      </c>
      <c r="Q47" s="23"/>
      <c r="X47" s="23"/>
      <c r="Y47" s="23"/>
      <c r="Z47" s="23"/>
      <c r="AA47" s="23"/>
      <c r="AB47" s="23"/>
      <c r="AC47" s="23"/>
      <c r="AG47" s="219"/>
    </row>
    <row r="48" spans="1:34" ht="17.149999999999999" customHeight="1">
      <c r="A48" s="232" t="s">
        <v>40</v>
      </c>
      <c r="B48" s="393">
        <f>(C38/$C$41)*$C$42</f>
        <v>170000</v>
      </c>
      <c r="C48" s="393">
        <f>SUM(C37:C37)</f>
        <v>163017</v>
      </c>
      <c r="D48" s="393">
        <f t="shared" si="9"/>
        <v>-6983</v>
      </c>
      <c r="L48" s="9"/>
      <c r="M48" s="9"/>
      <c r="N48" s="9"/>
      <c r="O48" s="9"/>
      <c r="P48" s="9"/>
      <c r="Q48" s="790"/>
      <c r="R48" s="790"/>
      <c r="S48" s="790"/>
      <c r="T48" s="790"/>
      <c r="U48" s="790"/>
      <c r="V48" s="790"/>
      <c r="W48" s="790"/>
      <c r="X48" s="790"/>
      <c r="Y48" s="790"/>
      <c r="Z48" s="790"/>
      <c r="AA48" s="790"/>
      <c r="AB48" s="790"/>
      <c r="AC48" s="790"/>
      <c r="AD48" s="235"/>
      <c r="AE48" s="235"/>
      <c r="AF48" s="235"/>
      <c r="AG48" s="236"/>
      <c r="AH48" s="235"/>
    </row>
    <row r="49" spans="1:33" ht="17.149999999999999" customHeight="1">
      <c r="A49" s="232" t="s">
        <v>150</v>
      </c>
      <c r="B49" s="393">
        <f>+(D38/$C$41)*$C$42</f>
        <v>200000</v>
      </c>
      <c r="C49" s="393">
        <f>SUM(D37:G37)</f>
        <v>289503</v>
      </c>
      <c r="D49" s="393">
        <f t="shared" si="9"/>
        <v>89503</v>
      </c>
      <c r="AG49" s="219"/>
    </row>
    <row r="50" spans="1:33" ht="17.149999999999999" customHeight="1">
      <c r="A50" s="232" t="s">
        <v>87</v>
      </c>
      <c r="B50" s="393">
        <f>+(H38/$C$41)*$C$42</f>
        <v>70000</v>
      </c>
      <c r="C50" s="393">
        <f>SUM(H37)</f>
        <v>35136</v>
      </c>
      <c r="D50" s="393">
        <f t="shared" si="9"/>
        <v>-34864</v>
      </c>
      <c r="AG50" s="219"/>
    </row>
    <row r="51" spans="1:33" ht="17.149999999999999" customHeight="1">
      <c r="A51" s="250" t="s">
        <v>182</v>
      </c>
      <c r="B51" s="394">
        <f>+(I38/$C$41)*$C$42</f>
        <v>100000</v>
      </c>
      <c r="C51" s="394">
        <f>+I37</f>
        <v>39467</v>
      </c>
      <c r="D51" s="394">
        <f t="shared" si="9"/>
        <v>-60533</v>
      </c>
      <c r="AG51" s="219"/>
    </row>
    <row r="52" spans="1:33" ht="17.149999999999999" customHeight="1">
      <c r="A52" s="232" t="s">
        <v>43</v>
      </c>
      <c r="B52" s="393">
        <f>+(X38/$C$41)*$C$42</f>
        <v>70000</v>
      </c>
      <c r="C52" s="393">
        <f>+X37</f>
        <v>76924</v>
      </c>
      <c r="D52" s="393">
        <f t="shared" si="9"/>
        <v>6924</v>
      </c>
      <c r="R52" s="9"/>
      <c r="S52" s="9"/>
      <c r="T52" s="9"/>
      <c r="U52" s="9"/>
      <c r="V52" s="9"/>
      <c r="AG52" s="219"/>
    </row>
    <row r="53" spans="1:33" ht="17.149999999999999" customHeight="1">
      <c r="A53" s="87" t="s">
        <v>151</v>
      </c>
      <c r="B53" s="395">
        <f>SUM(B47:B52)</f>
        <v>680000</v>
      </c>
      <c r="C53" s="395">
        <f>SUM(C47:C52)</f>
        <v>665127</v>
      </c>
      <c r="D53" s="395">
        <f t="shared" si="9"/>
        <v>-14873</v>
      </c>
      <c r="R53" s="9"/>
      <c r="S53" s="9"/>
      <c r="T53" s="9"/>
      <c r="U53" s="9"/>
      <c r="V53" s="9"/>
      <c r="AG53" s="219"/>
    </row>
    <row r="54" spans="1:33" ht="17.149999999999999" customHeight="1">
      <c r="A54" s="232" t="s">
        <v>91</v>
      </c>
      <c r="B54" s="393">
        <f>+(J38/$C$41)*$C$42</f>
        <v>700000</v>
      </c>
      <c r="C54" s="393">
        <f>SUM(J37:S37)</f>
        <v>191594</v>
      </c>
      <c r="D54" s="393">
        <f t="shared" si="9"/>
        <v>-508406</v>
      </c>
      <c r="R54" s="9"/>
      <c r="S54" s="9"/>
      <c r="T54" s="9"/>
      <c r="U54" s="9"/>
      <c r="V54" s="9"/>
      <c r="AG54" s="219"/>
    </row>
    <row r="55" spans="1:33" ht="17.149999999999999" customHeight="1">
      <c r="A55" s="232" t="s">
        <v>92</v>
      </c>
      <c r="B55" s="393">
        <f>+(U38/$C$41)*$C$42</f>
        <v>60000.000000000007</v>
      </c>
      <c r="C55" s="393">
        <f>+U37</f>
        <v>41575</v>
      </c>
      <c r="D55" s="393">
        <f t="shared" si="9"/>
        <v>-18425.000000000007</v>
      </c>
      <c r="R55" s="9"/>
      <c r="S55" s="9"/>
      <c r="T55" s="9"/>
      <c r="U55" s="9"/>
      <c r="V55" s="9"/>
      <c r="AG55" s="219"/>
    </row>
    <row r="56" spans="1:33" ht="17.149999999999999" customHeight="1">
      <c r="A56" s="232" t="s">
        <v>188</v>
      </c>
      <c r="B56" s="393"/>
      <c r="C56" s="393"/>
      <c r="D56" s="393"/>
      <c r="R56" s="9"/>
      <c r="S56" s="9"/>
      <c r="T56" s="9"/>
      <c r="U56" s="9"/>
      <c r="V56" s="9"/>
      <c r="AG56" s="219"/>
    </row>
    <row r="57" spans="1:33" ht="17.149999999999999" customHeight="1">
      <c r="A57" s="232" t="s">
        <v>93</v>
      </c>
      <c r="B57" s="393">
        <f>+(W38/$C$41)*$C$42</f>
        <v>1124000</v>
      </c>
      <c r="C57" s="393">
        <f>+W37</f>
        <v>904888</v>
      </c>
      <c r="D57" s="393">
        <f t="shared" si="9"/>
        <v>-219112</v>
      </c>
      <c r="AG57" s="219"/>
    </row>
    <row r="58" spans="1:33" ht="17.149999999999999" customHeight="1">
      <c r="A58" s="87" t="s">
        <v>152</v>
      </c>
      <c r="B58" s="395">
        <f>SUM(B54:B57)</f>
        <v>1884000</v>
      </c>
      <c r="C58" s="395">
        <f>SUM(C54:C57)</f>
        <v>1138057</v>
      </c>
      <c r="D58" s="395">
        <f t="shared" si="9"/>
        <v>-745943</v>
      </c>
      <c r="AG58" s="219"/>
    </row>
    <row r="59" spans="1:33" ht="17.149999999999999" customHeight="1">
      <c r="A59" s="87" t="s">
        <v>94</v>
      </c>
      <c r="B59" s="395">
        <f>SUM(B53,B58)</f>
        <v>2564000</v>
      </c>
      <c r="C59" s="395">
        <f>SUM(C53,C58)</f>
        <v>1803184</v>
      </c>
      <c r="D59" s="395">
        <f t="shared" si="9"/>
        <v>-760816</v>
      </c>
      <c r="AG59" s="219"/>
    </row>
    <row r="60" spans="1:33" ht="17.149999999999999" customHeight="1">
      <c r="A60" s="40"/>
      <c r="B60" s="396"/>
      <c r="C60" s="396"/>
      <c r="D60" s="396"/>
      <c r="AG60" s="219"/>
    </row>
    <row r="61" spans="1:33" ht="17.149999999999999" customHeight="1">
      <c r="A61" s="42" t="s">
        <v>153</v>
      </c>
      <c r="B61" s="396"/>
      <c r="C61" s="396"/>
      <c r="D61" s="396"/>
      <c r="AG61" s="219"/>
    </row>
    <row r="62" spans="1:33" ht="17.149999999999999" customHeight="1">
      <c r="A62" s="232" t="s">
        <v>154</v>
      </c>
      <c r="B62" s="393" t="s">
        <v>86</v>
      </c>
      <c r="C62" s="393" t="s">
        <v>99</v>
      </c>
      <c r="D62" s="393" t="s">
        <v>84</v>
      </c>
      <c r="AG62" s="219"/>
    </row>
    <row r="63" spans="1:33" ht="17.149999999999999" customHeight="1">
      <c r="A63" s="232" t="s">
        <v>51</v>
      </c>
      <c r="B63" s="393">
        <f>SUM(B47:B51)</f>
        <v>610000</v>
      </c>
      <c r="C63" s="393">
        <f>SUM(C47:C51)</f>
        <v>588203</v>
      </c>
      <c r="D63" s="393">
        <f>+C63-B63</f>
        <v>-21797</v>
      </c>
      <c r="AG63" s="219"/>
    </row>
    <row r="64" spans="1:33" ht="17.149999999999999" customHeight="1">
      <c r="A64" s="232" t="s">
        <v>50</v>
      </c>
      <c r="B64" s="393">
        <f>SUM(B55:B57)</f>
        <v>1184000</v>
      </c>
      <c r="C64" s="393">
        <f>SUM(C55:C57)</f>
        <v>946463</v>
      </c>
      <c r="D64" s="393">
        <f>+C64-B64</f>
        <v>-237537</v>
      </c>
      <c r="AG64" s="219"/>
    </row>
    <row r="65" spans="1:47" ht="17.149999999999999" customHeight="1">
      <c r="A65" s="232" t="s">
        <v>120</v>
      </c>
      <c r="B65" s="393">
        <f>B54</f>
        <v>700000</v>
      </c>
      <c r="C65" s="393">
        <f>C54</f>
        <v>191594</v>
      </c>
      <c r="D65" s="393">
        <f>+C65-B65</f>
        <v>-508406</v>
      </c>
      <c r="AG65" s="219"/>
      <c r="AS65" s="30"/>
      <c r="AT65" s="238"/>
      <c r="AU65" s="239"/>
    </row>
    <row r="66" spans="1:47" ht="17.149999999999999" customHeight="1">
      <c r="A66" s="232" t="s">
        <v>55</v>
      </c>
      <c r="B66" s="393">
        <f>SUM(B52)</f>
        <v>70000</v>
      </c>
      <c r="C66" s="393">
        <f>SUM(C52)</f>
        <v>76924</v>
      </c>
      <c r="D66" s="393">
        <f>+C66-B66</f>
        <v>6924</v>
      </c>
      <c r="AG66" s="219"/>
      <c r="AS66" s="31"/>
      <c r="AT66" s="238"/>
      <c r="AU66" s="239"/>
    </row>
    <row r="67" spans="1:47" ht="17.149999999999999" customHeight="1">
      <c r="A67" s="87" t="s">
        <v>62</v>
      </c>
      <c r="B67" s="395">
        <f>SUM(B63:B66)</f>
        <v>2564000</v>
      </c>
      <c r="C67" s="395">
        <f>SUM(C63:C66)</f>
        <v>1803184</v>
      </c>
      <c r="D67" s="395">
        <f>+C67-B67</f>
        <v>-760816</v>
      </c>
      <c r="AG67" s="219"/>
      <c r="AS67" s="240"/>
      <c r="AT67" s="238"/>
      <c r="AU67" s="239"/>
    </row>
    <row r="68" spans="1:47" ht="17.149999999999999" customHeight="1">
      <c r="A68" s="40"/>
      <c r="B68" s="396"/>
      <c r="C68" s="396"/>
      <c r="D68" s="396"/>
      <c r="AG68" s="219"/>
      <c r="AS68" s="241"/>
      <c r="AT68" s="241"/>
      <c r="AU68" s="239"/>
    </row>
    <row r="69" spans="1:47" ht="17.149999999999999" customHeight="1">
      <c r="A69" s="42" t="s">
        <v>155</v>
      </c>
      <c r="B69" s="396"/>
      <c r="C69" s="396"/>
      <c r="D69" s="396"/>
      <c r="AG69" s="219"/>
      <c r="AS69" s="242"/>
      <c r="AT69" s="238"/>
      <c r="AU69" s="239"/>
    </row>
    <row r="70" spans="1:47" ht="15" customHeight="1">
      <c r="A70" s="232" t="s">
        <v>154</v>
      </c>
      <c r="B70" s="393" t="s">
        <v>86</v>
      </c>
      <c r="C70" s="393" t="s">
        <v>99</v>
      </c>
      <c r="D70" s="393" t="s">
        <v>84</v>
      </c>
      <c r="E70" s="243"/>
      <c r="AG70" s="219"/>
    </row>
    <row r="71" spans="1:47" ht="15" customHeight="1">
      <c r="A71" s="232" t="s">
        <v>136</v>
      </c>
      <c r="B71" s="393">
        <f>+(AB38/$D$41)*$D$42</f>
        <v>1050000</v>
      </c>
      <c r="C71" s="393">
        <f>+AB37</f>
        <v>714298</v>
      </c>
      <c r="D71" s="393">
        <f>+C71-B71</f>
        <v>-335702</v>
      </c>
      <c r="E71" s="243"/>
      <c r="AG71" s="219"/>
    </row>
    <row r="72" spans="1:47" ht="15" customHeight="1">
      <c r="A72" s="232" t="s">
        <v>137</v>
      </c>
      <c r="B72" s="393">
        <f>+(AC38/$D$41)*$D$42</f>
        <v>949999.99999999988</v>
      </c>
      <c r="C72" s="393">
        <f>+AC37</f>
        <v>685662</v>
      </c>
      <c r="D72" s="393">
        <f>+C72-B72</f>
        <v>-264337.99999999988</v>
      </c>
      <c r="E72" s="243"/>
      <c r="AG72" s="219"/>
    </row>
    <row r="73" spans="1:47" ht="15" customHeight="1">
      <c r="A73" s="232" t="s">
        <v>53</v>
      </c>
      <c r="B73" s="393">
        <f>+(AD38/$D$41)*$D$42</f>
        <v>500000</v>
      </c>
      <c r="C73" s="393">
        <f>+AD37</f>
        <v>370483</v>
      </c>
      <c r="D73" s="393">
        <f>+C73-B73</f>
        <v>-129517</v>
      </c>
      <c r="E73" s="243"/>
      <c r="AG73" s="219"/>
    </row>
    <row r="74" spans="1:47" ht="15" customHeight="1">
      <c r="A74" s="87" t="s">
        <v>62</v>
      </c>
      <c r="B74" s="395">
        <f>SUM(B71:B73)</f>
        <v>2500000</v>
      </c>
      <c r="C74" s="395">
        <f>SUM(C71:C73)</f>
        <v>1770443</v>
      </c>
      <c r="D74" s="395">
        <f>+C74-B74</f>
        <v>-729557</v>
      </c>
      <c r="E74" s="243"/>
      <c r="Y74" s="29"/>
      <c r="Z74" s="29"/>
      <c r="AA74" s="29"/>
      <c r="AB74" s="29"/>
      <c r="AC74" s="29"/>
      <c r="AE74" s="244"/>
      <c r="AF74" s="244"/>
      <c r="AG74" s="219"/>
    </row>
    <row r="75" spans="1:47" ht="13" thickBot="1">
      <c r="A75" s="245"/>
      <c r="B75" s="246"/>
      <c r="C75" s="246"/>
      <c r="D75" s="246"/>
      <c r="E75" s="246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247"/>
      <c r="Z75" s="247"/>
      <c r="AA75" s="247"/>
      <c r="AB75" s="247"/>
      <c r="AC75" s="247"/>
      <c r="AD75" s="55"/>
      <c r="AE75" s="248"/>
      <c r="AF75" s="248"/>
      <c r="AG75" s="231"/>
    </row>
    <row r="76" spans="1:47" s="9" customFormat="1" ht="13">
      <c r="A76" s="249"/>
      <c r="B76" s="243"/>
      <c r="C76" s="24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29"/>
      <c r="Z76" s="29"/>
      <c r="AA76" s="29"/>
      <c r="AB76" s="29"/>
      <c r="AC76" s="29"/>
      <c r="AD76" s="7"/>
    </row>
    <row r="77" spans="1:47">
      <c r="Y77" s="29"/>
      <c r="Z77" s="29"/>
      <c r="AA77" s="29"/>
      <c r="AB77" s="29"/>
      <c r="AC77" s="29"/>
      <c r="AE77" s="244"/>
      <c r="AF77" s="244"/>
    </row>
    <row r="78" spans="1:47">
      <c r="Y78" s="29"/>
      <c r="Z78" s="29"/>
      <c r="AA78" s="29"/>
      <c r="AB78" s="29"/>
      <c r="AC78" s="29"/>
      <c r="AE78" s="244"/>
      <c r="AF78" s="244"/>
    </row>
    <row r="79" spans="1:47">
      <c r="Y79" s="29"/>
      <c r="Z79" s="29"/>
      <c r="AA79" s="29"/>
      <c r="AB79" s="29"/>
      <c r="AC79" s="29"/>
      <c r="AE79" s="244"/>
      <c r="AF79" s="244"/>
    </row>
    <row r="80" spans="1:47">
      <c r="AE80" s="244"/>
      <c r="AF80" s="244"/>
    </row>
    <row r="81" spans="31:32">
      <c r="AE81" s="244"/>
      <c r="AF81" s="244"/>
    </row>
    <row r="82" spans="31:32">
      <c r="AE82" s="244"/>
      <c r="AF82" s="244"/>
    </row>
    <row r="83" spans="31:32">
      <c r="AE83" s="244"/>
      <c r="AF83" s="244"/>
    </row>
    <row r="84" spans="31:32">
      <c r="AE84" s="244"/>
      <c r="AF84" s="244"/>
    </row>
  </sheetData>
  <mergeCells count="21">
    <mergeCell ref="A42:B42"/>
    <mergeCell ref="A43:B43"/>
    <mergeCell ref="P5:Q5"/>
    <mergeCell ref="R5:S5"/>
    <mergeCell ref="A41:B41"/>
    <mergeCell ref="Q48:AC48"/>
    <mergeCell ref="A1:AG1"/>
    <mergeCell ref="A3:A5"/>
    <mergeCell ref="I3:W3"/>
    <mergeCell ref="Y3:Y5"/>
    <mergeCell ref="Z3:Z5"/>
    <mergeCell ref="AA3:AA5"/>
    <mergeCell ref="AB3:AB5"/>
    <mergeCell ref="AC3:AC5"/>
    <mergeCell ref="AD3:AD5"/>
    <mergeCell ref="AE3:AE5"/>
    <mergeCell ref="J4:O4"/>
    <mergeCell ref="R4:S4"/>
    <mergeCell ref="B5:H5"/>
    <mergeCell ref="D3:H3"/>
    <mergeCell ref="X3:X4"/>
  </mergeCells>
  <printOptions horizontalCentered="1"/>
  <pageMargins left="0" right="0" top="0" bottom="0" header="0" footer="0"/>
  <pageSetup paperSize="9" scale="43" orientation="landscape" r:id="rId1"/>
  <headerFooter alignWithMargins="0"/>
  <ignoredErrors>
    <ignoredError sqref="Y6:AA7 AE6:AE7" formulaRange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A88F-E637-483D-B47E-EF3A758E5129}">
  <sheetPr>
    <tabColor rgb="FF92D050"/>
    <pageSetUpPr fitToPage="1"/>
  </sheetPr>
  <dimension ref="A1:AU84"/>
  <sheetViews>
    <sheetView showGridLines="0" view="pageBreakPreview" zoomScale="70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defaultColWidth="8.81640625" defaultRowHeight="12.5"/>
  <cols>
    <col min="1" max="1" width="10.1796875" style="8" customWidth="1"/>
    <col min="2" max="2" width="13.54296875" style="7" bestFit="1" customWidth="1"/>
    <col min="3" max="3" width="14.81640625" style="7" bestFit="1" customWidth="1"/>
    <col min="4" max="4" width="12.7265625" style="7" customWidth="1"/>
    <col min="5" max="8" width="10.453125" style="7" customWidth="1"/>
    <col min="9" max="9" width="12" style="7" bestFit="1" customWidth="1"/>
    <col min="10" max="10" width="12.453125" style="7" bestFit="1" customWidth="1"/>
    <col min="11" max="15" width="10.453125" style="7" customWidth="1"/>
    <col min="16" max="19" width="10.453125" style="7" hidden="1" customWidth="1"/>
    <col min="20" max="20" width="10.453125" style="7" customWidth="1"/>
    <col min="21" max="21" width="12" style="7" bestFit="1" customWidth="1"/>
    <col min="22" max="22" width="10.453125" style="7" customWidth="1"/>
    <col min="23" max="23" width="15.453125" style="7" bestFit="1" customWidth="1"/>
    <col min="24" max="24" width="10.453125" style="7" customWidth="1"/>
    <col min="25" max="25" width="12.81640625" style="7" bestFit="1" customWidth="1"/>
    <col min="26" max="26" width="14" style="7" customWidth="1"/>
    <col min="27" max="27" width="14.26953125" style="7" customWidth="1"/>
    <col min="28" max="28" width="14.453125" style="7" bestFit="1" customWidth="1"/>
    <col min="29" max="29" width="13.453125" style="7" bestFit="1" customWidth="1"/>
    <col min="30" max="30" width="12" style="7" bestFit="1" customWidth="1"/>
    <col min="31" max="31" width="14.81640625" style="7" customWidth="1"/>
    <col min="32" max="33" width="0.81640625" style="7" customWidth="1"/>
    <col min="34" max="34" width="11.7265625" style="7" customWidth="1"/>
    <col min="35" max="36" width="8.81640625" style="7"/>
    <col min="37" max="45" width="11.81640625" style="7" customWidth="1"/>
    <col min="46" max="16384" width="8.81640625" style="7"/>
  </cols>
  <sheetData>
    <row r="1" spans="1:33" ht="35.15" customHeight="1">
      <c r="A1" s="761">
        <f>+A6</f>
        <v>45047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3"/>
    </row>
    <row r="2" spans="1:33" ht="25" customHeight="1" thickBot="1">
      <c r="A2" s="40"/>
      <c r="AG2" s="220" t="s">
        <v>127</v>
      </c>
    </row>
    <row r="3" spans="1:33" ht="17.149999999999999" customHeight="1">
      <c r="A3" s="764" t="s">
        <v>128</v>
      </c>
      <c r="B3" s="114" t="s">
        <v>129</v>
      </c>
      <c r="C3" s="114" t="s">
        <v>130</v>
      </c>
      <c r="D3" s="796" t="s">
        <v>131</v>
      </c>
      <c r="E3" s="797"/>
      <c r="F3" s="797"/>
      <c r="G3" s="797"/>
      <c r="H3" s="798"/>
      <c r="I3" s="799" t="s">
        <v>42</v>
      </c>
      <c r="J3" s="800"/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178</v>
      </c>
      <c r="Z3" s="769" t="s">
        <v>179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3" s="9" customFormat="1" ht="17.149999999999999" customHeight="1">
      <c r="A4" s="765"/>
      <c r="B4" s="115" t="s">
        <v>139</v>
      </c>
      <c r="C4" s="115" t="s">
        <v>69</v>
      </c>
      <c r="D4" s="115" t="s">
        <v>166</v>
      </c>
      <c r="E4" s="64"/>
      <c r="F4" s="62"/>
      <c r="G4" s="62"/>
      <c r="H4" s="116" t="s">
        <v>46</v>
      </c>
      <c r="I4" s="115" t="s">
        <v>177</v>
      </c>
      <c r="J4" s="777" t="s">
        <v>184</v>
      </c>
      <c r="K4" s="782"/>
      <c r="L4" s="782"/>
      <c r="M4" s="782"/>
      <c r="N4" s="782"/>
      <c r="O4" s="778"/>
      <c r="P4" s="285"/>
      <c r="Q4" s="286"/>
      <c r="R4" s="777"/>
      <c r="S4" s="778"/>
      <c r="T4" s="284"/>
      <c r="U4" s="254" t="s">
        <v>48</v>
      </c>
      <c r="V4" s="254" t="s">
        <v>140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3" ht="30" customHeight="1" thickBot="1">
      <c r="A5" s="766"/>
      <c r="B5" s="783" t="s">
        <v>51</v>
      </c>
      <c r="C5" s="784"/>
      <c r="D5" s="784"/>
      <c r="E5" s="784"/>
      <c r="F5" s="784"/>
      <c r="G5" s="784"/>
      <c r="H5" s="785"/>
      <c r="I5" s="298" t="s">
        <v>51</v>
      </c>
      <c r="J5" s="310" t="s">
        <v>120</v>
      </c>
      <c r="K5" s="311"/>
      <c r="L5" s="312"/>
      <c r="M5" s="312"/>
      <c r="N5" s="313"/>
      <c r="O5" s="313"/>
      <c r="P5" s="775"/>
      <c r="Q5" s="776"/>
      <c r="R5" s="775"/>
      <c r="S5" s="776"/>
      <c r="T5" s="481"/>
      <c r="U5" s="482" t="s">
        <v>51</v>
      </c>
      <c r="V5" s="482"/>
      <c r="W5" s="483" t="s">
        <v>175</v>
      </c>
      <c r="X5" s="299" t="s">
        <v>55</v>
      </c>
      <c r="Y5" s="793"/>
      <c r="Z5" s="771"/>
      <c r="AA5" s="774"/>
      <c r="AB5" s="757"/>
      <c r="AC5" s="757"/>
      <c r="AD5" s="757"/>
      <c r="AE5" s="760"/>
      <c r="AG5" s="219"/>
    </row>
    <row r="6" spans="1:33" ht="17.149999999999999" customHeight="1">
      <c r="A6" s="124">
        <v>45047</v>
      </c>
      <c r="B6" s="339">
        <v>0</v>
      </c>
      <c r="C6" s="340">
        <v>4921.300000000002</v>
      </c>
      <c r="D6" s="340">
        <v>5166.2000000000007</v>
      </c>
      <c r="E6" s="339"/>
      <c r="F6" s="340"/>
      <c r="G6" s="341"/>
      <c r="H6" s="341">
        <v>2073.5000000000014</v>
      </c>
      <c r="I6" s="340">
        <v>424.89999999999992</v>
      </c>
      <c r="J6" s="342">
        <v>12477.899999999998</v>
      </c>
      <c r="K6" s="343"/>
      <c r="L6" s="340"/>
      <c r="M6" s="342"/>
      <c r="N6" s="341"/>
      <c r="O6" s="341"/>
      <c r="P6" s="340"/>
      <c r="Q6" s="342"/>
      <c r="R6" s="340"/>
      <c r="S6" s="340"/>
      <c r="T6" s="340"/>
      <c r="U6" s="340">
        <v>962.9000000000002</v>
      </c>
      <c r="V6" s="340"/>
      <c r="W6" s="342">
        <v>28378.800000000017</v>
      </c>
      <c r="X6" s="343">
        <v>1541.9</v>
      </c>
      <c r="Y6" s="344">
        <f t="shared" ref="Y6:Y36" si="0">SUM(B6:H6,X6)</f>
        <v>13702.900000000005</v>
      </c>
      <c r="Z6" s="344">
        <f>SUM(I6:W6)</f>
        <v>42244.500000000015</v>
      </c>
      <c r="AA6" s="345">
        <f t="shared" ref="AA6:AA36" si="1">SUM(B6:X6)</f>
        <v>55947.400000000023</v>
      </c>
      <c r="AB6" s="341">
        <v>37492</v>
      </c>
      <c r="AC6" s="343">
        <v>33729</v>
      </c>
      <c r="AD6" s="343">
        <v>19316</v>
      </c>
      <c r="AE6" s="345">
        <f>SUM(AB6:AD6)</f>
        <v>90537</v>
      </c>
      <c r="AG6" s="219"/>
    </row>
    <row r="7" spans="1:33" ht="17.149999999999999" customHeight="1">
      <c r="A7" s="60">
        <f t="shared" ref="A7:A36" si="2">+A6+1</f>
        <v>45048</v>
      </c>
      <c r="B7" s="346">
        <v>1745.8999999999999</v>
      </c>
      <c r="C7" s="347">
        <v>6950.9000000000024</v>
      </c>
      <c r="D7" s="347">
        <v>8618.9999999999964</v>
      </c>
      <c r="E7" s="346"/>
      <c r="F7" s="347"/>
      <c r="G7" s="348"/>
      <c r="H7" s="348">
        <v>3421.1999999999994</v>
      </c>
      <c r="I7" s="347">
        <v>132.6</v>
      </c>
      <c r="J7" s="349">
        <v>14327.600000000002</v>
      </c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347">
        <v>2119.0999999999995</v>
      </c>
      <c r="V7" s="347"/>
      <c r="W7" s="347">
        <v>47264.199999999983</v>
      </c>
      <c r="X7" s="350">
        <v>981.40000000000009</v>
      </c>
      <c r="Y7" s="344">
        <f t="shared" si="0"/>
        <v>21718.400000000001</v>
      </c>
      <c r="Z7" s="351">
        <f t="shared" ref="Z7:Z36" si="3">SUM(I7:W7)</f>
        <v>63843.499999999985</v>
      </c>
      <c r="AA7" s="352">
        <f t="shared" si="1"/>
        <v>85561.899999999965</v>
      </c>
      <c r="AB7" s="348">
        <v>26442</v>
      </c>
      <c r="AC7" s="350">
        <v>24846</v>
      </c>
      <c r="AD7" s="350">
        <v>14573</v>
      </c>
      <c r="AE7" s="352">
        <f t="shared" ref="AE7:AE36" si="4">SUM(AB7:AD7)</f>
        <v>65861</v>
      </c>
      <c r="AG7" s="219"/>
    </row>
    <row r="8" spans="1:33" ht="17.149999999999999" customHeight="1">
      <c r="A8" s="60">
        <f t="shared" si="2"/>
        <v>45049</v>
      </c>
      <c r="B8" s="346">
        <v>2905.5</v>
      </c>
      <c r="C8" s="347">
        <v>8222.9999999999964</v>
      </c>
      <c r="D8" s="347">
        <v>8038.3999999999978</v>
      </c>
      <c r="E8" s="346"/>
      <c r="F8" s="347"/>
      <c r="G8" s="348"/>
      <c r="H8" s="348">
        <v>3156.3999999999992</v>
      </c>
      <c r="I8" s="347">
        <v>1114</v>
      </c>
      <c r="J8" s="349">
        <v>23846.3</v>
      </c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>
        <v>3137.4999999999955</v>
      </c>
      <c r="V8" s="347"/>
      <c r="W8" s="347">
        <v>54460.800000000003</v>
      </c>
      <c r="X8" s="353">
        <v>1622.1000000000001</v>
      </c>
      <c r="Y8" s="344">
        <f t="shared" si="0"/>
        <v>23945.399999999991</v>
      </c>
      <c r="Z8" s="351">
        <f t="shared" si="3"/>
        <v>82558.600000000006</v>
      </c>
      <c r="AA8" s="352">
        <f t="shared" si="1"/>
        <v>106504</v>
      </c>
      <c r="AB8" s="348">
        <v>37498</v>
      </c>
      <c r="AC8" s="353">
        <v>35527</v>
      </c>
      <c r="AD8" s="353">
        <v>19418</v>
      </c>
      <c r="AE8" s="352">
        <f t="shared" si="4"/>
        <v>92443</v>
      </c>
      <c r="AG8" s="219"/>
    </row>
    <row r="9" spans="1:33" ht="17.149999999999999" customHeight="1">
      <c r="A9" s="60">
        <f t="shared" si="2"/>
        <v>45050</v>
      </c>
      <c r="B9" s="346">
        <v>1982</v>
      </c>
      <c r="C9" s="347">
        <v>6256.8999999999978</v>
      </c>
      <c r="D9" s="347">
        <v>5273.9999999999982</v>
      </c>
      <c r="E9" s="346"/>
      <c r="F9" s="347"/>
      <c r="G9" s="348"/>
      <c r="H9" s="348">
        <v>2095.6000000000004</v>
      </c>
      <c r="I9" s="347">
        <v>1406.7000000000005</v>
      </c>
      <c r="J9" s="349">
        <v>15440.900000000005</v>
      </c>
      <c r="K9" s="347"/>
      <c r="L9" s="347"/>
      <c r="M9" s="347"/>
      <c r="N9" s="347"/>
      <c r="O9" s="347"/>
      <c r="P9" s="347"/>
      <c r="Q9" s="347"/>
      <c r="R9" s="347"/>
      <c r="S9" s="347"/>
      <c r="T9" s="347"/>
      <c r="U9" s="347">
        <v>2022.299999999999</v>
      </c>
      <c r="V9" s="347"/>
      <c r="W9" s="347">
        <v>37031.200000000019</v>
      </c>
      <c r="X9" s="353">
        <v>2078.7000000000003</v>
      </c>
      <c r="Y9" s="344">
        <f t="shared" si="0"/>
        <v>17687.199999999997</v>
      </c>
      <c r="Z9" s="351">
        <f t="shared" si="3"/>
        <v>55901.10000000002</v>
      </c>
      <c r="AA9" s="352">
        <f t="shared" si="1"/>
        <v>73588.300000000017</v>
      </c>
      <c r="AB9" s="348">
        <v>39667</v>
      </c>
      <c r="AC9" s="353">
        <v>38046</v>
      </c>
      <c r="AD9" s="353">
        <v>21038</v>
      </c>
      <c r="AE9" s="352">
        <f t="shared" si="4"/>
        <v>98751</v>
      </c>
      <c r="AG9" s="219"/>
    </row>
    <row r="10" spans="1:33" ht="17.149999999999999" customHeight="1">
      <c r="A10" s="60">
        <f t="shared" si="2"/>
        <v>45051</v>
      </c>
      <c r="B10" s="346">
        <v>1295.0999999999999</v>
      </c>
      <c r="C10" s="347">
        <v>5248.3999999999987</v>
      </c>
      <c r="D10" s="347">
        <v>4955.8000000000011</v>
      </c>
      <c r="E10" s="346"/>
      <c r="F10" s="347"/>
      <c r="G10" s="348"/>
      <c r="H10" s="348">
        <v>2122.1999999999994</v>
      </c>
      <c r="I10" s="347">
        <v>1485.8</v>
      </c>
      <c r="J10" s="349">
        <v>14767.600000000004</v>
      </c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>
        <v>2001.8999999999999</v>
      </c>
      <c r="V10" s="347"/>
      <c r="W10" s="347">
        <v>29865.4</v>
      </c>
      <c r="X10" s="353">
        <v>2742.0000000000023</v>
      </c>
      <c r="Y10" s="344">
        <f t="shared" si="0"/>
        <v>16363.5</v>
      </c>
      <c r="Z10" s="351">
        <f t="shared" si="3"/>
        <v>48120.700000000004</v>
      </c>
      <c r="AA10" s="352">
        <f t="shared" si="1"/>
        <v>64484.200000000004</v>
      </c>
      <c r="AB10" s="348">
        <v>26202</v>
      </c>
      <c r="AC10" s="353">
        <v>25444</v>
      </c>
      <c r="AD10" s="353">
        <v>13804</v>
      </c>
      <c r="AE10" s="352">
        <f t="shared" si="4"/>
        <v>65450</v>
      </c>
      <c r="AG10" s="219"/>
    </row>
    <row r="11" spans="1:33" ht="17.149999999999999" customHeight="1">
      <c r="A11" s="60">
        <f t="shared" si="2"/>
        <v>45052</v>
      </c>
      <c r="B11" s="346">
        <v>1481.4</v>
      </c>
      <c r="C11" s="347">
        <v>6528.4000000000087</v>
      </c>
      <c r="D11" s="347">
        <v>8381</v>
      </c>
      <c r="E11" s="346"/>
      <c r="F11" s="347"/>
      <c r="G11" s="348"/>
      <c r="H11" s="348">
        <v>3393.3</v>
      </c>
      <c r="I11" s="347">
        <v>1485.8</v>
      </c>
      <c r="J11" s="349">
        <v>20980.6</v>
      </c>
      <c r="K11" s="347"/>
      <c r="L11" s="347"/>
      <c r="M11" s="347"/>
      <c r="N11" s="347"/>
      <c r="O11" s="347"/>
      <c r="P11" s="347"/>
      <c r="Q11" s="347"/>
      <c r="R11" s="347"/>
      <c r="S11" s="347"/>
      <c r="T11" s="347"/>
      <c r="U11" s="347">
        <v>2258.2999999999993</v>
      </c>
      <c r="V11" s="347"/>
      <c r="W11" s="347">
        <v>40519.699999999975</v>
      </c>
      <c r="X11" s="353">
        <v>2891.1</v>
      </c>
      <c r="Y11" s="344">
        <f t="shared" si="0"/>
        <v>22675.200000000008</v>
      </c>
      <c r="Z11" s="351">
        <f t="shared" si="3"/>
        <v>65244.399999999972</v>
      </c>
      <c r="AA11" s="352">
        <f t="shared" si="1"/>
        <v>87919.599999999977</v>
      </c>
      <c r="AB11" s="348">
        <v>36534</v>
      </c>
      <c r="AC11" s="353">
        <v>34206</v>
      </c>
      <c r="AD11" s="353">
        <v>18567</v>
      </c>
      <c r="AE11" s="352">
        <f t="shared" si="4"/>
        <v>89307</v>
      </c>
      <c r="AG11" s="219"/>
    </row>
    <row r="12" spans="1:33" ht="17.149999999999999" customHeight="1">
      <c r="A12" s="60">
        <f t="shared" si="2"/>
        <v>45053</v>
      </c>
      <c r="B12" s="346">
        <v>2120.4</v>
      </c>
      <c r="C12" s="347">
        <v>7508.100000000004</v>
      </c>
      <c r="D12" s="347">
        <v>7927.5000000000036</v>
      </c>
      <c r="E12" s="346"/>
      <c r="F12" s="347"/>
      <c r="G12" s="348"/>
      <c r="H12" s="348">
        <v>3474.1000000000004</v>
      </c>
      <c r="I12" s="347">
        <v>2249.6000000000004</v>
      </c>
      <c r="J12" s="349">
        <v>22413.099999999995</v>
      </c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>
        <v>2584.2999999999993</v>
      </c>
      <c r="V12" s="347"/>
      <c r="W12" s="347">
        <v>50828.71</v>
      </c>
      <c r="X12" s="353">
        <v>2084.3000000000006</v>
      </c>
      <c r="Y12" s="344">
        <f t="shared" si="0"/>
        <v>23114.400000000005</v>
      </c>
      <c r="Z12" s="351">
        <f t="shared" si="3"/>
        <v>78075.709999999992</v>
      </c>
      <c r="AA12" s="352">
        <f t="shared" si="1"/>
        <v>101190.11</v>
      </c>
      <c r="AB12" s="348">
        <v>25004</v>
      </c>
      <c r="AC12" s="353">
        <v>24124</v>
      </c>
      <c r="AD12" s="353">
        <v>13114</v>
      </c>
      <c r="AE12" s="352">
        <f t="shared" si="4"/>
        <v>62242</v>
      </c>
      <c r="AG12" s="219"/>
    </row>
    <row r="13" spans="1:33" ht="17.149999999999999" customHeight="1">
      <c r="A13" s="60">
        <f t="shared" si="2"/>
        <v>45054</v>
      </c>
      <c r="B13" s="346">
        <v>1696.3000000000002</v>
      </c>
      <c r="C13" s="347">
        <v>6123.5000000000127</v>
      </c>
      <c r="D13" s="347">
        <v>5700.9</v>
      </c>
      <c r="E13" s="346"/>
      <c r="F13" s="347"/>
      <c r="G13" s="348"/>
      <c r="H13" s="348">
        <v>3526.3999999999996</v>
      </c>
      <c r="I13" s="347">
        <v>3495</v>
      </c>
      <c r="J13" s="349">
        <v>19864.699999999993</v>
      </c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>
        <v>2402.799999999997</v>
      </c>
      <c r="V13" s="347"/>
      <c r="W13" s="347">
        <v>44729.299999999996</v>
      </c>
      <c r="X13" s="353">
        <v>2198.3000000000002</v>
      </c>
      <c r="Y13" s="344">
        <f t="shared" si="0"/>
        <v>19245.400000000012</v>
      </c>
      <c r="Z13" s="351">
        <f t="shared" si="3"/>
        <v>70491.799999999988</v>
      </c>
      <c r="AA13" s="352">
        <f t="shared" si="1"/>
        <v>89737.2</v>
      </c>
      <c r="AB13" s="348">
        <v>43626</v>
      </c>
      <c r="AC13" s="350">
        <v>41289</v>
      </c>
      <c r="AD13" s="350">
        <v>23708</v>
      </c>
      <c r="AE13" s="352">
        <f t="shared" si="4"/>
        <v>108623</v>
      </c>
      <c r="AG13" s="219"/>
    </row>
    <row r="14" spans="1:33" ht="17.149999999999999" customHeight="1">
      <c r="A14" s="60">
        <f t="shared" si="2"/>
        <v>45055</v>
      </c>
      <c r="B14" s="346">
        <v>0</v>
      </c>
      <c r="C14" s="347">
        <v>3639.1000000000004</v>
      </c>
      <c r="D14" s="347">
        <v>4142.4999999999991</v>
      </c>
      <c r="E14" s="346"/>
      <c r="F14" s="347"/>
      <c r="G14" s="348"/>
      <c r="H14" s="348">
        <v>1456.7999999999995</v>
      </c>
      <c r="I14" s="347">
        <v>2937.2000000000003</v>
      </c>
      <c r="J14" s="349">
        <v>12477.300000000007</v>
      </c>
      <c r="K14" s="347"/>
      <c r="L14" s="347"/>
      <c r="M14" s="347"/>
      <c r="N14" s="347"/>
      <c r="O14" s="347"/>
      <c r="P14" s="347"/>
      <c r="Q14" s="347"/>
      <c r="R14" s="347"/>
      <c r="S14" s="347"/>
      <c r="T14" s="347"/>
      <c r="U14" s="347">
        <v>2369.0999999999972</v>
      </c>
      <c r="V14" s="347"/>
      <c r="W14" s="347">
        <v>24832.300000000017</v>
      </c>
      <c r="X14" s="353">
        <v>1980.6</v>
      </c>
      <c r="Y14" s="344">
        <f t="shared" si="0"/>
        <v>11219</v>
      </c>
      <c r="Z14" s="351">
        <f t="shared" si="3"/>
        <v>42615.900000000023</v>
      </c>
      <c r="AA14" s="352">
        <f t="shared" si="1"/>
        <v>53834.900000000023</v>
      </c>
      <c r="AB14" s="348">
        <v>36295</v>
      </c>
      <c r="AC14" s="353">
        <v>32766</v>
      </c>
      <c r="AD14" s="353">
        <v>17958</v>
      </c>
      <c r="AE14" s="352">
        <f t="shared" si="4"/>
        <v>87019</v>
      </c>
      <c r="AG14" s="219"/>
    </row>
    <row r="15" spans="1:33" ht="17.149999999999999" customHeight="1">
      <c r="A15" s="60">
        <f t="shared" si="2"/>
        <v>45056</v>
      </c>
      <c r="B15" s="346">
        <v>0</v>
      </c>
      <c r="C15" s="347">
        <v>6104.7000000000071</v>
      </c>
      <c r="D15" s="347">
        <v>9160</v>
      </c>
      <c r="E15" s="346"/>
      <c r="F15" s="347"/>
      <c r="G15" s="348"/>
      <c r="H15" s="348">
        <v>2648.4999999999995</v>
      </c>
      <c r="I15" s="347">
        <v>2485.6000000000004</v>
      </c>
      <c r="J15" s="349">
        <v>22719.3</v>
      </c>
      <c r="K15" s="347"/>
      <c r="L15" s="347"/>
      <c r="M15" s="347"/>
      <c r="N15" s="347"/>
      <c r="O15" s="347"/>
      <c r="P15" s="347"/>
      <c r="Q15" s="347"/>
      <c r="R15" s="347"/>
      <c r="S15" s="347"/>
      <c r="T15" s="347"/>
      <c r="U15" s="347">
        <v>2609.7999999999975</v>
      </c>
      <c r="V15" s="347"/>
      <c r="W15" s="347">
        <v>35966.80000000001</v>
      </c>
      <c r="X15" s="353">
        <v>2401.5000000000005</v>
      </c>
      <c r="Y15" s="344">
        <f t="shared" si="0"/>
        <v>20314.700000000008</v>
      </c>
      <c r="Z15" s="351">
        <f t="shared" si="3"/>
        <v>63781.500000000007</v>
      </c>
      <c r="AA15" s="352">
        <f t="shared" si="1"/>
        <v>84096.200000000012</v>
      </c>
      <c r="AB15" s="348">
        <v>30412</v>
      </c>
      <c r="AC15" s="353">
        <v>29765</v>
      </c>
      <c r="AD15" s="353">
        <v>15204</v>
      </c>
      <c r="AE15" s="352">
        <f t="shared" si="4"/>
        <v>75381</v>
      </c>
      <c r="AG15" s="219"/>
    </row>
    <row r="16" spans="1:33" ht="17.149999999999999" customHeight="1">
      <c r="A16" s="60">
        <f t="shared" si="2"/>
        <v>45057</v>
      </c>
      <c r="B16" s="346">
        <v>1961.1</v>
      </c>
      <c r="C16" s="347">
        <v>9032.6000000000258</v>
      </c>
      <c r="D16" s="347">
        <v>11037.199999999997</v>
      </c>
      <c r="E16" s="346"/>
      <c r="F16" s="347"/>
      <c r="G16" s="348"/>
      <c r="H16" s="348">
        <v>3361.8999999999996</v>
      </c>
      <c r="I16" s="347">
        <v>185.3</v>
      </c>
      <c r="J16" s="349">
        <v>26855.000000000004</v>
      </c>
      <c r="K16" s="347"/>
      <c r="L16" s="347"/>
      <c r="M16" s="347"/>
      <c r="N16" s="347"/>
      <c r="O16" s="347"/>
      <c r="P16" s="347"/>
      <c r="Q16" s="347"/>
      <c r="R16" s="347"/>
      <c r="S16" s="347"/>
      <c r="T16" s="347"/>
      <c r="U16" s="347">
        <v>3376.7999999999965</v>
      </c>
      <c r="V16" s="347"/>
      <c r="W16" s="347">
        <v>43892.199999999968</v>
      </c>
      <c r="X16" s="353">
        <v>2381.3000000000002</v>
      </c>
      <c r="Y16" s="344">
        <f t="shared" si="0"/>
        <v>27774.100000000024</v>
      </c>
      <c r="Z16" s="351">
        <f t="shared" si="3"/>
        <v>74309.299999999959</v>
      </c>
      <c r="AA16" s="352">
        <f t="shared" si="1"/>
        <v>102083.4</v>
      </c>
      <c r="AB16" s="348">
        <v>45200</v>
      </c>
      <c r="AC16" s="353">
        <v>42389</v>
      </c>
      <c r="AD16" s="353">
        <v>21225</v>
      </c>
      <c r="AE16" s="352">
        <f t="shared" si="4"/>
        <v>108814</v>
      </c>
      <c r="AG16" s="219"/>
    </row>
    <row r="17" spans="1:33" ht="17.149999999999999" customHeight="1">
      <c r="A17" s="60">
        <f t="shared" si="2"/>
        <v>45058</v>
      </c>
      <c r="B17" s="346">
        <v>981.7</v>
      </c>
      <c r="C17" s="347">
        <v>5522.4000000000087</v>
      </c>
      <c r="D17" s="347">
        <v>7241.9999999999982</v>
      </c>
      <c r="E17" s="346"/>
      <c r="F17" s="347"/>
      <c r="G17" s="348"/>
      <c r="H17" s="348">
        <v>4898.2000000000035</v>
      </c>
      <c r="I17" s="347">
        <v>317.60000000000002</v>
      </c>
      <c r="J17" s="349">
        <v>17869.3</v>
      </c>
      <c r="K17" s="347"/>
      <c r="L17" s="347"/>
      <c r="M17" s="347"/>
      <c r="N17" s="347"/>
      <c r="O17" s="347"/>
      <c r="P17" s="347"/>
      <c r="Q17" s="347"/>
      <c r="R17" s="347"/>
      <c r="S17" s="347"/>
      <c r="T17" s="347"/>
      <c r="U17" s="347">
        <v>1595.8999999999994</v>
      </c>
      <c r="V17" s="347"/>
      <c r="W17" s="347">
        <v>38633.299999999988</v>
      </c>
      <c r="X17" s="353">
        <v>2744.8</v>
      </c>
      <c r="Y17" s="344">
        <f t="shared" si="0"/>
        <v>21389.100000000009</v>
      </c>
      <c r="Z17" s="351">
        <f t="shared" si="3"/>
        <v>58416.099999999984</v>
      </c>
      <c r="AA17" s="352">
        <f t="shared" si="1"/>
        <v>79805.2</v>
      </c>
      <c r="AB17" s="348">
        <v>33414</v>
      </c>
      <c r="AC17" s="353">
        <v>33602</v>
      </c>
      <c r="AD17" s="353">
        <v>17545</v>
      </c>
      <c r="AE17" s="352">
        <f t="shared" si="4"/>
        <v>84561</v>
      </c>
      <c r="AG17" s="219"/>
    </row>
    <row r="18" spans="1:33" ht="17.149999999999999" customHeight="1">
      <c r="A18" s="60">
        <f t="shared" si="2"/>
        <v>45059</v>
      </c>
      <c r="B18" s="346">
        <v>955.5</v>
      </c>
      <c r="C18" s="347">
        <v>3980.0999999999995</v>
      </c>
      <c r="D18" s="347">
        <v>6469.9999999999991</v>
      </c>
      <c r="E18" s="346"/>
      <c r="F18" s="347"/>
      <c r="G18" s="348"/>
      <c r="H18" s="348">
        <v>2207.8000000000002</v>
      </c>
      <c r="I18" s="347">
        <v>1374.9000000000005</v>
      </c>
      <c r="J18" s="349">
        <v>20963.199999999993</v>
      </c>
      <c r="K18" s="347"/>
      <c r="L18" s="347"/>
      <c r="M18" s="347"/>
      <c r="N18" s="347"/>
      <c r="O18" s="347"/>
      <c r="P18" s="347"/>
      <c r="Q18" s="347"/>
      <c r="R18" s="347"/>
      <c r="S18" s="347"/>
      <c r="T18" s="347"/>
      <c r="U18" s="347">
        <v>1932.3999999999994</v>
      </c>
      <c r="V18" s="347"/>
      <c r="W18" s="347">
        <v>48072.400000000009</v>
      </c>
      <c r="X18" s="350">
        <v>3489.8</v>
      </c>
      <c r="Y18" s="344">
        <f t="shared" si="0"/>
        <v>17103.199999999997</v>
      </c>
      <c r="Z18" s="351">
        <f t="shared" si="3"/>
        <v>72342.899999999994</v>
      </c>
      <c r="AA18" s="352">
        <f t="shared" si="1"/>
        <v>89446.1</v>
      </c>
      <c r="AB18" s="348">
        <v>34136</v>
      </c>
      <c r="AC18" s="350">
        <v>33517</v>
      </c>
      <c r="AD18" s="350">
        <v>18052</v>
      </c>
      <c r="AE18" s="352">
        <f t="shared" si="4"/>
        <v>85705</v>
      </c>
      <c r="AG18" s="219"/>
    </row>
    <row r="19" spans="1:33" ht="17.149999999999999" customHeight="1">
      <c r="A19" s="60">
        <f t="shared" si="2"/>
        <v>45060</v>
      </c>
      <c r="B19" s="346">
        <v>3841.1000000000004</v>
      </c>
      <c r="C19" s="347">
        <v>8408.2000000000007</v>
      </c>
      <c r="D19" s="347">
        <v>13068.199999999999</v>
      </c>
      <c r="E19" s="346"/>
      <c r="F19" s="347"/>
      <c r="G19" s="348"/>
      <c r="H19" s="348">
        <v>4626.5</v>
      </c>
      <c r="I19" s="347">
        <v>2508.5</v>
      </c>
      <c r="J19" s="349">
        <v>26898</v>
      </c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>
        <v>2316.1999999999998</v>
      </c>
      <c r="V19" s="347"/>
      <c r="W19" s="347">
        <v>53440.4</v>
      </c>
      <c r="X19" s="354">
        <v>5651.2</v>
      </c>
      <c r="Y19" s="344">
        <f t="shared" si="0"/>
        <v>35595.199999999997</v>
      </c>
      <c r="Z19" s="351">
        <f t="shared" si="3"/>
        <v>85163.1</v>
      </c>
      <c r="AA19" s="352">
        <f t="shared" si="1"/>
        <v>120758.3</v>
      </c>
      <c r="AB19" s="348">
        <v>31764</v>
      </c>
      <c r="AC19" s="354">
        <v>27617</v>
      </c>
      <c r="AD19" s="354">
        <v>15833</v>
      </c>
      <c r="AE19" s="352">
        <f t="shared" si="4"/>
        <v>75214</v>
      </c>
      <c r="AG19" s="219"/>
    </row>
    <row r="20" spans="1:33" ht="17.149999999999999" customHeight="1">
      <c r="A20" s="60">
        <f t="shared" si="2"/>
        <v>45061</v>
      </c>
      <c r="B20" s="346">
        <v>3785.1</v>
      </c>
      <c r="C20" s="347">
        <v>7440.2000000000007</v>
      </c>
      <c r="D20" s="347">
        <v>11242.1</v>
      </c>
      <c r="E20" s="347"/>
      <c r="F20" s="347"/>
      <c r="G20" s="348"/>
      <c r="H20" s="348">
        <v>5155.3999999999996</v>
      </c>
      <c r="I20" s="347">
        <v>1291.5</v>
      </c>
      <c r="J20" s="349">
        <v>23042.9</v>
      </c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>
        <v>1878.1999999999998</v>
      </c>
      <c r="V20" s="347"/>
      <c r="W20" s="347">
        <v>43096.4</v>
      </c>
      <c r="X20" s="354">
        <v>4894</v>
      </c>
      <c r="Y20" s="344">
        <f t="shared" si="0"/>
        <v>32516.800000000003</v>
      </c>
      <c r="Z20" s="351">
        <f t="shared" si="3"/>
        <v>69309</v>
      </c>
      <c r="AA20" s="352">
        <f t="shared" si="1"/>
        <v>101825.8</v>
      </c>
      <c r="AB20" s="348">
        <v>47507</v>
      </c>
      <c r="AC20" s="354">
        <v>44450</v>
      </c>
      <c r="AD20" s="354">
        <v>23147</v>
      </c>
      <c r="AE20" s="352">
        <f t="shared" si="4"/>
        <v>115104</v>
      </c>
      <c r="AG20" s="219"/>
    </row>
    <row r="21" spans="1:33" ht="17.149999999999999" customHeight="1">
      <c r="A21" s="60">
        <f t="shared" si="2"/>
        <v>45062</v>
      </c>
      <c r="B21" s="346">
        <v>5078.9000000000005</v>
      </c>
      <c r="C21" s="347">
        <v>10178.5</v>
      </c>
      <c r="D21" s="347">
        <v>11404.7</v>
      </c>
      <c r="E21" s="348"/>
      <c r="F21" s="347"/>
      <c r="G21" s="348"/>
      <c r="H21" s="348">
        <v>7463.9</v>
      </c>
      <c r="I21" s="347">
        <v>286.60000000000002</v>
      </c>
      <c r="J21" s="349">
        <v>29910</v>
      </c>
      <c r="K21" s="347"/>
      <c r="L21" s="347"/>
      <c r="M21" s="347"/>
      <c r="N21" s="347"/>
      <c r="O21" s="347"/>
      <c r="P21" s="347"/>
      <c r="Q21" s="355"/>
      <c r="R21" s="347"/>
      <c r="S21" s="347"/>
      <c r="T21" s="347"/>
      <c r="U21" s="347">
        <v>1733.3999999999999</v>
      </c>
      <c r="V21" s="347"/>
      <c r="W21" s="355">
        <v>48736.4</v>
      </c>
      <c r="X21" s="356">
        <v>5133.7999999999993</v>
      </c>
      <c r="Y21" s="344">
        <f t="shared" si="0"/>
        <v>39259.800000000003</v>
      </c>
      <c r="Z21" s="351">
        <f t="shared" si="3"/>
        <v>80666.399999999994</v>
      </c>
      <c r="AA21" s="352">
        <f t="shared" si="1"/>
        <v>119926.2</v>
      </c>
      <c r="AB21" s="348">
        <v>49913</v>
      </c>
      <c r="AC21" s="350">
        <v>45533</v>
      </c>
      <c r="AD21" s="350">
        <v>25410</v>
      </c>
      <c r="AE21" s="352">
        <f t="shared" si="4"/>
        <v>120856</v>
      </c>
      <c r="AG21" s="219"/>
    </row>
    <row r="22" spans="1:33" ht="17.149999999999999" customHeight="1">
      <c r="A22" s="60">
        <f t="shared" si="2"/>
        <v>45063</v>
      </c>
      <c r="B22" s="346">
        <v>4125.7</v>
      </c>
      <c r="C22" s="347">
        <v>6929.7</v>
      </c>
      <c r="D22" s="347">
        <v>9276.7999999999993</v>
      </c>
      <c r="E22" s="348"/>
      <c r="F22" s="347"/>
      <c r="G22" s="348"/>
      <c r="H22" s="348">
        <v>4037.6</v>
      </c>
      <c r="I22" s="347">
        <v>2248.2000000000012</v>
      </c>
      <c r="J22" s="349">
        <v>25491.200000000001</v>
      </c>
      <c r="K22" s="347"/>
      <c r="L22" s="347"/>
      <c r="M22" s="347"/>
      <c r="N22" s="347"/>
      <c r="O22" s="347"/>
      <c r="P22" s="347"/>
      <c r="Q22" s="347"/>
      <c r="R22" s="347"/>
      <c r="S22" s="347"/>
      <c r="T22" s="347"/>
      <c r="U22" s="347">
        <v>2474.2999999999997</v>
      </c>
      <c r="V22" s="347"/>
      <c r="W22" s="347">
        <v>27995.4</v>
      </c>
      <c r="X22" s="353">
        <v>4386.1000000000004</v>
      </c>
      <c r="Y22" s="344">
        <f t="shared" si="0"/>
        <v>28755.899999999994</v>
      </c>
      <c r="Z22" s="351">
        <f t="shared" si="3"/>
        <v>58209.100000000006</v>
      </c>
      <c r="AA22" s="352">
        <f t="shared" si="1"/>
        <v>86965</v>
      </c>
      <c r="AB22" s="348">
        <v>43063</v>
      </c>
      <c r="AC22" s="353">
        <v>38571</v>
      </c>
      <c r="AD22" s="353">
        <v>20016</v>
      </c>
      <c r="AE22" s="352">
        <f t="shared" si="4"/>
        <v>101650</v>
      </c>
      <c r="AG22" s="219"/>
    </row>
    <row r="23" spans="1:33" ht="17.149999999999999" customHeight="1">
      <c r="A23" s="60">
        <f t="shared" si="2"/>
        <v>45064</v>
      </c>
      <c r="B23" s="346">
        <v>1796.3</v>
      </c>
      <c r="C23" s="347">
        <v>7265</v>
      </c>
      <c r="D23" s="347">
        <v>9648.7999999999993</v>
      </c>
      <c r="E23" s="348"/>
      <c r="F23" s="347"/>
      <c r="G23" s="348"/>
      <c r="H23" s="348">
        <v>4829.3</v>
      </c>
      <c r="I23" s="347">
        <v>1637.3000000000002</v>
      </c>
      <c r="J23" s="349">
        <v>22371.599999999999</v>
      </c>
      <c r="K23" s="347"/>
      <c r="L23" s="347"/>
      <c r="M23" s="347"/>
      <c r="N23" s="347"/>
      <c r="O23" s="347"/>
      <c r="P23" s="347"/>
      <c r="Q23" s="347"/>
      <c r="R23" s="347"/>
      <c r="S23" s="347"/>
      <c r="T23" s="347"/>
      <c r="U23" s="347">
        <v>1788.5</v>
      </c>
      <c r="V23" s="347"/>
      <c r="W23" s="347">
        <v>35247.899999999994</v>
      </c>
      <c r="X23" s="353">
        <v>3910.8</v>
      </c>
      <c r="Y23" s="344">
        <f t="shared" si="0"/>
        <v>27450.199999999997</v>
      </c>
      <c r="Z23" s="351">
        <f t="shared" si="3"/>
        <v>61045.299999999988</v>
      </c>
      <c r="AA23" s="352">
        <f t="shared" si="1"/>
        <v>88495.499999999985</v>
      </c>
      <c r="AB23" s="348">
        <v>38978</v>
      </c>
      <c r="AC23" s="353">
        <v>36409</v>
      </c>
      <c r="AD23" s="353">
        <v>19687</v>
      </c>
      <c r="AE23" s="352">
        <f t="shared" si="4"/>
        <v>95074</v>
      </c>
      <c r="AG23" s="219"/>
    </row>
    <row r="24" spans="1:33" ht="17.149999999999999" customHeight="1">
      <c r="A24" s="60">
        <f t="shared" si="2"/>
        <v>45065</v>
      </c>
      <c r="B24" s="346">
        <v>1908</v>
      </c>
      <c r="C24" s="347">
        <v>9485.2999999999993</v>
      </c>
      <c r="D24" s="347">
        <v>7233.7999999999993</v>
      </c>
      <c r="E24" s="348"/>
      <c r="F24" s="347"/>
      <c r="G24" s="348"/>
      <c r="H24" s="348">
        <v>3114</v>
      </c>
      <c r="I24" s="347">
        <v>3682.8000000000034</v>
      </c>
      <c r="J24" s="349">
        <v>25052.9</v>
      </c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>
        <v>3498.8</v>
      </c>
      <c r="V24" s="347"/>
      <c r="W24" s="347">
        <v>42000</v>
      </c>
      <c r="X24" s="353">
        <v>2262.5</v>
      </c>
      <c r="Y24" s="344">
        <f t="shared" si="0"/>
        <v>24003.599999999999</v>
      </c>
      <c r="Z24" s="351">
        <f t="shared" si="3"/>
        <v>74234.5</v>
      </c>
      <c r="AA24" s="352">
        <f t="shared" si="1"/>
        <v>98238.1</v>
      </c>
      <c r="AB24" s="348">
        <v>33895</v>
      </c>
      <c r="AC24" s="353">
        <v>35168</v>
      </c>
      <c r="AD24" s="353">
        <v>17652</v>
      </c>
      <c r="AE24" s="352">
        <f t="shared" si="4"/>
        <v>86715</v>
      </c>
      <c r="AG24" s="219"/>
    </row>
    <row r="25" spans="1:33" ht="17.149999999999999" customHeight="1">
      <c r="A25" s="60">
        <f t="shared" si="2"/>
        <v>45066</v>
      </c>
      <c r="B25" s="346">
        <v>768.2</v>
      </c>
      <c r="C25" s="347">
        <v>10021.1</v>
      </c>
      <c r="D25" s="347">
        <v>8299.0999999999985</v>
      </c>
      <c r="E25" s="346"/>
      <c r="F25" s="347"/>
      <c r="G25" s="348"/>
      <c r="H25" s="348">
        <v>1699.3000000000002</v>
      </c>
      <c r="I25" s="347">
        <v>4635.2</v>
      </c>
      <c r="J25" s="349">
        <v>23128</v>
      </c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>
        <v>1898.8</v>
      </c>
      <c r="V25" s="347"/>
      <c r="W25" s="347">
        <v>47963.5</v>
      </c>
      <c r="X25" s="353">
        <v>2383.6999999999998</v>
      </c>
      <c r="Y25" s="344">
        <f t="shared" si="0"/>
        <v>23171.4</v>
      </c>
      <c r="Z25" s="351">
        <f t="shared" si="3"/>
        <v>77625.5</v>
      </c>
      <c r="AA25" s="352">
        <f t="shared" si="1"/>
        <v>100796.90000000001</v>
      </c>
      <c r="AB25" s="348">
        <v>31605</v>
      </c>
      <c r="AC25" s="353">
        <v>32645</v>
      </c>
      <c r="AD25" s="353">
        <v>17150</v>
      </c>
      <c r="AE25" s="352">
        <f t="shared" si="4"/>
        <v>81400</v>
      </c>
      <c r="AG25" s="219"/>
    </row>
    <row r="26" spans="1:33" ht="17.149999999999999" customHeight="1">
      <c r="A26" s="60">
        <f t="shared" si="2"/>
        <v>45067</v>
      </c>
      <c r="B26" s="346">
        <v>1241.1999999999998</v>
      </c>
      <c r="C26" s="347">
        <v>8671.1</v>
      </c>
      <c r="D26" s="357">
        <v>9051.6</v>
      </c>
      <c r="E26" s="347"/>
      <c r="F26" s="347"/>
      <c r="G26" s="348"/>
      <c r="H26" s="348">
        <v>3979.5</v>
      </c>
      <c r="I26" s="347">
        <v>3815.9000000000019</v>
      </c>
      <c r="J26" s="349">
        <v>18497.599999999999</v>
      </c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>
        <v>2275.6</v>
      </c>
      <c r="V26" s="347"/>
      <c r="W26" s="347">
        <v>49553.8</v>
      </c>
      <c r="X26" s="353">
        <v>2482.7999999999997</v>
      </c>
      <c r="Y26" s="344">
        <f t="shared" si="0"/>
        <v>25426.2</v>
      </c>
      <c r="Z26" s="351">
        <f t="shared" si="3"/>
        <v>74142.899999999994</v>
      </c>
      <c r="AA26" s="352">
        <f t="shared" si="1"/>
        <v>99569.1</v>
      </c>
      <c r="AB26" s="348">
        <v>26439</v>
      </c>
      <c r="AC26" s="353">
        <v>25921</v>
      </c>
      <c r="AD26" s="353">
        <v>14774</v>
      </c>
      <c r="AE26" s="352">
        <f t="shared" si="4"/>
        <v>67134</v>
      </c>
      <c r="AG26" s="219"/>
    </row>
    <row r="27" spans="1:33" ht="17.149999999999999" customHeight="1">
      <c r="A27" s="60">
        <f t="shared" si="2"/>
        <v>45068</v>
      </c>
      <c r="B27" s="346">
        <v>1477.2</v>
      </c>
      <c r="C27" s="347">
        <v>7357.2000000000007</v>
      </c>
      <c r="D27" s="347">
        <v>5183.8</v>
      </c>
      <c r="E27" s="346"/>
      <c r="F27" s="347"/>
      <c r="G27" s="348"/>
      <c r="H27" s="348">
        <v>3078.2</v>
      </c>
      <c r="I27" s="347">
        <v>3710.0000000000045</v>
      </c>
      <c r="J27" s="349">
        <v>17856.5</v>
      </c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>
        <v>3179</v>
      </c>
      <c r="V27" s="347"/>
      <c r="W27" s="347">
        <v>43386.299999999996</v>
      </c>
      <c r="X27" s="353">
        <v>2586.5</v>
      </c>
      <c r="Y27" s="344">
        <f>SUM(B27:H27,X27)</f>
        <v>19682.900000000001</v>
      </c>
      <c r="Z27" s="351">
        <f t="shared" si="3"/>
        <v>68131.8</v>
      </c>
      <c r="AA27" s="352">
        <f>SUM(B27:X27)</f>
        <v>87814.700000000012</v>
      </c>
      <c r="AB27" s="348">
        <v>40864</v>
      </c>
      <c r="AC27" s="353">
        <v>38889</v>
      </c>
      <c r="AD27" s="353">
        <v>20817</v>
      </c>
      <c r="AE27" s="352">
        <f t="shared" si="4"/>
        <v>100570</v>
      </c>
      <c r="AG27" s="219"/>
    </row>
    <row r="28" spans="1:33" ht="17.149999999999999" customHeight="1">
      <c r="A28" s="60">
        <f t="shared" si="2"/>
        <v>45069</v>
      </c>
      <c r="B28" s="346">
        <v>1873.6000000000001</v>
      </c>
      <c r="C28" s="347">
        <v>4856.1000000000004</v>
      </c>
      <c r="D28" s="347">
        <v>5969.9</v>
      </c>
      <c r="E28" s="347"/>
      <c r="F28" s="348"/>
      <c r="G28" s="348"/>
      <c r="H28" s="348">
        <v>2947.2</v>
      </c>
      <c r="I28" s="347">
        <v>5274.9000000000051</v>
      </c>
      <c r="J28" s="349">
        <v>21683</v>
      </c>
      <c r="K28" s="347"/>
      <c r="L28" s="347"/>
      <c r="M28" s="347"/>
      <c r="N28" s="347"/>
      <c r="O28" s="347"/>
      <c r="P28" s="347"/>
      <c r="Q28" s="347"/>
      <c r="R28" s="347"/>
      <c r="S28" s="347"/>
      <c r="T28" s="347"/>
      <c r="U28" s="347">
        <v>1842.5</v>
      </c>
      <c r="V28" s="347"/>
      <c r="W28" s="347">
        <v>38096.800000000003</v>
      </c>
      <c r="X28" s="353">
        <v>2934.6</v>
      </c>
      <c r="Y28" s="344">
        <f t="shared" si="0"/>
        <v>18581.399999999998</v>
      </c>
      <c r="Z28" s="351">
        <f t="shared" si="3"/>
        <v>66897.200000000012</v>
      </c>
      <c r="AA28" s="352">
        <f t="shared" si="1"/>
        <v>85478.6</v>
      </c>
      <c r="AB28" s="348">
        <v>38221</v>
      </c>
      <c r="AC28" s="353">
        <v>34806</v>
      </c>
      <c r="AD28" s="353">
        <v>20840</v>
      </c>
      <c r="AE28" s="352">
        <f t="shared" si="4"/>
        <v>93867</v>
      </c>
      <c r="AG28" s="219"/>
    </row>
    <row r="29" spans="1:33" ht="17.149999999999999" customHeight="1">
      <c r="A29" s="60">
        <f t="shared" si="2"/>
        <v>45070</v>
      </c>
      <c r="B29" s="346">
        <v>79.2</v>
      </c>
      <c r="C29" s="347">
        <v>2355.6999999999998</v>
      </c>
      <c r="D29" s="347">
        <v>3478.1</v>
      </c>
      <c r="E29" s="346"/>
      <c r="F29" s="347"/>
      <c r="G29" s="348"/>
      <c r="H29" s="348">
        <v>665.3</v>
      </c>
      <c r="I29" s="347">
        <v>2674.3</v>
      </c>
      <c r="J29" s="349">
        <v>6614</v>
      </c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>
        <v>1122.4000000000001</v>
      </c>
      <c r="V29" s="347"/>
      <c r="W29" s="347">
        <v>26490.699999999997</v>
      </c>
      <c r="X29" s="353">
        <v>2597.4</v>
      </c>
      <c r="Y29" s="344">
        <f t="shared" si="0"/>
        <v>9175.7000000000007</v>
      </c>
      <c r="Z29" s="351">
        <f t="shared" si="3"/>
        <v>36901.399999999994</v>
      </c>
      <c r="AA29" s="352">
        <f t="shared" si="1"/>
        <v>46077.1</v>
      </c>
      <c r="AB29" s="348">
        <v>32095</v>
      </c>
      <c r="AC29" s="353">
        <v>32886</v>
      </c>
      <c r="AD29" s="353">
        <v>17327</v>
      </c>
      <c r="AE29" s="352">
        <f t="shared" si="4"/>
        <v>82308</v>
      </c>
      <c r="AG29" s="219"/>
    </row>
    <row r="30" spans="1:33" ht="17.149999999999999" customHeight="1">
      <c r="A30" s="60">
        <f t="shared" si="2"/>
        <v>45071</v>
      </c>
      <c r="B30" s="346">
        <v>2070.1999999999998</v>
      </c>
      <c r="C30" s="347">
        <v>9066.4000000000015</v>
      </c>
      <c r="D30" s="346">
        <v>9517.4</v>
      </c>
      <c r="E30" s="346"/>
      <c r="F30" s="346"/>
      <c r="G30" s="346"/>
      <c r="H30" s="346">
        <v>1943.6999999999998</v>
      </c>
      <c r="I30" s="347">
        <v>5505.9000000000051</v>
      </c>
      <c r="J30" s="349">
        <v>25907.4</v>
      </c>
      <c r="K30" s="347"/>
      <c r="L30" s="349"/>
      <c r="M30" s="349"/>
      <c r="N30" s="349"/>
      <c r="O30" s="347"/>
      <c r="P30" s="349"/>
      <c r="Q30" s="349"/>
      <c r="R30" s="349"/>
      <c r="S30" s="349"/>
      <c r="T30" s="349"/>
      <c r="U30" s="349">
        <v>3574</v>
      </c>
      <c r="V30" s="349"/>
      <c r="W30" s="349">
        <v>46069.399999999994</v>
      </c>
      <c r="X30" s="349">
        <v>3135.4</v>
      </c>
      <c r="Y30" s="344">
        <f t="shared" si="0"/>
        <v>25733.100000000002</v>
      </c>
      <c r="Z30" s="351">
        <f t="shared" si="3"/>
        <v>81056.7</v>
      </c>
      <c r="AA30" s="352">
        <f t="shared" si="1"/>
        <v>106789.79999999999</v>
      </c>
      <c r="AB30" s="348">
        <v>31132</v>
      </c>
      <c r="AC30" s="349">
        <v>36364</v>
      </c>
      <c r="AD30" s="348">
        <v>17858</v>
      </c>
      <c r="AE30" s="352">
        <f t="shared" si="4"/>
        <v>85354</v>
      </c>
      <c r="AG30" s="219"/>
    </row>
    <row r="31" spans="1:33" ht="17.149999999999999" customHeight="1">
      <c r="A31" s="60">
        <f t="shared" si="2"/>
        <v>45072</v>
      </c>
      <c r="B31" s="350">
        <v>2119.1999999999998</v>
      </c>
      <c r="C31" s="347">
        <v>4652.8</v>
      </c>
      <c r="D31" s="346">
        <v>9362.2999999999993</v>
      </c>
      <c r="E31" s="346"/>
      <c r="F31" s="346"/>
      <c r="G31" s="346"/>
      <c r="H31" s="346">
        <v>3588.2</v>
      </c>
      <c r="I31" s="347">
        <v>3761.7000000000003</v>
      </c>
      <c r="J31" s="349">
        <v>22140.399999999998</v>
      </c>
      <c r="K31" s="347"/>
      <c r="L31" s="346"/>
      <c r="M31" s="346"/>
      <c r="N31" s="346"/>
      <c r="O31" s="347"/>
      <c r="P31" s="346"/>
      <c r="Q31" s="346"/>
      <c r="R31" s="346"/>
      <c r="S31" s="346"/>
      <c r="T31" s="346"/>
      <c r="U31" s="346">
        <v>3206</v>
      </c>
      <c r="V31" s="346"/>
      <c r="W31" s="346">
        <v>42745.899999999994</v>
      </c>
      <c r="X31" s="346">
        <v>2909.7</v>
      </c>
      <c r="Y31" s="344">
        <f t="shared" si="0"/>
        <v>22632.2</v>
      </c>
      <c r="Z31" s="351">
        <f t="shared" si="3"/>
        <v>71854</v>
      </c>
      <c r="AA31" s="352">
        <f t="shared" si="1"/>
        <v>94486.2</v>
      </c>
      <c r="AB31" s="348">
        <v>45312</v>
      </c>
      <c r="AC31" s="346">
        <v>41165</v>
      </c>
      <c r="AD31" s="350">
        <v>23674</v>
      </c>
      <c r="AE31" s="352">
        <f t="shared" si="4"/>
        <v>110151</v>
      </c>
      <c r="AG31" s="219"/>
    </row>
    <row r="32" spans="1:33" ht="17.149999999999999" customHeight="1">
      <c r="A32" s="60">
        <f t="shared" si="2"/>
        <v>45073</v>
      </c>
      <c r="B32" s="346">
        <v>1192.5999999999999</v>
      </c>
      <c r="C32" s="347">
        <v>5011</v>
      </c>
      <c r="D32" s="347">
        <v>7640.2999999999993</v>
      </c>
      <c r="E32" s="346"/>
      <c r="F32" s="347"/>
      <c r="G32" s="348"/>
      <c r="H32" s="348">
        <v>2735.7</v>
      </c>
      <c r="I32" s="347">
        <v>1690.8999999999983</v>
      </c>
      <c r="J32" s="349">
        <v>12914.3</v>
      </c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>
        <v>5047.7999999999993</v>
      </c>
      <c r="V32" s="347"/>
      <c r="W32" s="347">
        <v>37917.200000000004</v>
      </c>
      <c r="X32" s="353">
        <v>2899.1</v>
      </c>
      <c r="Y32" s="344">
        <f t="shared" si="0"/>
        <v>19478.699999999997</v>
      </c>
      <c r="Z32" s="351">
        <f t="shared" si="3"/>
        <v>57570.2</v>
      </c>
      <c r="AA32" s="352">
        <f t="shared" si="1"/>
        <v>77048.899999999994</v>
      </c>
      <c r="AB32" s="348">
        <v>40143</v>
      </c>
      <c r="AC32" s="353">
        <v>37445</v>
      </c>
      <c r="AD32" s="353">
        <v>23875</v>
      </c>
      <c r="AE32" s="352">
        <f t="shared" si="4"/>
        <v>101463</v>
      </c>
      <c r="AG32" s="219"/>
    </row>
    <row r="33" spans="1:34" ht="17.149999999999999" customHeight="1">
      <c r="A33" s="60">
        <f t="shared" si="2"/>
        <v>45074</v>
      </c>
      <c r="B33" s="346">
        <v>2579.9</v>
      </c>
      <c r="C33" s="347">
        <v>6402.5</v>
      </c>
      <c r="D33" s="358">
        <v>14620.199999999999</v>
      </c>
      <c r="E33" s="346"/>
      <c r="F33" s="347"/>
      <c r="G33" s="348"/>
      <c r="H33" s="348">
        <v>3429.2</v>
      </c>
      <c r="I33" s="347">
        <v>4164.1999999999989</v>
      </c>
      <c r="J33" s="349">
        <v>5892.8</v>
      </c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>
        <v>5353.2</v>
      </c>
      <c r="V33" s="347"/>
      <c r="W33" s="347">
        <v>46659</v>
      </c>
      <c r="X33" s="353">
        <v>5273.7000000000007</v>
      </c>
      <c r="Y33" s="344">
        <f t="shared" si="0"/>
        <v>32305.5</v>
      </c>
      <c r="Z33" s="351">
        <f t="shared" si="3"/>
        <v>62069.2</v>
      </c>
      <c r="AA33" s="352">
        <f t="shared" si="1"/>
        <v>94374.7</v>
      </c>
      <c r="AB33" s="348">
        <v>33677</v>
      </c>
      <c r="AC33" s="353">
        <v>30034</v>
      </c>
      <c r="AD33" s="353">
        <v>16421</v>
      </c>
      <c r="AE33" s="352">
        <f t="shared" si="4"/>
        <v>80132</v>
      </c>
      <c r="AG33" s="219"/>
    </row>
    <row r="34" spans="1:34" ht="17.149999999999999" customHeight="1">
      <c r="A34" s="60">
        <f t="shared" si="2"/>
        <v>45075</v>
      </c>
      <c r="B34" s="346">
        <v>2207.6</v>
      </c>
      <c r="C34" s="347">
        <v>2281.5</v>
      </c>
      <c r="D34" s="347">
        <v>10387.700000000001</v>
      </c>
      <c r="E34" s="346"/>
      <c r="F34" s="347"/>
      <c r="G34" s="348"/>
      <c r="H34" s="348">
        <v>1778.6000000000001</v>
      </c>
      <c r="I34" s="347">
        <v>2075.4</v>
      </c>
      <c r="J34" s="349">
        <v>2461.4</v>
      </c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>
        <v>2972</v>
      </c>
      <c r="V34" s="347"/>
      <c r="W34" s="347">
        <v>29416</v>
      </c>
      <c r="X34" s="350">
        <v>4524.8999999999996</v>
      </c>
      <c r="Y34" s="344">
        <f t="shared" si="0"/>
        <v>21180.300000000003</v>
      </c>
      <c r="Z34" s="351">
        <f t="shared" si="3"/>
        <v>36924.800000000003</v>
      </c>
      <c r="AA34" s="352">
        <f t="shared" si="1"/>
        <v>58105.100000000006</v>
      </c>
      <c r="AB34" s="348">
        <v>34757</v>
      </c>
      <c r="AC34" s="350">
        <v>34476</v>
      </c>
      <c r="AD34" s="350">
        <v>18473</v>
      </c>
      <c r="AE34" s="352">
        <f t="shared" si="4"/>
        <v>87706</v>
      </c>
      <c r="AG34" s="219"/>
    </row>
    <row r="35" spans="1:34" ht="17.149999999999999" customHeight="1">
      <c r="A35" s="60">
        <f t="shared" si="2"/>
        <v>45076</v>
      </c>
      <c r="B35" s="346">
        <v>3125</v>
      </c>
      <c r="C35" s="347">
        <v>4354.1000000000004</v>
      </c>
      <c r="D35" s="347">
        <v>7378.8</v>
      </c>
      <c r="E35" s="346"/>
      <c r="F35" s="347"/>
      <c r="G35" s="359"/>
      <c r="H35" s="359">
        <v>1681.6</v>
      </c>
      <c r="I35" s="347">
        <v>4552.5000000000045</v>
      </c>
      <c r="J35" s="349">
        <v>13937.3</v>
      </c>
      <c r="K35" s="347"/>
      <c r="L35" s="357"/>
      <c r="M35" s="357"/>
      <c r="N35" s="357"/>
      <c r="O35" s="347"/>
      <c r="P35" s="357"/>
      <c r="Q35" s="357"/>
      <c r="R35" s="357"/>
      <c r="S35" s="357"/>
      <c r="T35" s="357"/>
      <c r="U35" s="357">
        <v>4411.5999999999995</v>
      </c>
      <c r="V35" s="357"/>
      <c r="W35" s="357">
        <v>45678.399999999994</v>
      </c>
      <c r="X35" s="360">
        <v>3009.4</v>
      </c>
      <c r="Y35" s="344">
        <f t="shared" si="0"/>
        <v>19548.900000000001</v>
      </c>
      <c r="Z35" s="351">
        <f t="shared" si="3"/>
        <v>68579.799999999988</v>
      </c>
      <c r="AA35" s="352">
        <f t="shared" si="1"/>
        <v>88128.699999999983</v>
      </c>
      <c r="AB35" s="348">
        <v>32685</v>
      </c>
      <c r="AC35" s="360">
        <v>34089</v>
      </c>
      <c r="AD35" s="360">
        <v>20236</v>
      </c>
      <c r="AE35" s="352">
        <f t="shared" si="4"/>
        <v>87010</v>
      </c>
      <c r="AG35" s="219"/>
    </row>
    <row r="36" spans="1:34" ht="17.149999999999999" customHeight="1">
      <c r="A36" s="60">
        <f t="shared" si="2"/>
        <v>45077</v>
      </c>
      <c r="B36" s="361">
        <v>4024.9</v>
      </c>
      <c r="C36" s="357">
        <v>6832.2999999999993</v>
      </c>
      <c r="D36" s="357">
        <v>7216</v>
      </c>
      <c r="E36" s="361"/>
      <c r="F36" s="357"/>
      <c r="G36" s="359"/>
      <c r="H36" s="359">
        <v>3214.7</v>
      </c>
      <c r="I36" s="357">
        <v>6535.7</v>
      </c>
      <c r="J36" s="349">
        <v>19026.7</v>
      </c>
      <c r="K36" s="347"/>
      <c r="L36" s="357"/>
      <c r="M36" s="357"/>
      <c r="N36" s="357"/>
      <c r="O36" s="347"/>
      <c r="P36" s="357"/>
      <c r="Q36" s="357"/>
      <c r="R36" s="357"/>
      <c r="S36" s="357"/>
      <c r="T36" s="357"/>
      <c r="U36" s="357">
        <v>7927.0999999999995</v>
      </c>
      <c r="V36" s="357"/>
      <c r="W36" s="357">
        <v>41981.3</v>
      </c>
      <c r="X36" s="360">
        <v>2451.2000000000003</v>
      </c>
      <c r="Y36" s="344">
        <f t="shared" si="0"/>
        <v>23739.1</v>
      </c>
      <c r="Z36" s="351">
        <f t="shared" si="3"/>
        <v>75470.8</v>
      </c>
      <c r="AA36" s="362">
        <f t="shared" si="1"/>
        <v>99209.900000000009</v>
      </c>
      <c r="AB36" s="348">
        <v>41706</v>
      </c>
      <c r="AC36" s="360">
        <v>41645</v>
      </c>
      <c r="AD36" s="360">
        <v>24339</v>
      </c>
      <c r="AE36" s="362">
        <f t="shared" si="4"/>
        <v>107690</v>
      </c>
      <c r="AG36" s="219"/>
    </row>
    <row r="37" spans="1:34" s="14" customFormat="1" ht="17.149999999999999" customHeight="1">
      <c r="A37" s="71" t="s">
        <v>38</v>
      </c>
      <c r="B37" s="363">
        <f>SUM(B6:B36)</f>
        <v>60418.799999999981</v>
      </c>
      <c r="C37" s="363">
        <f>SUM(C6:C36)</f>
        <v>201608.10000000006</v>
      </c>
      <c r="D37" s="363">
        <f>SUM(D6:D36)</f>
        <v>252094.09999999995</v>
      </c>
      <c r="E37" s="363"/>
      <c r="F37" s="363"/>
      <c r="G37" s="363"/>
      <c r="H37" s="363">
        <f t="shared" ref="H37:AE37" si="5">SUM(H6:H36)</f>
        <v>97803.8</v>
      </c>
      <c r="I37" s="363">
        <f>SUM(I6:I36)</f>
        <v>79146.500000000029</v>
      </c>
      <c r="J37" s="364">
        <f>SUM(J6:J36)</f>
        <v>587828.80000000016</v>
      </c>
      <c r="K37" s="364">
        <f t="shared" si="5"/>
        <v>0</v>
      </c>
      <c r="L37" s="365">
        <f>SUM(L6:L36)</f>
        <v>0</v>
      </c>
      <c r="M37" s="365">
        <f>SUM(M6:M36)</f>
        <v>0</v>
      </c>
      <c r="N37" s="366">
        <f t="shared" si="5"/>
        <v>0</v>
      </c>
      <c r="O37" s="366">
        <f t="shared" si="5"/>
        <v>0</v>
      </c>
      <c r="P37" s="367">
        <f>SUM(P6:P36)</f>
        <v>0</v>
      </c>
      <c r="Q37" s="367">
        <f>SUM(Q6:Q36)</f>
        <v>0</v>
      </c>
      <c r="R37" s="367">
        <f>SUM(R6:R36)</f>
        <v>0</v>
      </c>
      <c r="S37" s="367">
        <f>SUM(S6:S36)</f>
        <v>0</v>
      </c>
      <c r="T37" s="368">
        <f t="shared" si="5"/>
        <v>0</v>
      </c>
      <c r="U37" s="368">
        <f t="shared" si="5"/>
        <v>85872.5</v>
      </c>
      <c r="V37" s="368">
        <f>SUM(V6:V36)</f>
        <v>0</v>
      </c>
      <c r="W37" s="368">
        <f>SUM(W6:W36)</f>
        <v>1270949.9100000001</v>
      </c>
      <c r="X37" s="369">
        <f>SUM(X6:X36)</f>
        <v>92564.599999999977</v>
      </c>
      <c r="Y37" s="370">
        <f>SUM(Y6:Y36)</f>
        <v>704489.4</v>
      </c>
      <c r="Z37" s="371">
        <f>SUM(Z6:Z36)</f>
        <v>2023797.7099999997</v>
      </c>
      <c r="AA37" s="372">
        <f t="shared" si="5"/>
        <v>2728287.1100000003</v>
      </c>
      <c r="AB37" s="373">
        <f t="shared" si="5"/>
        <v>1125678</v>
      </c>
      <c r="AC37" s="374">
        <f t="shared" si="5"/>
        <v>1077363</v>
      </c>
      <c r="AD37" s="374">
        <f t="shared" si="5"/>
        <v>591051</v>
      </c>
      <c r="AE37" s="375">
        <f t="shared" si="5"/>
        <v>2794092</v>
      </c>
      <c r="AG37" s="234"/>
    </row>
    <row r="38" spans="1:34" s="14" customFormat="1" ht="17.149999999999999" customHeight="1">
      <c r="A38" s="71" t="s">
        <v>86</v>
      </c>
      <c r="B38" s="376">
        <v>64000</v>
      </c>
      <c r="C38" s="363">
        <v>175000</v>
      </c>
      <c r="D38" s="377">
        <v>210000</v>
      </c>
      <c r="E38" s="363"/>
      <c r="F38" s="363"/>
      <c r="G38" s="363"/>
      <c r="H38" s="363">
        <v>50000</v>
      </c>
      <c r="I38" s="376">
        <v>100000</v>
      </c>
      <c r="J38" s="378">
        <v>722000</v>
      </c>
      <c r="K38" s="379"/>
      <c r="L38" s="379"/>
      <c r="M38" s="379"/>
      <c r="N38" s="379"/>
      <c r="O38" s="379"/>
      <c r="P38" s="367"/>
      <c r="Q38" s="367"/>
      <c r="R38" s="367"/>
      <c r="S38" s="367"/>
      <c r="T38" s="368"/>
      <c r="U38" s="368">
        <v>146000</v>
      </c>
      <c r="V38" s="368">
        <v>76000</v>
      </c>
      <c r="W38" s="368">
        <v>1262000</v>
      </c>
      <c r="X38" s="369">
        <v>70000</v>
      </c>
      <c r="Y38" s="370">
        <f>SUM(B38:H38,X38)</f>
        <v>569000</v>
      </c>
      <c r="Z38" s="371">
        <f t="shared" ref="Z38" si="6">SUM(I38:W38)</f>
        <v>2306000</v>
      </c>
      <c r="AA38" s="372">
        <f>+Y38+Z38</f>
        <v>2875000</v>
      </c>
      <c r="AB38" s="373">
        <v>1200000</v>
      </c>
      <c r="AC38" s="374">
        <v>1050000</v>
      </c>
      <c r="AD38" s="374">
        <v>625000</v>
      </c>
      <c r="AE38" s="375">
        <f>SUM(AB38:AD38)</f>
        <v>2875000</v>
      </c>
      <c r="AG38" s="234"/>
    </row>
    <row r="39" spans="1:34" s="14" customFormat="1" ht="17.149999999999999" customHeight="1" thickBot="1">
      <c r="A39" s="80" t="s">
        <v>144</v>
      </c>
      <c r="B39" s="380">
        <f>SUM(B37)-B38</f>
        <v>-3581.2000000000189</v>
      </c>
      <c r="C39" s="381">
        <f>C37-C38</f>
        <v>26608.100000000064</v>
      </c>
      <c r="D39" s="380">
        <f>SUM(D37:G37)-D38</f>
        <v>42094.099999999948</v>
      </c>
      <c r="E39" s="381"/>
      <c r="F39" s="381"/>
      <c r="G39" s="381"/>
      <c r="H39" s="381">
        <f>+H37-H38</f>
        <v>47803.8</v>
      </c>
      <c r="I39" s="380">
        <f>I37-I38</f>
        <v>-20853.499999999971</v>
      </c>
      <c r="J39" s="382">
        <f>SUM(J37:U37)-J38</f>
        <v>-48298.699999999837</v>
      </c>
      <c r="K39" s="383"/>
      <c r="L39" s="383"/>
      <c r="M39" s="383"/>
      <c r="N39" s="383"/>
      <c r="O39" s="383"/>
      <c r="P39" s="384"/>
      <c r="Q39" s="384"/>
      <c r="R39" s="384"/>
      <c r="S39" s="384"/>
      <c r="T39" s="385"/>
      <c r="U39" s="385">
        <f t="shared" ref="U39:W39" si="7">+U37-U38</f>
        <v>-60127.5</v>
      </c>
      <c r="V39" s="385">
        <f t="shared" si="7"/>
        <v>-76000</v>
      </c>
      <c r="W39" s="385">
        <f t="shared" si="7"/>
        <v>8949.910000000149</v>
      </c>
      <c r="X39" s="386">
        <f>(X37)-X38</f>
        <v>22564.599999999977</v>
      </c>
      <c r="Y39" s="387">
        <f>Y37-Y38</f>
        <v>135489.40000000002</v>
      </c>
      <c r="Z39" s="388">
        <f>Z37-Z38</f>
        <v>-282202.29000000027</v>
      </c>
      <c r="AA39" s="389">
        <f>AA37-AA38</f>
        <v>-146712.88999999966</v>
      </c>
      <c r="AB39" s="390">
        <f t="shared" ref="AB39:AE39" si="8">AB37-AB38</f>
        <v>-74322</v>
      </c>
      <c r="AC39" s="391">
        <f t="shared" si="8"/>
        <v>27363</v>
      </c>
      <c r="AD39" s="391">
        <f t="shared" si="8"/>
        <v>-33949</v>
      </c>
      <c r="AE39" s="392">
        <f t="shared" si="8"/>
        <v>-80908</v>
      </c>
      <c r="AG39" s="234"/>
    </row>
    <row r="40" spans="1:34" ht="17.149999999999999" customHeight="1" thickBot="1">
      <c r="A40" s="40"/>
      <c r="C40" s="7" t="s">
        <v>190</v>
      </c>
      <c r="D40" s="7" t="s">
        <v>191</v>
      </c>
      <c r="AG40" s="219"/>
    </row>
    <row r="41" spans="1:34" ht="17.149999999999999" customHeight="1">
      <c r="A41" s="767" t="s">
        <v>145</v>
      </c>
      <c r="B41" s="768"/>
      <c r="C41" s="36">
        <v>31</v>
      </c>
      <c r="D41" s="36">
        <v>29</v>
      </c>
      <c r="E41" s="229" t="s">
        <v>146</v>
      </c>
      <c r="AG41" s="219"/>
    </row>
    <row r="42" spans="1:34" ht="17.149999999999999" customHeight="1">
      <c r="A42" s="786" t="s">
        <v>147</v>
      </c>
      <c r="B42" s="787"/>
      <c r="C42" s="314">
        <v>31</v>
      </c>
      <c r="D42" s="314">
        <v>29</v>
      </c>
      <c r="E42" s="219" t="s">
        <v>146</v>
      </c>
      <c r="AG42" s="219"/>
    </row>
    <row r="43" spans="1:34" ht="17.149999999999999" customHeight="1" thickBot="1">
      <c r="A43" s="788" t="s">
        <v>148</v>
      </c>
      <c r="B43" s="789"/>
      <c r="C43" s="230">
        <f>+C41-C42</f>
        <v>0</v>
      </c>
      <c r="D43" s="230">
        <f>+D41-D42</f>
        <v>0</v>
      </c>
      <c r="E43" s="231" t="s">
        <v>146</v>
      </c>
      <c r="I43" s="464"/>
      <c r="AG43" s="219"/>
    </row>
    <row r="44" spans="1:34" ht="17.149999999999999" customHeight="1">
      <c r="A44" s="41"/>
      <c r="AG44" s="219"/>
    </row>
    <row r="45" spans="1:34" ht="17.149999999999999" customHeight="1">
      <c r="A45" s="42" t="s">
        <v>149</v>
      </c>
      <c r="AG45" s="219"/>
    </row>
    <row r="46" spans="1:34" ht="17.149999999999999" customHeight="1">
      <c r="A46" s="232" t="s">
        <v>72</v>
      </c>
      <c r="B46" s="233" t="s">
        <v>86</v>
      </c>
      <c r="C46" s="233" t="s">
        <v>99</v>
      </c>
      <c r="D46" s="233" t="s">
        <v>84</v>
      </c>
      <c r="AE46" s="259"/>
      <c r="AF46" s="259"/>
      <c r="AG46" s="234"/>
    </row>
    <row r="47" spans="1:34" ht="17.149999999999999" customHeight="1">
      <c r="A47" s="232" t="s">
        <v>39</v>
      </c>
      <c r="B47" s="393">
        <f>B38/$C$41*$C$42</f>
        <v>64000</v>
      </c>
      <c r="C47" s="393">
        <f>SUM(B37:B37)</f>
        <v>60418.799999999981</v>
      </c>
      <c r="D47" s="393">
        <f t="shared" ref="D47:D59" si="9">+C47-B47</f>
        <v>-3581.2000000000189</v>
      </c>
      <c r="Q47" s="23"/>
      <c r="X47" s="23"/>
      <c r="Y47" s="23"/>
      <c r="Z47" s="23"/>
      <c r="AA47" s="23"/>
      <c r="AB47" s="23"/>
      <c r="AC47" s="23"/>
      <c r="AG47" s="219"/>
    </row>
    <row r="48" spans="1:34" ht="17.149999999999999" customHeight="1">
      <c r="A48" s="232" t="s">
        <v>40</v>
      </c>
      <c r="B48" s="393">
        <f>(C38/$C$41)*$C$42</f>
        <v>175000</v>
      </c>
      <c r="C48" s="393">
        <f>SUM(C37:C37)</f>
        <v>201608.10000000006</v>
      </c>
      <c r="D48" s="393">
        <f t="shared" si="9"/>
        <v>26608.100000000064</v>
      </c>
      <c r="L48" s="9"/>
      <c r="M48" s="9"/>
      <c r="N48" s="9"/>
      <c r="O48" s="9"/>
      <c r="P48" s="9"/>
      <c r="Q48" s="790"/>
      <c r="R48" s="790"/>
      <c r="S48" s="790"/>
      <c r="T48" s="790"/>
      <c r="U48" s="790"/>
      <c r="V48" s="790"/>
      <c r="W48" s="790"/>
      <c r="X48" s="790"/>
      <c r="Y48" s="790"/>
      <c r="Z48" s="790"/>
      <c r="AA48" s="790"/>
      <c r="AB48" s="790"/>
      <c r="AC48" s="790"/>
      <c r="AD48" s="235"/>
      <c r="AE48" s="235"/>
      <c r="AF48" s="235"/>
      <c r="AG48" s="236"/>
      <c r="AH48" s="235"/>
    </row>
    <row r="49" spans="1:33" ht="17.149999999999999" customHeight="1">
      <c r="A49" s="232" t="s">
        <v>150</v>
      </c>
      <c r="B49" s="393">
        <f>+(D38/$C$41)*$C$42</f>
        <v>210000</v>
      </c>
      <c r="C49" s="393">
        <f>SUM(D37:G37)</f>
        <v>252094.09999999995</v>
      </c>
      <c r="D49" s="393">
        <f t="shared" si="9"/>
        <v>42094.099999999948</v>
      </c>
      <c r="AG49" s="219"/>
    </row>
    <row r="50" spans="1:33" ht="17.149999999999999" customHeight="1">
      <c r="A50" s="232" t="s">
        <v>87</v>
      </c>
      <c r="B50" s="393">
        <f>+(H38/$C$41)*$C$42</f>
        <v>50000</v>
      </c>
      <c r="C50" s="393">
        <f>SUM(H37)</f>
        <v>97803.8</v>
      </c>
      <c r="D50" s="393">
        <f t="shared" si="9"/>
        <v>47803.8</v>
      </c>
      <c r="AG50" s="219"/>
    </row>
    <row r="51" spans="1:33" ht="17.149999999999999" customHeight="1">
      <c r="A51" s="250" t="s">
        <v>182</v>
      </c>
      <c r="B51" s="394">
        <f>+(I38/$C$41)*$C$42</f>
        <v>100000</v>
      </c>
      <c r="C51" s="394">
        <f>+I37</f>
        <v>79146.500000000029</v>
      </c>
      <c r="D51" s="394">
        <f t="shared" si="9"/>
        <v>-20853.499999999971</v>
      </c>
      <c r="AG51" s="219"/>
    </row>
    <row r="52" spans="1:33" ht="17.149999999999999" customHeight="1">
      <c r="A52" s="232" t="s">
        <v>43</v>
      </c>
      <c r="B52" s="393">
        <f>+(X38/$C$41)*$C$42</f>
        <v>70000</v>
      </c>
      <c r="C52" s="393">
        <f>+X37</f>
        <v>92564.599999999977</v>
      </c>
      <c r="D52" s="393">
        <f t="shared" si="9"/>
        <v>22564.599999999977</v>
      </c>
      <c r="R52" s="9"/>
      <c r="S52" s="9"/>
      <c r="T52" s="9"/>
      <c r="U52" s="9"/>
      <c r="V52" s="9"/>
      <c r="AG52" s="219"/>
    </row>
    <row r="53" spans="1:33" ht="17.149999999999999" customHeight="1">
      <c r="A53" s="87" t="s">
        <v>151</v>
      </c>
      <c r="B53" s="395">
        <f>SUM(B47:B52)</f>
        <v>669000</v>
      </c>
      <c r="C53" s="395">
        <f>SUM(C47:C52)</f>
        <v>783635.9</v>
      </c>
      <c r="D53" s="395">
        <f t="shared" si="9"/>
        <v>114635.90000000002</v>
      </c>
      <c r="R53" s="9"/>
      <c r="S53" s="9"/>
      <c r="T53" s="9"/>
      <c r="U53" s="9"/>
      <c r="V53" s="9"/>
      <c r="AG53" s="219"/>
    </row>
    <row r="54" spans="1:33" ht="17.149999999999999" customHeight="1">
      <c r="A54" s="232" t="s">
        <v>91</v>
      </c>
      <c r="B54" s="393">
        <f>+(J38/$C$41)*$C$42</f>
        <v>722000</v>
      </c>
      <c r="C54" s="393">
        <f>SUM(J37:S37)</f>
        <v>587828.80000000016</v>
      </c>
      <c r="D54" s="393">
        <f t="shared" si="9"/>
        <v>-134171.19999999984</v>
      </c>
      <c r="R54" s="9"/>
      <c r="S54" s="9"/>
      <c r="T54" s="9"/>
      <c r="U54" s="9"/>
      <c r="V54" s="9"/>
      <c r="AG54" s="219"/>
    </row>
    <row r="55" spans="1:33" ht="17.149999999999999" customHeight="1">
      <c r="A55" s="232" t="s">
        <v>92</v>
      </c>
      <c r="B55" s="393">
        <f>+(U38/$C$41)*$C$42</f>
        <v>146000</v>
      </c>
      <c r="C55" s="393">
        <f>+U37</f>
        <v>85872.5</v>
      </c>
      <c r="D55" s="393">
        <f t="shared" si="9"/>
        <v>-60127.5</v>
      </c>
      <c r="R55" s="9"/>
      <c r="S55" s="9"/>
      <c r="T55" s="9"/>
      <c r="U55" s="9"/>
      <c r="V55" s="9"/>
      <c r="AG55" s="219"/>
    </row>
    <row r="56" spans="1:33" ht="17.149999999999999" customHeight="1">
      <c r="A56" s="232" t="s">
        <v>188</v>
      </c>
      <c r="B56" s="393">
        <f>+(V38/$C$41)*$C$42</f>
        <v>76000</v>
      </c>
      <c r="C56" s="393">
        <f>V37</f>
        <v>0</v>
      </c>
      <c r="D56" s="393">
        <f t="shared" si="9"/>
        <v>-76000</v>
      </c>
      <c r="R56" s="9"/>
      <c r="S56" s="9"/>
      <c r="T56" s="9"/>
      <c r="U56" s="9"/>
      <c r="V56" s="9"/>
      <c r="AG56" s="219"/>
    </row>
    <row r="57" spans="1:33" ht="17.149999999999999" customHeight="1">
      <c r="A57" s="232" t="s">
        <v>93</v>
      </c>
      <c r="B57" s="393">
        <f>+(W38/$C$41)*$C$42</f>
        <v>1262000</v>
      </c>
      <c r="C57" s="393">
        <f>+W37</f>
        <v>1270949.9100000001</v>
      </c>
      <c r="D57" s="393">
        <f t="shared" si="9"/>
        <v>8949.910000000149</v>
      </c>
      <c r="AG57" s="219"/>
    </row>
    <row r="58" spans="1:33" ht="17.149999999999999" customHeight="1">
      <c r="A58" s="87" t="s">
        <v>152</v>
      </c>
      <c r="B58" s="395">
        <f>SUM(B54:B57)</f>
        <v>2206000</v>
      </c>
      <c r="C58" s="395">
        <f>SUM(C54:C57)</f>
        <v>1944651.2100000004</v>
      </c>
      <c r="D58" s="395">
        <f t="shared" si="9"/>
        <v>-261348.78999999957</v>
      </c>
      <c r="AG58" s="219"/>
    </row>
    <row r="59" spans="1:33" ht="17.149999999999999" customHeight="1">
      <c r="A59" s="87" t="s">
        <v>94</v>
      </c>
      <c r="B59" s="395">
        <f>SUM(B53,B58)</f>
        <v>2875000</v>
      </c>
      <c r="C59" s="395">
        <f>SUM(C53,C58)</f>
        <v>2728287.1100000003</v>
      </c>
      <c r="D59" s="395">
        <f t="shared" si="9"/>
        <v>-146712.88999999966</v>
      </c>
      <c r="AG59" s="219"/>
    </row>
    <row r="60" spans="1:33" ht="17.149999999999999" customHeight="1">
      <c r="A60" s="40"/>
      <c r="B60" s="396"/>
      <c r="C60" s="396"/>
      <c r="D60" s="396"/>
      <c r="AG60" s="219"/>
    </row>
    <row r="61" spans="1:33" ht="17.149999999999999" customHeight="1">
      <c r="A61" s="42" t="s">
        <v>153</v>
      </c>
      <c r="B61" s="396"/>
      <c r="C61" s="396"/>
      <c r="D61" s="396"/>
      <c r="AG61" s="219"/>
    </row>
    <row r="62" spans="1:33" ht="17.149999999999999" customHeight="1">
      <c r="A62" s="232" t="s">
        <v>154</v>
      </c>
      <c r="B62" s="393" t="s">
        <v>86</v>
      </c>
      <c r="C62" s="393" t="s">
        <v>99</v>
      </c>
      <c r="D62" s="393" t="s">
        <v>84</v>
      </c>
      <c r="AG62" s="219"/>
    </row>
    <row r="63" spans="1:33" ht="17.149999999999999" customHeight="1">
      <c r="A63" s="232" t="s">
        <v>51</v>
      </c>
      <c r="B63" s="393">
        <f>SUM(B47:B51)+B56+B55</f>
        <v>821000</v>
      </c>
      <c r="C63" s="393">
        <f>SUM(C47:C51)+C56+C55</f>
        <v>776943.8</v>
      </c>
      <c r="D63" s="393">
        <f>+C63-B63</f>
        <v>-44056.199999999953</v>
      </c>
      <c r="AG63" s="219"/>
    </row>
    <row r="64" spans="1:33" ht="17.149999999999999" customHeight="1">
      <c r="A64" s="232" t="s">
        <v>50</v>
      </c>
      <c r="B64" s="393">
        <f>SUM(B57)</f>
        <v>1262000</v>
      </c>
      <c r="C64" s="393">
        <f>SUM(C57)</f>
        <v>1270949.9100000001</v>
      </c>
      <c r="D64" s="393">
        <f>+C64-B64</f>
        <v>8949.910000000149</v>
      </c>
      <c r="AG64" s="219"/>
    </row>
    <row r="65" spans="1:47" ht="17.149999999999999" customHeight="1">
      <c r="A65" s="232" t="s">
        <v>120</v>
      </c>
      <c r="B65" s="393">
        <f>B54</f>
        <v>722000</v>
      </c>
      <c r="C65" s="393">
        <f>C54</f>
        <v>587828.80000000016</v>
      </c>
      <c r="D65" s="393">
        <f>+C65-B65</f>
        <v>-134171.19999999984</v>
      </c>
      <c r="AG65" s="219"/>
      <c r="AS65" s="30"/>
      <c r="AT65" s="238"/>
      <c r="AU65" s="239"/>
    </row>
    <row r="66" spans="1:47" ht="17.149999999999999" customHeight="1">
      <c r="A66" s="232" t="s">
        <v>55</v>
      </c>
      <c r="B66" s="393">
        <f>SUM(B52)</f>
        <v>70000</v>
      </c>
      <c r="C66" s="393">
        <f>SUM(C52)</f>
        <v>92564.599999999977</v>
      </c>
      <c r="D66" s="393">
        <f>+C66-B66</f>
        <v>22564.599999999977</v>
      </c>
      <c r="AG66" s="219"/>
      <c r="AS66" s="31"/>
      <c r="AT66" s="238"/>
      <c r="AU66" s="239"/>
    </row>
    <row r="67" spans="1:47" ht="17.149999999999999" customHeight="1">
      <c r="A67" s="87" t="s">
        <v>62</v>
      </c>
      <c r="B67" s="395">
        <f>SUM(B63:B66)</f>
        <v>2875000</v>
      </c>
      <c r="C67" s="395">
        <f>SUM(C63:C66)</f>
        <v>2728287.1100000003</v>
      </c>
      <c r="D67" s="395">
        <f>+C67-B67</f>
        <v>-146712.88999999966</v>
      </c>
      <c r="AG67" s="219"/>
      <c r="AS67" s="240"/>
      <c r="AT67" s="238"/>
      <c r="AU67" s="239"/>
    </row>
    <row r="68" spans="1:47" ht="17.149999999999999" customHeight="1">
      <c r="A68" s="40"/>
      <c r="B68" s="396"/>
      <c r="C68" s="396"/>
      <c r="D68" s="396"/>
      <c r="AG68" s="219"/>
      <c r="AS68" s="241"/>
      <c r="AT68" s="241"/>
      <c r="AU68" s="239"/>
    </row>
    <row r="69" spans="1:47" ht="17.149999999999999" customHeight="1">
      <c r="A69" s="42" t="s">
        <v>155</v>
      </c>
      <c r="B69" s="396"/>
      <c r="C69" s="396"/>
      <c r="D69" s="396"/>
      <c r="AG69" s="219"/>
      <c r="AS69" s="242"/>
      <c r="AT69" s="238"/>
      <c r="AU69" s="239"/>
    </row>
    <row r="70" spans="1:47" ht="15" customHeight="1">
      <c r="A70" s="232" t="s">
        <v>154</v>
      </c>
      <c r="B70" s="393" t="s">
        <v>86</v>
      </c>
      <c r="C70" s="393" t="s">
        <v>99</v>
      </c>
      <c r="D70" s="393" t="s">
        <v>84</v>
      </c>
      <c r="E70" s="243"/>
      <c r="AG70" s="219"/>
    </row>
    <row r="71" spans="1:47" ht="15" customHeight="1">
      <c r="A71" s="232" t="s">
        <v>136</v>
      </c>
      <c r="B71" s="393">
        <f>+(AB38/$D$41)*$D$42</f>
        <v>1200000</v>
      </c>
      <c r="C71" s="393">
        <f>+AB37</f>
        <v>1125678</v>
      </c>
      <c r="D71" s="393">
        <f>+C71-B71</f>
        <v>-74322</v>
      </c>
      <c r="E71" s="243"/>
      <c r="AG71" s="219"/>
    </row>
    <row r="72" spans="1:47" ht="15" customHeight="1">
      <c r="A72" s="232" t="s">
        <v>137</v>
      </c>
      <c r="B72" s="393">
        <f>+(AC38/$D$41)*$D$42</f>
        <v>1050000</v>
      </c>
      <c r="C72" s="393">
        <f>+AC37</f>
        <v>1077363</v>
      </c>
      <c r="D72" s="393">
        <f>+C72-B72</f>
        <v>27363</v>
      </c>
      <c r="E72" s="243"/>
      <c r="AG72" s="219"/>
    </row>
    <row r="73" spans="1:47" ht="15" customHeight="1">
      <c r="A73" s="232" t="s">
        <v>53</v>
      </c>
      <c r="B73" s="393">
        <f>+(AD38/$D$41)*$D$42</f>
        <v>625000</v>
      </c>
      <c r="C73" s="393">
        <f>+AD37</f>
        <v>591051</v>
      </c>
      <c r="D73" s="393">
        <f>+C73-B73</f>
        <v>-33949</v>
      </c>
      <c r="E73" s="243"/>
      <c r="AG73" s="219"/>
    </row>
    <row r="74" spans="1:47" ht="15" customHeight="1">
      <c r="A74" s="87" t="s">
        <v>62</v>
      </c>
      <c r="B74" s="395">
        <f>SUM(B71:B73)</f>
        <v>2875000</v>
      </c>
      <c r="C74" s="395">
        <f>SUM(C71:C73)</f>
        <v>2794092</v>
      </c>
      <c r="D74" s="395">
        <f>+C74-B74</f>
        <v>-80908</v>
      </c>
      <c r="E74" s="243"/>
      <c r="Y74" s="29"/>
      <c r="Z74" s="29"/>
      <c r="AA74" s="29"/>
      <c r="AB74" s="29"/>
      <c r="AC74" s="29"/>
      <c r="AE74" s="244"/>
      <c r="AF74" s="244"/>
      <c r="AG74" s="219"/>
    </row>
    <row r="75" spans="1:47" ht="13" thickBot="1">
      <c r="A75" s="245"/>
      <c r="B75" s="246"/>
      <c r="C75" s="246"/>
      <c r="D75" s="246"/>
      <c r="E75" s="246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247"/>
      <c r="Z75" s="247"/>
      <c r="AA75" s="247"/>
      <c r="AB75" s="247"/>
      <c r="AC75" s="247"/>
      <c r="AD75" s="55"/>
      <c r="AE75" s="248"/>
      <c r="AF75" s="248"/>
      <c r="AG75" s="231"/>
    </row>
    <row r="76" spans="1:47" s="9" customFormat="1" ht="13">
      <c r="A76" s="249"/>
      <c r="B76" s="243"/>
      <c r="C76" s="24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29"/>
      <c r="Z76" s="29"/>
      <c r="AA76" s="29"/>
      <c r="AB76" s="29"/>
      <c r="AC76" s="29"/>
      <c r="AD76" s="7"/>
    </row>
    <row r="77" spans="1:47">
      <c r="Y77" s="29"/>
      <c r="Z77" s="29"/>
      <c r="AA77" s="29"/>
      <c r="AB77" s="29"/>
      <c r="AC77" s="29"/>
      <c r="AE77" s="244"/>
      <c r="AF77" s="244"/>
    </row>
    <row r="78" spans="1:47">
      <c r="Y78" s="29"/>
      <c r="Z78" s="29"/>
      <c r="AA78" s="29"/>
      <c r="AB78" s="29"/>
      <c r="AC78" s="29"/>
      <c r="AE78" s="244"/>
      <c r="AF78" s="244"/>
    </row>
    <row r="79" spans="1:47">
      <c r="Y79" s="29"/>
      <c r="Z79" s="29"/>
      <c r="AA79" s="29"/>
      <c r="AB79" s="29"/>
      <c r="AC79" s="29"/>
      <c r="AE79" s="244"/>
      <c r="AF79" s="244"/>
    </row>
    <row r="80" spans="1:47">
      <c r="AE80" s="244"/>
      <c r="AF80" s="244"/>
    </row>
    <row r="81" spans="31:32">
      <c r="AE81" s="244"/>
      <c r="AF81" s="244"/>
    </row>
    <row r="82" spans="31:32">
      <c r="AE82" s="244"/>
      <c r="AF82" s="244"/>
    </row>
    <row r="83" spans="31:32">
      <c r="AE83" s="244"/>
      <c r="AF83" s="244"/>
    </row>
    <row r="84" spans="31:32">
      <c r="AE84" s="244"/>
      <c r="AF84" s="244"/>
    </row>
  </sheetData>
  <mergeCells count="21">
    <mergeCell ref="Q48:AC48"/>
    <mergeCell ref="A1:AG1"/>
    <mergeCell ref="A3:A5"/>
    <mergeCell ref="I3:W3"/>
    <mergeCell ref="Y3:Y5"/>
    <mergeCell ref="Z3:Z5"/>
    <mergeCell ref="AA3:AA5"/>
    <mergeCell ref="AB3:AB5"/>
    <mergeCell ref="AC3:AC5"/>
    <mergeCell ref="AD3:AD5"/>
    <mergeCell ref="AE3:AE5"/>
    <mergeCell ref="J4:O4"/>
    <mergeCell ref="R4:S4"/>
    <mergeCell ref="B5:H5"/>
    <mergeCell ref="A42:B42"/>
    <mergeCell ref="A43:B43"/>
    <mergeCell ref="P5:Q5"/>
    <mergeCell ref="R5:S5"/>
    <mergeCell ref="D3:H3"/>
    <mergeCell ref="X3:X4"/>
    <mergeCell ref="A41:B41"/>
  </mergeCells>
  <printOptions horizont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F414-3004-4211-9304-9BE6DF4AF840}">
  <sheetPr>
    <tabColor rgb="FF92D050"/>
    <pageSetUpPr fitToPage="1"/>
  </sheetPr>
  <dimension ref="A1:AU84"/>
  <sheetViews>
    <sheetView showGridLines="0" view="pageBreakPreview" zoomScale="70" zoomScaleSheetLayoutView="70" workbookViewId="0">
      <pane xSplit="1" ySplit="6" topLeftCell="B7" activePane="bottomRight" state="frozen"/>
      <selection sqref="A1:AH2"/>
      <selection pane="topRight" sqref="A1:AH2"/>
      <selection pane="bottomLeft" sqref="A1:AH2"/>
      <selection pane="bottomRight" sqref="A1:AG1"/>
    </sheetView>
  </sheetViews>
  <sheetFormatPr defaultColWidth="8.81640625" defaultRowHeight="12.5"/>
  <cols>
    <col min="1" max="1" width="10.1796875" style="8" customWidth="1"/>
    <col min="2" max="2" width="13.54296875" style="7" bestFit="1" customWidth="1"/>
    <col min="3" max="3" width="14.81640625" style="7" bestFit="1" customWidth="1"/>
    <col min="4" max="4" width="12.7265625" style="7" customWidth="1"/>
    <col min="5" max="8" width="10.453125" style="7" customWidth="1"/>
    <col min="9" max="9" width="12" style="7" bestFit="1" customWidth="1"/>
    <col min="10" max="10" width="12.453125" style="7" bestFit="1" customWidth="1"/>
    <col min="11" max="15" width="10.453125" style="7" customWidth="1"/>
    <col min="16" max="19" width="10.453125" style="7" hidden="1" customWidth="1"/>
    <col min="20" max="20" width="10.453125" style="7" customWidth="1"/>
    <col min="21" max="21" width="12" style="7" bestFit="1" customWidth="1"/>
    <col min="22" max="22" width="10.453125" style="7" customWidth="1"/>
    <col min="23" max="23" width="15.453125" style="7" bestFit="1" customWidth="1"/>
    <col min="24" max="24" width="10.453125" style="7" customWidth="1"/>
    <col min="25" max="25" width="12.81640625" style="7" bestFit="1" customWidth="1"/>
    <col min="26" max="26" width="14" style="7" customWidth="1"/>
    <col min="27" max="27" width="14.26953125" style="7" customWidth="1"/>
    <col min="28" max="28" width="14.453125" style="7" bestFit="1" customWidth="1"/>
    <col min="29" max="29" width="13.453125" style="7" bestFit="1" customWidth="1"/>
    <col min="30" max="30" width="12" style="7" bestFit="1" customWidth="1"/>
    <col min="31" max="31" width="14.81640625" style="7" customWidth="1"/>
    <col min="32" max="33" width="0.81640625" style="7" customWidth="1"/>
    <col min="34" max="34" width="11.7265625" style="7" customWidth="1"/>
    <col min="35" max="36" width="8.81640625" style="7"/>
    <col min="37" max="45" width="11.81640625" style="7" customWidth="1"/>
    <col min="46" max="16384" width="8.81640625" style="7"/>
  </cols>
  <sheetData>
    <row r="1" spans="1:33" ht="35.15" customHeight="1">
      <c r="A1" s="761">
        <f>+A6</f>
        <v>45078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3"/>
    </row>
    <row r="2" spans="1:33" ht="25" customHeight="1" thickBot="1">
      <c r="A2" s="40"/>
      <c r="AG2" s="220" t="s">
        <v>127</v>
      </c>
    </row>
    <row r="3" spans="1:33" ht="17.149999999999999" customHeight="1">
      <c r="A3" s="764" t="s">
        <v>128</v>
      </c>
      <c r="B3" s="114" t="s">
        <v>129</v>
      </c>
      <c r="C3" s="114" t="s">
        <v>130</v>
      </c>
      <c r="D3" s="796" t="s">
        <v>131</v>
      </c>
      <c r="E3" s="797"/>
      <c r="F3" s="797"/>
      <c r="G3" s="797"/>
      <c r="H3" s="798"/>
      <c r="I3" s="799" t="s">
        <v>42</v>
      </c>
      <c r="J3" s="800"/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178</v>
      </c>
      <c r="Z3" s="769" t="s">
        <v>179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3" s="9" customFormat="1" ht="17.149999999999999" customHeight="1">
      <c r="A4" s="765"/>
      <c r="B4" s="115" t="s">
        <v>139</v>
      </c>
      <c r="C4" s="115" t="s">
        <v>69</v>
      </c>
      <c r="D4" s="115" t="s">
        <v>166</v>
      </c>
      <c r="E4" s="64"/>
      <c r="F4" s="62"/>
      <c r="G4" s="62"/>
      <c r="H4" s="116" t="s">
        <v>46</v>
      </c>
      <c r="I4" s="115" t="s">
        <v>177</v>
      </c>
      <c r="J4" s="777" t="s">
        <v>184</v>
      </c>
      <c r="K4" s="782"/>
      <c r="L4" s="782"/>
      <c r="M4" s="782"/>
      <c r="N4" s="782"/>
      <c r="O4" s="778"/>
      <c r="P4" s="285"/>
      <c r="Q4" s="286"/>
      <c r="R4" s="777"/>
      <c r="S4" s="778"/>
      <c r="T4" s="284"/>
      <c r="U4" s="254" t="s">
        <v>48</v>
      </c>
      <c r="V4" s="254" t="s">
        <v>140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3" ht="30" customHeight="1" thickBot="1">
      <c r="A5" s="766"/>
      <c r="B5" s="783" t="s">
        <v>51</v>
      </c>
      <c r="C5" s="784"/>
      <c r="D5" s="784"/>
      <c r="E5" s="784"/>
      <c r="F5" s="784"/>
      <c r="G5" s="784"/>
      <c r="H5" s="785"/>
      <c r="I5" s="298" t="s">
        <v>51</v>
      </c>
      <c r="J5" s="310" t="s">
        <v>120</v>
      </c>
      <c r="K5" s="311"/>
      <c r="L5" s="312"/>
      <c r="M5" s="312"/>
      <c r="N5" s="313"/>
      <c r="O5" s="313"/>
      <c r="P5" s="775"/>
      <c r="Q5" s="776"/>
      <c r="R5" s="775"/>
      <c r="S5" s="776"/>
      <c r="T5" s="481"/>
      <c r="U5" s="482" t="s">
        <v>51</v>
      </c>
      <c r="V5" s="482"/>
      <c r="W5" s="483" t="s">
        <v>175</v>
      </c>
      <c r="X5" s="299" t="s">
        <v>55</v>
      </c>
      <c r="Y5" s="793"/>
      <c r="Z5" s="771"/>
      <c r="AA5" s="774"/>
      <c r="AB5" s="757"/>
      <c r="AC5" s="757"/>
      <c r="AD5" s="757"/>
      <c r="AE5" s="760"/>
      <c r="AG5" s="219"/>
    </row>
    <row r="6" spans="1:33" ht="17.149999999999999" customHeight="1">
      <c r="A6" s="124">
        <v>45078</v>
      </c>
      <c r="B6" s="339">
        <v>1084.3</v>
      </c>
      <c r="C6" s="340">
        <v>7117.4</v>
      </c>
      <c r="D6" s="340">
        <v>10522.8</v>
      </c>
      <c r="E6" s="339"/>
      <c r="F6" s="340"/>
      <c r="G6" s="341"/>
      <c r="H6" s="341">
        <v>2713.8</v>
      </c>
      <c r="I6" s="340">
        <v>6141.8</v>
      </c>
      <c r="J6" s="342">
        <v>20918</v>
      </c>
      <c r="K6" s="343"/>
      <c r="L6" s="340"/>
      <c r="M6" s="342"/>
      <c r="N6" s="341"/>
      <c r="O6" s="341"/>
      <c r="P6" s="340"/>
      <c r="Q6" s="342"/>
      <c r="R6" s="340"/>
      <c r="S6" s="340"/>
      <c r="T6" s="340"/>
      <c r="U6" s="340">
        <v>6632</v>
      </c>
      <c r="V6" s="340"/>
      <c r="W6" s="342">
        <v>41171</v>
      </c>
      <c r="X6" s="343">
        <v>2302</v>
      </c>
      <c r="Y6" s="344">
        <f t="shared" ref="Y6:Y36" si="0">SUM(B6:H6,X6)</f>
        <v>23740.3</v>
      </c>
      <c r="Z6" s="344">
        <f>SUM(I6:W6)</f>
        <v>74862.8</v>
      </c>
      <c r="AA6" s="345">
        <f t="shared" ref="AA6:AA36" si="1">SUM(B6:X6)</f>
        <v>98603.1</v>
      </c>
      <c r="AB6" s="341">
        <v>43145</v>
      </c>
      <c r="AC6" s="343">
        <v>40088</v>
      </c>
      <c r="AD6" s="343">
        <v>24929</v>
      </c>
      <c r="AE6" s="345">
        <f>SUM(AB6:AD6)</f>
        <v>108162</v>
      </c>
      <c r="AG6" s="219"/>
    </row>
    <row r="7" spans="1:33" ht="17.149999999999999" customHeight="1">
      <c r="A7" s="60">
        <f t="shared" ref="A7:A35" si="2">+A6+1</f>
        <v>45079</v>
      </c>
      <c r="B7" s="346">
        <v>1270.5</v>
      </c>
      <c r="C7" s="347">
        <v>7984</v>
      </c>
      <c r="D7" s="347">
        <v>12310.800000000001</v>
      </c>
      <c r="E7" s="346"/>
      <c r="F7" s="347"/>
      <c r="G7" s="348"/>
      <c r="H7" s="348">
        <v>2759.1</v>
      </c>
      <c r="I7" s="347">
        <v>3604.2</v>
      </c>
      <c r="J7" s="349">
        <v>20087.3</v>
      </c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347">
        <v>6770.1</v>
      </c>
      <c r="V7" s="347"/>
      <c r="W7" s="347">
        <v>43310</v>
      </c>
      <c r="X7" s="350">
        <v>2286.1999999999998</v>
      </c>
      <c r="Y7" s="344">
        <f t="shared" si="0"/>
        <v>26610.600000000002</v>
      </c>
      <c r="Z7" s="351">
        <f t="shared" ref="Z7:Z36" si="3">SUM(I7:W7)</f>
        <v>73771.600000000006</v>
      </c>
      <c r="AA7" s="352">
        <f t="shared" si="1"/>
        <v>100382.2</v>
      </c>
      <c r="AB7" s="348">
        <v>35931</v>
      </c>
      <c r="AC7" s="350">
        <v>34804</v>
      </c>
      <c r="AD7" s="350">
        <v>20224</v>
      </c>
      <c r="AE7" s="352">
        <f t="shared" ref="AE7:AE36" si="4">SUM(AB7:AD7)</f>
        <v>90959</v>
      </c>
      <c r="AG7" s="219"/>
    </row>
    <row r="8" spans="1:33" ht="17.149999999999999" customHeight="1">
      <c r="A8" s="60">
        <f t="shared" si="2"/>
        <v>45080</v>
      </c>
      <c r="B8" s="346">
        <v>0</v>
      </c>
      <c r="C8" s="347">
        <v>7959.4</v>
      </c>
      <c r="D8" s="347">
        <v>12809.800000000001</v>
      </c>
      <c r="E8" s="346"/>
      <c r="F8" s="347"/>
      <c r="G8" s="348"/>
      <c r="H8" s="348">
        <v>1645.5</v>
      </c>
      <c r="I8" s="347">
        <v>6463.600000000004</v>
      </c>
      <c r="J8" s="349">
        <v>18862.899999999998</v>
      </c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>
        <v>7884.4</v>
      </c>
      <c r="V8" s="347"/>
      <c r="W8" s="347">
        <v>50179</v>
      </c>
      <c r="X8" s="353">
        <v>2439.4</v>
      </c>
      <c r="Y8" s="344">
        <f t="shared" si="0"/>
        <v>24854.100000000002</v>
      </c>
      <c r="Z8" s="351">
        <f t="shared" si="3"/>
        <v>83389.899999999994</v>
      </c>
      <c r="AA8" s="352">
        <f t="shared" si="1"/>
        <v>108244</v>
      </c>
      <c r="AB8" s="348">
        <v>43151</v>
      </c>
      <c r="AC8" s="353">
        <v>36481</v>
      </c>
      <c r="AD8" s="353">
        <v>25373</v>
      </c>
      <c r="AE8" s="352">
        <f t="shared" si="4"/>
        <v>105005</v>
      </c>
      <c r="AG8" s="219"/>
    </row>
    <row r="9" spans="1:33" ht="17.149999999999999" customHeight="1">
      <c r="A9" s="60">
        <f t="shared" si="2"/>
        <v>45081</v>
      </c>
      <c r="B9" s="346">
        <v>0</v>
      </c>
      <c r="C9" s="347">
        <v>6814</v>
      </c>
      <c r="D9" s="347">
        <v>7372.2</v>
      </c>
      <c r="E9" s="346"/>
      <c r="F9" s="347"/>
      <c r="G9" s="348"/>
      <c r="H9" s="348">
        <v>2994.1</v>
      </c>
      <c r="I9" s="347">
        <v>5064.5000000000055</v>
      </c>
      <c r="J9" s="349">
        <v>13857.3</v>
      </c>
      <c r="K9" s="347"/>
      <c r="L9" s="347"/>
      <c r="M9" s="347"/>
      <c r="N9" s="347"/>
      <c r="O9" s="347"/>
      <c r="P9" s="347"/>
      <c r="Q9" s="347"/>
      <c r="R9" s="347"/>
      <c r="S9" s="347"/>
      <c r="T9" s="347"/>
      <c r="U9" s="347">
        <v>7847.3</v>
      </c>
      <c r="V9" s="347"/>
      <c r="W9" s="347">
        <v>51554.8</v>
      </c>
      <c r="X9" s="353">
        <v>2865.8</v>
      </c>
      <c r="Y9" s="344">
        <f t="shared" si="0"/>
        <v>20046.099999999999</v>
      </c>
      <c r="Z9" s="351">
        <f t="shared" si="3"/>
        <v>78323.900000000009</v>
      </c>
      <c r="AA9" s="352">
        <f t="shared" si="1"/>
        <v>98370.000000000015</v>
      </c>
      <c r="AB9" s="348">
        <v>30290</v>
      </c>
      <c r="AC9" s="353">
        <v>28207</v>
      </c>
      <c r="AD9" s="353">
        <v>17180</v>
      </c>
      <c r="AE9" s="352">
        <f t="shared" si="4"/>
        <v>75677</v>
      </c>
      <c r="AG9" s="219"/>
    </row>
    <row r="10" spans="1:33" ht="17.149999999999999" customHeight="1">
      <c r="A10" s="60">
        <f t="shared" si="2"/>
        <v>45082</v>
      </c>
      <c r="B10" s="346">
        <v>0</v>
      </c>
      <c r="C10" s="347">
        <v>4112.6000000000004</v>
      </c>
      <c r="D10" s="347">
        <v>4082.2</v>
      </c>
      <c r="E10" s="346"/>
      <c r="F10" s="347"/>
      <c r="G10" s="348"/>
      <c r="H10" s="348">
        <v>3022.7</v>
      </c>
      <c r="I10" s="347">
        <v>5515.2000000000016</v>
      </c>
      <c r="J10" s="349">
        <v>20347.200000000012</v>
      </c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>
        <v>9515.9000000000015</v>
      </c>
      <c r="V10" s="347"/>
      <c r="W10" s="347">
        <v>36702</v>
      </c>
      <c r="X10" s="353">
        <v>2152.0000000000005</v>
      </c>
      <c r="Y10" s="344">
        <f t="shared" si="0"/>
        <v>13369.5</v>
      </c>
      <c r="Z10" s="351">
        <f t="shared" si="3"/>
        <v>72080.300000000017</v>
      </c>
      <c r="AA10" s="352">
        <f t="shared" si="1"/>
        <v>85449.800000000017</v>
      </c>
      <c r="AB10" s="348">
        <v>43871</v>
      </c>
      <c r="AC10" s="353">
        <v>39605</v>
      </c>
      <c r="AD10" s="353">
        <v>23139</v>
      </c>
      <c r="AE10" s="352">
        <f t="shared" si="4"/>
        <v>106615</v>
      </c>
      <c r="AG10" s="219"/>
    </row>
    <row r="11" spans="1:33" ht="17.149999999999999" customHeight="1">
      <c r="A11" s="60">
        <f t="shared" si="2"/>
        <v>45083</v>
      </c>
      <c r="B11" s="346"/>
      <c r="C11" s="347"/>
      <c r="D11" s="347"/>
      <c r="E11" s="346"/>
      <c r="F11" s="347"/>
      <c r="G11" s="348"/>
      <c r="H11" s="348"/>
      <c r="I11" s="347"/>
      <c r="J11" s="349"/>
      <c r="K11" s="347"/>
      <c r="L11" s="347"/>
      <c r="M11" s="347"/>
      <c r="N11" s="347"/>
      <c r="O11" s="347"/>
      <c r="P11" s="347"/>
      <c r="Q11" s="347"/>
      <c r="R11" s="347"/>
      <c r="S11" s="347"/>
      <c r="T11" s="347"/>
      <c r="U11" s="347"/>
      <c r="V11" s="347"/>
      <c r="W11" s="347"/>
      <c r="X11" s="353"/>
      <c r="Y11" s="344">
        <f t="shared" si="0"/>
        <v>0</v>
      </c>
      <c r="Z11" s="351">
        <f t="shared" si="3"/>
        <v>0</v>
      </c>
      <c r="AA11" s="352">
        <f t="shared" si="1"/>
        <v>0</v>
      </c>
      <c r="AB11" s="348"/>
      <c r="AC11" s="353"/>
      <c r="AD11" s="353"/>
      <c r="AE11" s="352">
        <f t="shared" si="4"/>
        <v>0</v>
      </c>
      <c r="AG11" s="219"/>
    </row>
    <row r="12" spans="1:33" ht="17.149999999999999" customHeight="1">
      <c r="A12" s="60">
        <f t="shared" si="2"/>
        <v>45084</v>
      </c>
      <c r="B12" s="346"/>
      <c r="C12" s="347"/>
      <c r="D12" s="347"/>
      <c r="E12" s="346"/>
      <c r="F12" s="347"/>
      <c r="G12" s="348"/>
      <c r="H12" s="348"/>
      <c r="I12" s="347"/>
      <c r="J12" s="349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53"/>
      <c r="Y12" s="344">
        <f t="shared" si="0"/>
        <v>0</v>
      </c>
      <c r="Z12" s="351">
        <f t="shared" si="3"/>
        <v>0</v>
      </c>
      <c r="AA12" s="352">
        <f t="shared" si="1"/>
        <v>0</v>
      </c>
      <c r="AB12" s="348"/>
      <c r="AC12" s="353"/>
      <c r="AD12" s="353"/>
      <c r="AE12" s="352">
        <f t="shared" si="4"/>
        <v>0</v>
      </c>
      <c r="AG12" s="219"/>
    </row>
    <row r="13" spans="1:33" ht="17.149999999999999" customHeight="1">
      <c r="A13" s="60">
        <f t="shared" si="2"/>
        <v>45085</v>
      </c>
      <c r="B13" s="346"/>
      <c r="C13" s="347"/>
      <c r="D13" s="347"/>
      <c r="E13" s="346"/>
      <c r="F13" s="347"/>
      <c r="G13" s="348"/>
      <c r="H13" s="348"/>
      <c r="I13" s="347"/>
      <c r="J13" s="349"/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/>
      <c r="V13" s="347"/>
      <c r="W13" s="347"/>
      <c r="X13" s="353"/>
      <c r="Y13" s="344">
        <f t="shared" si="0"/>
        <v>0</v>
      </c>
      <c r="Z13" s="351">
        <f t="shared" si="3"/>
        <v>0</v>
      </c>
      <c r="AA13" s="352">
        <f t="shared" si="1"/>
        <v>0</v>
      </c>
      <c r="AB13" s="348"/>
      <c r="AC13" s="350"/>
      <c r="AD13" s="350"/>
      <c r="AE13" s="352">
        <f t="shared" si="4"/>
        <v>0</v>
      </c>
      <c r="AG13" s="219"/>
    </row>
    <row r="14" spans="1:33" ht="17.149999999999999" customHeight="1">
      <c r="A14" s="60">
        <f t="shared" si="2"/>
        <v>45086</v>
      </c>
      <c r="B14" s="346"/>
      <c r="C14" s="347"/>
      <c r="D14" s="347"/>
      <c r="E14" s="346"/>
      <c r="F14" s="347"/>
      <c r="G14" s="348"/>
      <c r="H14" s="348"/>
      <c r="I14" s="347"/>
      <c r="J14" s="349"/>
      <c r="K14" s="347"/>
      <c r="L14" s="347"/>
      <c r="M14" s="347"/>
      <c r="N14" s="347"/>
      <c r="O14" s="347"/>
      <c r="P14" s="347"/>
      <c r="Q14" s="347"/>
      <c r="R14" s="347"/>
      <c r="S14" s="347"/>
      <c r="T14" s="347"/>
      <c r="U14" s="347"/>
      <c r="V14" s="347"/>
      <c r="W14" s="347"/>
      <c r="X14" s="353"/>
      <c r="Y14" s="344">
        <f t="shared" si="0"/>
        <v>0</v>
      </c>
      <c r="Z14" s="351">
        <f t="shared" si="3"/>
        <v>0</v>
      </c>
      <c r="AA14" s="352">
        <f t="shared" si="1"/>
        <v>0</v>
      </c>
      <c r="AB14" s="348"/>
      <c r="AC14" s="353"/>
      <c r="AD14" s="353"/>
      <c r="AE14" s="352">
        <f t="shared" si="4"/>
        <v>0</v>
      </c>
      <c r="AG14" s="219"/>
    </row>
    <row r="15" spans="1:33" ht="17.149999999999999" customHeight="1">
      <c r="A15" s="60">
        <f t="shared" si="2"/>
        <v>45087</v>
      </c>
      <c r="B15" s="346"/>
      <c r="C15" s="347"/>
      <c r="D15" s="347"/>
      <c r="E15" s="346"/>
      <c r="F15" s="347"/>
      <c r="G15" s="348"/>
      <c r="H15" s="348"/>
      <c r="I15" s="347"/>
      <c r="J15" s="349"/>
      <c r="K15" s="347"/>
      <c r="L15" s="347"/>
      <c r="M15" s="347"/>
      <c r="N15" s="347"/>
      <c r="O15" s="347"/>
      <c r="P15" s="347"/>
      <c r="Q15" s="347"/>
      <c r="R15" s="347"/>
      <c r="S15" s="347"/>
      <c r="T15" s="347"/>
      <c r="U15" s="347"/>
      <c r="V15" s="347"/>
      <c r="W15" s="347"/>
      <c r="X15" s="353"/>
      <c r="Y15" s="344">
        <f t="shared" si="0"/>
        <v>0</v>
      </c>
      <c r="Z15" s="351">
        <f t="shared" si="3"/>
        <v>0</v>
      </c>
      <c r="AA15" s="352">
        <f t="shared" si="1"/>
        <v>0</v>
      </c>
      <c r="AB15" s="348"/>
      <c r="AC15" s="353"/>
      <c r="AD15" s="353"/>
      <c r="AE15" s="352">
        <f t="shared" si="4"/>
        <v>0</v>
      </c>
      <c r="AG15" s="219"/>
    </row>
    <row r="16" spans="1:33" ht="17.149999999999999" customHeight="1">
      <c r="A16" s="60">
        <f t="shared" si="2"/>
        <v>45088</v>
      </c>
      <c r="B16" s="346"/>
      <c r="C16" s="347"/>
      <c r="D16" s="347"/>
      <c r="E16" s="346"/>
      <c r="F16" s="347"/>
      <c r="G16" s="348"/>
      <c r="H16" s="348"/>
      <c r="I16" s="347"/>
      <c r="J16" s="349"/>
      <c r="K16" s="347"/>
      <c r="L16" s="347"/>
      <c r="M16" s="347"/>
      <c r="N16" s="347"/>
      <c r="O16" s="347"/>
      <c r="P16" s="347"/>
      <c r="Q16" s="347"/>
      <c r="R16" s="347"/>
      <c r="S16" s="347"/>
      <c r="T16" s="347"/>
      <c r="U16" s="347"/>
      <c r="V16" s="347"/>
      <c r="W16" s="347"/>
      <c r="X16" s="353"/>
      <c r="Y16" s="344">
        <f t="shared" si="0"/>
        <v>0</v>
      </c>
      <c r="Z16" s="351">
        <f t="shared" si="3"/>
        <v>0</v>
      </c>
      <c r="AA16" s="352">
        <f t="shared" si="1"/>
        <v>0</v>
      </c>
      <c r="AB16" s="348"/>
      <c r="AC16" s="353"/>
      <c r="AD16" s="353"/>
      <c r="AE16" s="352">
        <f t="shared" si="4"/>
        <v>0</v>
      </c>
      <c r="AG16" s="219"/>
    </row>
    <row r="17" spans="1:33" ht="17.149999999999999" customHeight="1">
      <c r="A17" s="60">
        <f t="shared" si="2"/>
        <v>45089</v>
      </c>
      <c r="B17" s="346"/>
      <c r="C17" s="347"/>
      <c r="D17" s="347"/>
      <c r="E17" s="346"/>
      <c r="F17" s="347"/>
      <c r="G17" s="348"/>
      <c r="H17" s="348"/>
      <c r="I17" s="347"/>
      <c r="J17" s="349"/>
      <c r="K17" s="347"/>
      <c r="L17" s="347"/>
      <c r="M17" s="347"/>
      <c r="N17" s="347"/>
      <c r="O17" s="347"/>
      <c r="P17" s="347"/>
      <c r="Q17" s="347"/>
      <c r="R17" s="347"/>
      <c r="S17" s="347"/>
      <c r="T17" s="347"/>
      <c r="U17" s="347"/>
      <c r="V17" s="347"/>
      <c r="W17" s="347"/>
      <c r="X17" s="353"/>
      <c r="Y17" s="344">
        <f t="shared" si="0"/>
        <v>0</v>
      </c>
      <c r="Z17" s="351">
        <f t="shared" si="3"/>
        <v>0</v>
      </c>
      <c r="AA17" s="352">
        <f t="shared" si="1"/>
        <v>0</v>
      </c>
      <c r="AB17" s="348"/>
      <c r="AC17" s="353"/>
      <c r="AD17" s="353"/>
      <c r="AE17" s="352">
        <f t="shared" si="4"/>
        <v>0</v>
      </c>
      <c r="AG17" s="219"/>
    </row>
    <row r="18" spans="1:33" ht="17.149999999999999" customHeight="1">
      <c r="A18" s="60">
        <f t="shared" si="2"/>
        <v>45090</v>
      </c>
      <c r="B18" s="346"/>
      <c r="C18" s="347"/>
      <c r="D18" s="347"/>
      <c r="E18" s="346"/>
      <c r="F18" s="347"/>
      <c r="G18" s="348"/>
      <c r="H18" s="348"/>
      <c r="I18" s="347"/>
      <c r="J18" s="349"/>
      <c r="K18" s="347"/>
      <c r="L18" s="347"/>
      <c r="M18" s="347"/>
      <c r="N18" s="347"/>
      <c r="O18" s="347"/>
      <c r="P18" s="347"/>
      <c r="Q18" s="347"/>
      <c r="R18" s="347"/>
      <c r="S18" s="347"/>
      <c r="T18" s="347"/>
      <c r="U18" s="347"/>
      <c r="V18" s="347"/>
      <c r="W18" s="347"/>
      <c r="X18" s="350"/>
      <c r="Y18" s="344">
        <f t="shared" si="0"/>
        <v>0</v>
      </c>
      <c r="Z18" s="351">
        <f t="shared" si="3"/>
        <v>0</v>
      </c>
      <c r="AA18" s="352">
        <f t="shared" si="1"/>
        <v>0</v>
      </c>
      <c r="AB18" s="348"/>
      <c r="AC18" s="350"/>
      <c r="AD18" s="350"/>
      <c r="AE18" s="352">
        <f t="shared" si="4"/>
        <v>0</v>
      </c>
      <c r="AG18" s="219"/>
    </row>
    <row r="19" spans="1:33" ht="17.149999999999999" customHeight="1">
      <c r="A19" s="60">
        <f t="shared" si="2"/>
        <v>45091</v>
      </c>
      <c r="B19" s="346"/>
      <c r="C19" s="347"/>
      <c r="D19" s="347"/>
      <c r="E19" s="346"/>
      <c r="F19" s="347"/>
      <c r="G19" s="348"/>
      <c r="H19" s="348"/>
      <c r="I19" s="347"/>
      <c r="J19" s="349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54"/>
      <c r="Y19" s="344">
        <f t="shared" si="0"/>
        <v>0</v>
      </c>
      <c r="Z19" s="351">
        <f t="shared" si="3"/>
        <v>0</v>
      </c>
      <c r="AA19" s="352">
        <f t="shared" si="1"/>
        <v>0</v>
      </c>
      <c r="AB19" s="348"/>
      <c r="AC19" s="354"/>
      <c r="AD19" s="354"/>
      <c r="AE19" s="352">
        <f t="shared" si="4"/>
        <v>0</v>
      </c>
      <c r="AG19" s="219"/>
    </row>
    <row r="20" spans="1:33" ht="17.149999999999999" customHeight="1">
      <c r="A20" s="60">
        <f t="shared" si="2"/>
        <v>45092</v>
      </c>
      <c r="B20" s="346"/>
      <c r="C20" s="347"/>
      <c r="D20" s="347"/>
      <c r="E20" s="347"/>
      <c r="F20" s="347"/>
      <c r="G20" s="348"/>
      <c r="H20" s="348"/>
      <c r="I20" s="347"/>
      <c r="J20" s="349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54"/>
      <c r="Y20" s="344">
        <f t="shared" si="0"/>
        <v>0</v>
      </c>
      <c r="Z20" s="351">
        <f t="shared" si="3"/>
        <v>0</v>
      </c>
      <c r="AA20" s="352">
        <f t="shared" si="1"/>
        <v>0</v>
      </c>
      <c r="AB20" s="348"/>
      <c r="AC20" s="354"/>
      <c r="AD20" s="354"/>
      <c r="AE20" s="352">
        <f t="shared" si="4"/>
        <v>0</v>
      </c>
      <c r="AG20" s="219"/>
    </row>
    <row r="21" spans="1:33" ht="17.149999999999999" customHeight="1">
      <c r="A21" s="60">
        <f t="shared" si="2"/>
        <v>45093</v>
      </c>
      <c r="B21" s="346"/>
      <c r="C21" s="347"/>
      <c r="D21" s="347"/>
      <c r="E21" s="348"/>
      <c r="F21" s="347"/>
      <c r="G21" s="348"/>
      <c r="H21" s="348"/>
      <c r="I21" s="347"/>
      <c r="J21" s="349"/>
      <c r="K21" s="347"/>
      <c r="L21" s="347"/>
      <c r="M21" s="347"/>
      <c r="N21" s="347"/>
      <c r="O21" s="347"/>
      <c r="P21" s="347"/>
      <c r="Q21" s="355"/>
      <c r="R21" s="347"/>
      <c r="S21" s="347"/>
      <c r="T21" s="347"/>
      <c r="U21" s="347"/>
      <c r="V21" s="347"/>
      <c r="W21" s="355"/>
      <c r="X21" s="356"/>
      <c r="Y21" s="344">
        <f t="shared" si="0"/>
        <v>0</v>
      </c>
      <c r="Z21" s="351">
        <f t="shared" si="3"/>
        <v>0</v>
      </c>
      <c r="AA21" s="352">
        <f t="shared" si="1"/>
        <v>0</v>
      </c>
      <c r="AB21" s="348"/>
      <c r="AC21" s="350"/>
      <c r="AD21" s="350"/>
      <c r="AE21" s="352">
        <f t="shared" si="4"/>
        <v>0</v>
      </c>
      <c r="AG21" s="219"/>
    </row>
    <row r="22" spans="1:33" ht="17.149999999999999" customHeight="1">
      <c r="A22" s="60">
        <f t="shared" si="2"/>
        <v>45094</v>
      </c>
      <c r="B22" s="346"/>
      <c r="C22" s="347"/>
      <c r="D22" s="347"/>
      <c r="E22" s="348"/>
      <c r="F22" s="347"/>
      <c r="G22" s="348"/>
      <c r="H22" s="348"/>
      <c r="I22" s="347"/>
      <c r="J22" s="349"/>
      <c r="K22" s="347"/>
      <c r="L22" s="347"/>
      <c r="M22" s="347"/>
      <c r="N22" s="347"/>
      <c r="O22" s="347"/>
      <c r="P22" s="347"/>
      <c r="Q22" s="347"/>
      <c r="R22" s="347"/>
      <c r="S22" s="347"/>
      <c r="T22" s="347"/>
      <c r="U22" s="347"/>
      <c r="V22" s="347"/>
      <c r="W22" s="347"/>
      <c r="X22" s="353"/>
      <c r="Y22" s="344">
        <f t="shared" si="0"/>
        <v>0</v>
      </c>
      <c r="Z22" s="351">
        <f t="shared" si="3"/>
        <v>0</v>
      </c>
      <c r="AA22" s="352">
        <f t="shared" si="1"/>
        <v>0</v>
      </c>
      <c r="AB22" s="348"/>
      <c r="AC22" s="353"/>
      <c r="AD22" s="353"/>
      <c r="AE22" s="352">
        <f t="shared" si="4"/>
        <v>0</v>
      </c>
      <c r="AG22" s="219"/>
    </row>
    <row r="23" spans="1:33" ht="17.149999999999999" customHeight="1">
      <c r="A23" s="60">
        <f t="shared" si="2"/>
        <v>45095</v>
      </c>
      <c r="B23" s="346"/>
      <c r="C23" s="347"/>
      <c r="D23" s="347"/>
      <c r="E23" s="348"/>
      <c r="F23" s="347"/>
      <c r="G23" s="348"/>
      <c r="H23" s="348"/>
      <c r="I23" s="347"/>
      <c r="J23" s="349"/>
      <c r="K23" s="347"/>
      <c r="L23" s="347"/>
      <c r="M23" s="347"/>
      <c r="N23" s="347"/>
      <c r="O23" s="347"/>
      <c r="P23" s="347"/>
      <c r="Q23" s="347"/>
      <c r="R23" s="347"/>
      <c r="S23" s="347"/>
      <c r="T23" s="347"/>
      <c r="U23" s="347"/>
      <c r="V23" s="347"/>
      <c r="W23" s="347"/>
      <c r="X23" s="353"/>
      <c r="Y23" s="344">
        <f t="shared" si="0"/>
        <v>0</v>
      </c>
      <c r="Z23" s="351">
        <f t="shared" si="3"/>
        <v>0</v>
      </c>
      <c r="AA23" s="352">
        <f t="shared" si="1"/>
        <v>0</v>
      </c>
      <c r="AB23" s="348"/>
      <c r="AC23" s="353"/>
      <c r="AD23" s="353"/>
      <c r="AE23" s="352">
        <f t="shared" si="4"/>
        <v>0</v>
      </c>
      <c r="AG23" s="219"/>
    </row>
    <row r="24" spans="1:33" ht="17.149999999999999" customHeight="1">
      <c r="A24" s="60">
        <f t="shared" si="2"/>
        <v>45096</v>
      </c>
      <c r="B24" s="346"/>
      <c r="C24" s="347"/>
      <c r="D24" s="347"/>
      <c r="E24" s="348"/>
      <c r="F24" s="347"/>
      <c r="G24" s="348"/>
      <c r="H24" s="348"/>
      <c r="I24" s="347"/>
      <c r="J24" s="349"/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53"/>
      <c r="Y24" s="344">
        <f t="shared" si="0"/>
        <v>0</v>
      </c>
      <c r="Z24" s="351">
        <f t="shared" si="3"/>
        <v>0</v>
      </c>
      <c r="AA24" s="352">
        <f t="shared" si="1"/>
        <v>0</v>
      </c>
      <c r="AB24" s="348"/>
      <c r="AC24" s="353"/>
      <c r="AD24" s="353"/>
      <c r="AE24" s="352">
        <f t="shared" si="4"/>
        <v>0</v>
      </c>
      <c r="AG24" s="219"/>
    </row>
    <row r="25" spans="1:33" ht="17.149999999999999" customHeight="1">
      <c r="A25" s="60">
        <f t="shared" si="2"/>
        <v>45097</v>
      </c>
      <c r="B25" s="346"/>
      <c r="C25" s="347"/>
      <c r="D25" s="347"/>
      <c r="E25" s="346"/>
      <c r="F25" s="347"/>
      <c r="G25" s="348"/>
      <c r="H25" s="348"/>
      <c r="I25" s="347"/>
      <c r="J25" s="349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53"/>
      <c r="Y25" s="344">
        <f t="shared" si="0"/>
        <v>0</v>
      </c>
      <c r="Z25" s="351">
        <f t="shared" si="3"/>
        <v>0</v>
      </c>
      <c r="AA25" s="352">
        <f t="shared" si="1"/>
        <v>0</v>
      </c>
      <c r="AB25" s="348"/>
      <c r="AC25" s="353"/>
      <c r="AD25" s="353"/>
      <c r="AE25" s="352">
        <f t="shared" si="4"/>
        <v>0</v>
      </c>
      <c r="AG25" s="219"/>
    </row>
    <row r="26" spans="1:33" ht="17.149999999999999" customHeight="1">
      <c r="A26" s="60">
        <f t="shared" si="2"/>
        <v>45098</v>
      </c>
      <c r="B26" s="346"/>
      <c r="C26" s="347"/>
      <c r="D26" s="357"/>
      <c r="E26" s="347"/>
      <c r="F26" s="347"/>
      <c r="G26" s="348"/>
      <c r="H26" s="348"/>
      <c r="I26" s="347"/>
      <c r="J26" s="349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53"/>
      <c r="Y26" s="344">
        <f t="shared" si="0"/>
        <v>0</v>
      </c>
      <c r="Z26" s="351">
        <f t="shared" si="3"/>
        <v>0</v>
      </c>
      <c r="AA26" s="352">
        <f t="shared" si="1"/>
        <v>0</v>
      </c>
      <c r="AB26" s="348"/>
      <c r="AC26" s="353"/>
      <c r="AD26" s="353"/>
      <c r="AE26" s="352">
        <f t="shared" si="4"/>
        <v>0</v>
      </c>
      <c r="AG26" s="219"/>
    </row>
    <row r="27" spans="1:33" ht="17.149999999999999" customHeight="1">
      <c r="A27" s="60">
        <f t="shared" si="2"/>
        <v>45099</v>
      </c>
      <c r="B27" s="346"/>
      <c r="C27" s="347"/>
      <c r="D27" s="347"/>
      <c r="E27" s="346"/>
      <c r="F27" s="347"/>
      <c r="G27" s="348"/>
      <c r="H27" s="348"/>
      <c r="I27" s="347"/>
      <c r="J27" s="349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53"/>
      <c r="Y27" s="344">
        <f>SUM(B27:H27,X27)</f>
        <v>0</v>
      </c>
      <c r="Z27" s="351">
        <f t="shared" si="3"/>
        <v>0</v>
      </c>
      <c r="AA27" s="352">
        <f>SUM(B27:X27)</f>
        <v>0</v>
      </c>
      <c r="AB27" s="348"/>
      <c r="AC27" s="353"/>
      <c r="AD27" s="353"/>
      <c r="AE27" s="352">
        <f t="shared" si="4"/>
        <v>0</v>
      </c>
      <c r="AG27" s="219"/>
    </row>
    <row r="28" spans="1:33" ht="17.149999999999999" customHeight="1">
      <c r="A28" s="60">
        <f t="shared" si="2"/>
        <v>45100</v>
      </c>
      <c r="B28" s="346"/>
      <c r="C28" s="347"/>
      <c r="D28" s="347"/>
      <c r="E28" s="347"/>
      <c r="F28" s="348"/>
      <c r="G28" s="348"/>
      <c r="H28" s="348"/>
      <c r="I28" s="347"/>
      <c r="J28" s="349"/>
      <c r="K28" s="347"/>
      <c r="L28" s="347"/>
      <c r="M28" s="347"/>
      <c r="N28" s="347"/>
      <c r="O28" s="347"/>
      <c r="P28" s="347"/>
      <c r="Q28" s="347"/>
      <c r="R28" s="347"/>
      <c r="S28" s="347"/>
      <c r="T28" s="347"/>
      <c r="U28" s="347"/>
      <c r="V28" s="347"/>
      <c r="W28" s="347"/>
      <c r="X28" s="353"/>
      <c r="Y28" s="344">
        <f t="shared" si="0"/>
        <v>0</v>
      </c>
      <c r="Z28" s="351">
        <f t="shared" si="3"/>
        <v>0</v>
      </c>
      <c r="AA28" s="352">
        <f t="shared" si="1"/>
        <v>0</v>
      </c>
      <c r="AB28" s="348"/>
      <c r="AC28" s="353"/>
      <c r="AD28" s="353"/>
      <c r="AE28" s="352">
        <f t="shared" si="4"/>
        <v>0</v>
      </c>
      <c r="AG28" s="219"/>
    </row>
    <row r="29" spans="1:33" ht="17.149999999999999" customHeight="1">
      <c r="A29" s="60">
        <f t="shared" si="2"/>
        <v>45101</v>
      </c>
      <c r="B29" s="346"/>
      <c r="C29" s="347"/>
      <c r="D29" s="347"/>
      <c r="E29" s="346"/>
      <c r="F29" s="347"/>
      <c r="G29" s="348"/>
      <c r="H29" s="348"/>
      <c r="I29" s="347"/>
      <c r="J29" s="349"/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/>
      <c r="V29" s="347"/>
      <c r="W29" s="347"/>
      <c r="X29" s="353"/>
      <c r="Y29" s="344">
        <f t="shared" si="0"/>
        <v>0</v>
      </c>
      <c r="Z29" s="351">
        <f t="shared" si="3"/>
        <v>0</v>
      </c>
      <c r="AA29" s="352">
        <f t="shared" si="1"/>
        <v>0</v>
      </c>
      <c r="AB29" s="348"/>
      <c r="AC29" s="353"/>
      <c r="AD29" s="353"/>
      <c r="AE29" s="352">
        <f t="shared" si="4"/>
        <v>0</v>
      </c>
      <c r="AG29" s="219"/>
    </row>
    <row r="30" spans="1:33" ht="17.149999999999999" customHeight="1">
      <c r="A30" s="60">
        <f t="shared" si="2"/>
        <v>45102</v>
      </c>
      <c r="B30" s="346"/>
      <c r="C30" s="347"/>
      <c r="D30" s="346"/>
      <c r="E30" s="346"/>
      <c r="F30" s="346"/>
      <c r="G30" s="346"/>
      <c r="H30" s="346"/>
      <c r="I30" s="347"/>
      <c r="J30" s="349"/>
      <c r="K30" s="347"/>
      <c r="L30" s="349"/>
      <c r="M30" s="349"/>
      <c r="N30" s="349"/>
      <c r="O30" s="347"/>
      <c r="P30" s="349"/>
      <c r="Q30" s="349"/>
      <c r="R30" s="349"/>
      <c r="S30" s="349"/>
      <c r="T30" s="349"/>
      <c r="U30" s="349"/>
      <c r="V30" s="349"/>
      <c r="W30" s="349"/>
      <c r="X30" s="349"/>
      <c r="Y30" s="344">
        <f t="shared" si="0"/>
        <v>0</v>
      </c>
      <c r="Z30" s="351">
        <f t="shared" si="3"/>
        <v>0</v>
      </c>
      <c r="AA30" s="352">
        <f t="shared" si="1"/>
        <v>0</v>
      </c>
      <c r="AB30" s="348"/>
      <c r="AC30" s="349"/>
      <c r="AD30" s="348"/>
      <c r="AE30" s="352">
        <f t="shared" si="4"/>
        <v>0</v>
      </c>
      <c r="AG30" s="219"/>
    </row>
    <row r="31" spans="1:33" ht="17.149999999999999" customHeight="1">
      <c r="A31" s="60">
        <f t="shared" si="2"/>
        <v>45103</v>
      </c>
      <c r="B31" s="350"/>
      <c r="C31" s="347"/>
      <c r="D31" s="346"/>
      <c r="E31" s="346"/>
      <c r="F31" s="346"/>
      <c r="G31" s="346"/>
      <c r="H31" s="346"/>
      <c r="I31" s="347"/>
      <c r="J31" s="349"/>
      <c r="K31" s="347"/>
      <c r="L31" s="346"/>
      <c r="M31" s="346"/>
      <c r="N31" s="346"/>
      <c r="O31" s="347"/>
      <c r="P31" s="346"/>
      <c r="Q31" s="346"/>
      <c r="R31" s="346"/>
      <c r="S31" s="346"/>
      <c r="T31" s="346"/>
      <c r="U31" s="346"/>
      <c r="V31" s="346"/>
      <c r="W31" s="346"/>
      <c r="X31" s="346"/>
      <c r="Y31" s="344">
        <f t="shared" si="0"/>
        <v>0</v>
      </c>
      <c r="Z31" s="351">
        <f t="shared" si="3"/>
        <v>0</v>
      </c>
      <c r="AA31" s="352">
        <f t="shared" si="1"/>
        <v>0</v>
      </c>
      <c r="AB31" s="348"/>
      <c r="AC31" s="346"/>
      <c r="AD31" s="350"/>
      <c r="AE31" s="352">
        <f t="shared" si="4"/>
        <v>0</v>
      </c>
      <c r="AG31" s="219"/>
    </row>
    <row r="32" spans="1:33" ht="17.149999999999999" customHeight="1">
      <c r="A32" s="60">
        <f t="shared" si="2"/>
        <v>45104</v>
      </c>
      <c r="B32" s="346"/>
      <c r="C32" s="347"/>
      <c r="D32" s="347"/>
      <c r="E32" s="346"/>
      <c r="F32" s="347"/>
      <c r="G32" s="348"/>
      <c r="H32" s="348"/>
      <c r="I32" s="347"/>
      <c r="J32" s="349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53"/>
      <c r="Y32" s="344">
        <f t="shared" si="0"/>
        <v>0</v>
      </c>
      <c r="Z32" s="351">
        <f t="shared" si="3"/>
        <v>0</v>
      </c>
      <c r="AA32" s="352">
        <f t="shared" si="1"/>
        <v>0</v>
      </c>
      <c r="AB32" s="348"/>
      <c r="AC32" s="353"/>
      <c r="AD32" s="353"/>
      <c r="AE32" s="352">
        <f t="shared" si="4"/>
        <v>0</v>
      </c>
      <c r="AG32" s="219"/>
    </row>
    <row r="33" spans="1:34" ht="17.149999999999999" customHeight="1">
      <c r="A33" s="60">
        <f t="shared" si="2"/>
        <v>45105</v>
      </c>
      <c r="B33" s="346"/>
      <c r="C33" s="347"/>
      <c r="D33" s="358"/>
      <c r="E33" s="346"/>
      <c r="F33" s="347"/>
      <c r="G33" s="348"/>
      <c r="H33" s="348"/>
      <c r="I33" s="347"/>
      <c r="J33" s="349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53"/>
      <c r="Y33" s="344">
        <f t="shared" si="0"/>
        <v>0</v>
      </c>
      <c r="Z33" s="351">
        <f t="shared" si="3"/>
        <v>0</v>
      </c>
      <c r="AA33" s="352">
        <f t="shared" si="1"/>
        <v>0</v>
      </c>
      <c r="AB33" s="348"/>
      <c r="AC33" s="353"/>
      <c r="AD33" s="353"/>
      <c r="AE33" s="352">
        <f t="shared" si="4"/>
        <v>0</v>
      </c>
      <c r="AG33" s="219"/>
    </row>
    <row r="34" spans="1:34" ht="17.149999999999999" customHeight="1">
      <c r="A34" s="60">
        <f t="shared" si="2"/>
        <v>45106</v>
      </c>
      <c r="B34" s="346"/>
      <c r="C34" s="347"/>
      <c r="D34" s="347"/>
      <c r="E34" s="346"/>
      <c r="F34" s="347"/>
      <c r="G34" s="348"/>
      <c r="H34" s="348"/>
      <c r="I34" s="347"/>
      <c r="J34" s="349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50"/>
      <c r="Y34" s="344">
        <f t="shared" si="0"/>
        <v>0</v>
      </c>
      <c r="Z34" s="351">
        <f t="shared" si="3"/>
        <v>0</v>
      </c>
      <c r="AA34" s="352">
        <f t="shared" si="1"/>
        <v>0</v>
      </c>
      <c r="AB34" s="348"/>
      <c r="AC34" s="350"/>
      <c r="AD34" s="350"/>
      <c r="AE34" s="352">
        <f t="shared" si="4"/>
        <v>0</v>
      </c>
      <c r="AG34" s="219"/>
    </row>
    <row r="35" spans="1:34" ht="17.149999999999999" customHeight="1">
      <c r="A35" s="60">
        <f t="shared" si="2"/>
        <v>45107</v>
      </c>
      <c r="B35" s="346"/>
      <c r="C35" s="347"/>
      <c r="D35" s="347"/>
      <c r="E35" s="346"/>
      <c r="F35" s="347"/>
      <c r="G35" s="359"/>
      <c r="H35" s="359"/>
      <c r="I35" s="347"/>
      <c r="J35" s="349"/>
      <c r="K35" s="347"/>
      <c r="L35" s="357"/>
      <c r="M35" s="357"/>
      <c r="N35" s="357"/>
      <c r="O35" s="347"/>
      <c r="P35" s="357"/>
      <c r="Q35" s="357"/>
      <c r="R35" s="357"/>
      <c r="S35" s="357"/>
      <c r="T35" s="357"/>
      <c r="U35" s="357"/>
      <c r="V35" s="357"/>
      <c r="W35" s="357"/>
      <c r="X35" s="360"/>
      <c r="Y35" s="344">
        <f t="shared" si="0"/>
        <v>0</v>
      </c>
      <c r="Z35" s="351">
        <f t="shared" si="3"/>
        <v>0</v>
      </c>
      <c r="AA35" s="352">
        <f t="shared" si="1"/>
        <v>0</v>
      </c>
      <c r="AB35" s="348"/>
      <c r="AC35" s="360"/>
      <c r="AD35" s="360"/>
      <c r="AE35" s="352">
        <f t="shared" si="4"/>
        <v>0</v>
      </c>
      <c r="AG35" s="219"/>
    </row>
    <row r="36" spans="1:34" ht="17.149999999999999" customHeight="1">
      <c r="A36" s="60"/>
      <c r="B36" s="361"/>
      <c r="C36" s="357"/>
      <c r="D36" s="357"/>
      <c r="E36" s="361"/>
      <c r="F36" s="357"/>
      <c r="G36" s="359"/>
      <c r="H36" s="359"/>
      <c r="I36" s="357"/>
      <c r="J36" s="349"/>
      <c r="K36" s="347"/>
      <c r="L36" s="357"/>
      <c r="M36" s="357"/>
      <c r="N36" s="357"/>
      <c r="O36" s="347"/>
      <c r="P36" s="357"/>
      <c r="Q36" s="357"/>
      <c r="R36" s="357"/>
      <c r="S36" s="357"/>
      <c r="T36" s="357"/>
      <c r="U36" s="357"/>
      <c r="V36" s="357"/>
      <c r="W36" s="357"/>
      <c r="X36" s="360"/>
      <c r="Y36" s="344">
        <f t="shared" si="0"/>
        <v>0</v>
      </c>
      <c r="Z36" s="351">
        <f t="shared" si="3"/>
        <v>0</v>
      </c>
      <c r="AA36" s="362">
        <f t="shared" si="1"/>
        <v>0</v>
      </c>
      <c r="AB36" s="348"/>
      <c r="AC36" s="360"/>
      <c r="AD36" s="360"/>
      <c r="AE36" s="362">
        <f t="shared" si="4"/>
        <v>0</v>
      </c>
      <c r="AG36" s="219"/>
    </row>
    <row r="37" spans="1:34" s="14" customFormat="1" ht="17.149999999999999" customHeight="1">
      <c r="A37" s="71" t="s">
        <v>38</v>
      </c>
      <c r="B37" s="363">
        <f>SUM(B6:B36)</f>
        <v>2354.8000000000002</v>
      </c>
      <c r="C37" s="363">
        <f>SUM(C6:C36)</f>
        <v>33987.4</v>
      </c>
      <c r="D37" s="363">
        <f>SUM(D6:D36)</f>
        <v>47097.799999999996</v>
      </c>
      <c r="E37" s="363"/>
      <c r="F37" s="363"/>
      <c r="G37" s="363"/>
      <c r="H37" s="363">
        <f t="shared" ref="H37:AE37" si="5">SUM(H6:H36)</f>
        <v>13135.2</v>
      </c>
      <c r="I37" s="363">
        <f>SUM(I6:I36)</f>
        <v>26789.30000000001</v>
      </c>
      <c r="J37" s="364">
        <f>SUM(J6:J36)</f>
        <v>94072.700000000012</v>
      </c>
      <c r="K37" s="364">
        <f t="shared" si="5"/>
        <v>0</v>
      </c>
      <c r="L37" s="365">
        <f>SUM(L6:L36)</f>
        <v>0</v>
      </c>
      <c r="M37" s="365">
        <f>SUM(M6:M36)</f>
        <v>0</v>
      </c>
      <c r="N37" s="366">
        <f t="shared" si="5"/>
        <v>0</v>
      </c>
      <c r="O37" s="366">
        <f t="shared" si="5"/>
        <v>0</v>
      </c>
      <c r="P37" s="367">
        <f>SUM(P6:P36)</f>
        <v>0</v>
      </c>
      <c r="Q37" s="367">
        <f>SUM(Q6:Q36)</f>
        <v>0</v>
      </c>
      <c r="R37" s="367">
        <f>SUM(R6:R36)</f>
        <v>0</v>
      </c>
      <c r="S37" s="367">
        <f>SUM(S6:S36)</f>
        <v>0</v>
      </c>
      <c r="T37" s="368">
        <f t="shared" si="5"/>
        <v>0</v>
      </c>
      <c r="U37" s="368">
        <f t="shared" si="5"/>
        <v>38649.699999999997</v>
      </c>
      <c r="V37" s="368">
        <f>SUM(V6:V36)</f>
        <v>0</v>
      </c>
      <c r="W37" s="368">
        <f>SUM(W6:W36)</f>
        <v>222916.8</v>
      </c>
      <c r="X37" s="369">
        <f>SUM(X6:X36)</f>
        <v>12045.400000000001</v>
      </c>
      <c r="Y37" s="370">
        <f>SUM(Y6:Y36)</f>
        <v>108620.6</v>
      </c>
      <c r="Z37" s="371">
        <f>SUM(Z6:Z36)</f>
        <v>382428.5</v>
      </c>
      <c r="AA37" s="372">
        <f t="shared" si="5"/>
        <v>491049.1</v>
      </c>
      <c r="AB37" s="373">
        <f t="shared" si="5"/>
        <v>196388</v>
      </c>
      <c r="AC37" s="374">
        <f t="shared" si="5"/>
        <v>179185</v>
      </c>
      <c r="AD37" s="374">
        <f t="shared" si="5"/>
        <v>110845</v>
      </c>
      <c r="AE37" s="375">
        <f t="shared" si="5"/>
        <v>486418</v>
      </c>
      <c r="AG37" s="234"/>
    </row>
    <row r="38" spans="1:34" s="14" customFormat="1" ht="17.149999999999999" customHeight="1">
      <c r="A38" s="71" t="s">
        <v>86</v>
      </c>
      <c r="B38" s="376">
        <v>70000</v>
      </c>
      <c r="C38" s="363">
        <v>175000</v>
      </c>
      <c r="D38" s="377">
        <v>200000</v>
      </c>
      <c r="E38" s="363"/>
      <c r="F38" s="363"/>
      <c r="G38" s="363"/>
      <c r="H38" s="363">
        <v>70000</v>
      </c>
      <c r="I38" s="376">
        <v>130000</v>
      </c>
      <c r="J38" s="378">
        <v>650000</v>
      </c>
      <c r="K38" s="379"/>
      <c r="L38" s="379"/>
      <c r="M38" s="379"/>
      <c r="N38" s="379"/>
      <c r="O38" s="379"/>
      <c r="P38" s="367"/>
      <c r="Q38" s="367"/>
      <c r="R38" s="367"/>
      <c r="S38" s="367"/>
      <c r="T38" s="368"/>
      <c r="U38" s="368">
        <v>150000</v>
      </c>
      <c r="V38" s="368">
        <v>84999.999999999985</v>
      </c>
      <c r="W38" s="368">
        <v>1130000</v>
      </c>
      <c r="X38" s="369">
        <v>70000</v>
      </c>
      <c r="Y38" s="370">
        <f>SUM(B38:H38,X38)</f>
        <v>585000</v>
      </c>
      <c r="Z38" s="371">
        <f t="shared" ref="Z38" si="6">SUM(I38:W38)</f>
        <v>2145000</v>
      </c>
      <c r="AA38" s="372">
        <f>+Y38+Z38</f>
        <v>2730000</v>
      </c>
      <c r="AB38" s="373">
        <v>1080000</v>
      </c>
      <c r="AC38" s="374">
        <v>1030000</v>
      </c>
      <c r="AD38" s="374">
        <v>620000</v>
      </c>
      <c r="AE38" s="375">
        <f>SUM(AB38:AD38)</f>
        <v>2730000</v>
      </c>
      <c r="AG38" s="234"/>
    </row>
    <row r="39" spans="1:34" s="14" customFormat="1" ht="17.149999999999999" customHeight="1" thickBot="1">
      <c r="A39" s="80" t="s">
        <v>144</v>
      </c>
      <c r="B39" s="380">
        <f>SUM(B37)-B38</f>
        <v>-67645.2</v>
      </c>
      <c r="C39" s="381">
        <f>C37-C38</f>
        <v>-141012.6</v>
      </c>
      <c r="D39" s="380">
        <f>SUM(D37:G37)-D38</f>
        <v>-152902.20000000001</v>
      </c>
      <c r="E39" s="381"/>
      <c r="F39" s="381"/>
      <c r="G39" s="381"/>
      <c r="H39" s="381">
        <f>+H37-H38</f>
        <v>-56864.800000000003</v>
      </c>
      <c r="I39" s="380">
        <f>I37-I38</f>
        <v>-103210.69999999998</v>
      </c>
      <c r="J39" s="382">
        <f>SUM(J37:U37)-J38</f>
        <v>-517277.6</v>
      </c>
      <c r="K39" s="383"/>
      <c r="L39" s="383"/>
      <c r="M39" s="383"/>
      <c r="N39" s="383"/>
      <c r="O39" s="383"/>
      <c r="P39" s="384"/>
      <c r="Q39" s="384"/>
      <c r="R39" s="384"/>
      <c r="S39" s="384"/>
      <c r="T39" s="385"/>
      <c r="U39" s="385">
        <f t="shared" ref="U39:W39" si="7">+U37-U38</f>
        <v>-111350.3</v>
      </c>
      <c r="V39" s="385">
        <f t="shared" si="7"/>
        <v>-84999.999999999985</v>
      </c>
      <c r="W39" s="385">
        <f t="shared" si="7"/>
        <v>-907083.2</v>
      </c>
      <c r="X39" s="386">
        <f>(X37)-X38</f>
        <v>-57954.6</v>
      </c>
      <c r="Y39" s="387">
        <f>Y37-Y38</f>
        <v>-476379.4</v>
      </c>
      <c r="Z39" s="388">
        <f>Z37-Z38</f>
        <v>-1762571.5</v>
      </c>
      <c r="AA39" s="389">
        <f>AA37-AA38</f>
        <v>-2238950.9</v>
      </c>
      <c r="AB39" s="390">
        <f t="shared" ref="AB39:AE39" si="8">AB37-AB38</f>
        <v>-883612</v>
      </c>
      <c r="AC39" s="391">
        <f t="shared" si="8"/>
        <v>-850815</v>
      </c>
      <c r="AD39" s="391">
        <f t="shared" si="8"/>
        <v>-509155</v>
      </c>
      <c r="AE39" s="392">
        <f t="shared" si="8"/>
        <v>-2243582</v>
      </c>
      <c r="AG39" s="234"/>
    </row>
    <row r="40" spans="1:34" ht="17.149999999999999" customHeight="1" thickBot="1">
      <c r="A40" s="40"/>
      <c r="C40" s="7" t="s">
        <v>190</v>
      </c>
      <c r="D40" s="7" t="s">
        <v>191</v>
      </c>
      <c r="AG40" s="219"/>
    </row>
    <row r="41" spans="1:34" ht="17.149999999999999" customHeight="1">
      <c r="A41" s="767" t="s">
        <v>145</v>
      </c>
      <c r="B41" s="768"/>
      <c r="C41" s="36">
        <v>30</v>
      </c>
      <c r="D41" s="36">
        <v>28</v>
      </c>
      <c r="E41" s="229" t="s">
        <v>146</v>
      </c>
      <c r="AG41" s="219"/>
    </row>
    <row r="42" spans="1:34" ht="17.149999999999999" customHeight="1">
      <c r="A42" s="786" t="s">
        <v>147</v>
      </c>
      <c r="B42" s="787"/>
      <c r="C42" s="314">
        <v>5</v>
      </c>
      <c r="D42" s="314">
        <v>4.5</v>
      </c>
      <c r="E42" s="219" t="s">
        <v>146</v>
      </c>
      <c r="AG42" s="219"/>
    </row>
    <row r="43" spans="1:34" ht="17.149999999999999" customHeight="1" thickBot="1">
      <c r="A43" s="788" t="s">
        <v>148</v>
      </c>
      <c r="B43" s="789"/>
      <c r="C43" s="230">
        <f>+C41-C42</f>
        <v>25</v>
      </c>
      <c r="D43" s="230">
        <f>+D41-D42</f>
        <v>23.5</v>
      </c>
      <c r="E43" s="231" t="s">
        <v>146</v>
      </c>
      <c r="I43" s="464"/>
      <c r="AG43" s="219"/>
    </row>
    <row r="44" spans="1:34" ht="17.149999999999999" customHeight="1">
      <c r="A44" s="41"/>
      <c r="AG44" s="219"/>
    </row>
    <row r="45" spans="1:34" ht="17.149999999999999" customHeight="1">
      <c r="A45" s="42" t="s">
        <v>149</v>
      </c>
      <c r="AG45" s="219"/>
    </row>
    <row r="46" spans="1:34" ht="17.149999999999999" customHeight="1">
      <c r="A46" s="232" t="s">
        <v>72</v>
      </c>
      <c r="B46" s="233" t="s">
        <v>86</v>
      </c>
      <c r="C46" s="233" t="s">
        <v>99</v>
      </c>
      <c r="D46" s="233" t="s">
        <v>84</v>
      </c>
      <c r="AE46" s="259"/>
      <c r="AF46" s="259"/>
      <c r="AG46" s="234"/>
    </row>
    <row r="47" spans="1:34" ht="17.149999999999999" customHeight="1">
      <c r="A47" s="232" t="s">
        <v>39</v>
      </c>
      <c r="B47" s="393">
        <f>B38/$C$41*$C$42</f>
        <v>11666.666666666668</v>
      </c>
      <c r="C47" s="393">
        <f>SUM(B37:B37)</f>
        <v>2354.8000000000002</v>
      </c>
      <c r="D47" s="393">
        <f t="shared" ref="D47:D59" si="9">+C47-B47</f>
        <v>-9311.8666666666686</v>
      </c>
      <c r="Q47" s="23"/>
      <c r="X47" s="23"/>
      <c r="Y47" s="23"/>
      <c r="Z47" s="23"/>
      <c r="AA47" s="23"/>
      <c r="AB47" s="23"/>
      <c r="AC47" s="23"/>
      <c r="AG47" s="219"/>
    </row>
    <row r="48" spans="1:34" ht="17.149999999999999" customHeight="1">
      <c r="A48" s="232" t="s">
        <v>40</v>
      </c>
      <c r="B48" s="393">
        <f>(C38/$C$41)*$C$42</f>
        <v>29166.666666666664</v>
      </c>
      <c r="C48" s="393">
        <f>SUM(C37:C37)</f>
        <v>33987.4</v>
      </c>
      <c r="D48" s="393">
        <f t="shared" si="9"/>
        <v>4820.7333333333372</v>
      </c>
      <c r="L48" s="9"/>
      <c r="M48" s="9"/>
      <c r="N48" s="9"/>
      <c r="O48" s="9"/>
      <c r="P48" s="9"/>
      <c r="Q48" s="790"/>
      <c r="R48" s="790"/>
      <c r="S48" s="790"/>
      <c r="T48" s="790"/>
      <c r="U48" s="790"/>
      <c r="V48" s="790"/>
      <c r="W48" s="790"/>
      <c r="X48" s="790"/>
      <c r="Y48" s="790"/>
      <c r="Z48" s="790"/>
      <c r="AA48" s="790"/>
      <c r="AB48" s="790"/>
      <c r="AC48" s="790"/>
      <c r="AD48" s="235"/>
      <c r="AE48" s="235"/>
      <c r="AF48" s="235"/>
      <c r="AG48" s="236"/>
      <c r="AH48" s="235"/>
    </row>
    <row r="49" spans="1:33" ht="17.149999999999999" customHeight="1">
      <c r="A49" s="232" t="s">
        <v>150</v>
      </c>
      <c r="B49" s="393">
        <f>+(D38/$C$41)*$C$42</f>
        <v>33333.333333333336</v>
      </c>
      <c r="C49" s="393">
        <f>SUM(D37:G37)</f>
        <v>47097.799999999996</v>
      </c>
      <c r="D49" s="393">
        <f t="shared" si="9"/>
        <v>13764.46666666666</v>
      </c>
      <c r="AG49" s="219"/>
    </row>
    <row r="50" spans="1:33" ht="17.149999999999999" customHeight="1">
      <c r="A50" s="232" t="s">
        <v>87</v>
      </c>
      <c r="B50" s="393">
        <f>+(H38/$C$41)*$C$42</f>
        <v>11666.666666666668</v>
      </c>
      <c r="C50" s="393">
        <f>SUM(H37)</f>
        <v>13135.2</v>
      </c>
      <c r="D50" s="393">
        <f t="shared" si="9"/>
        <v>1468.5333333333328</v>
      </c>
      <c r="AG50" s="219"/>
    </row>
    <row r="51" spans="1:33" ht="17.149999999999999" customHeight="1">
      <c r="A51" s="250" t="s">
        <v>182</v>
      </c>
      <c r="B51" s="394">
        <f>+(I38/$C$41)*$C$42</f>
        <v>21666.666666666664</v>
      </c>
      <c r="C51" s="394">
        <f>+I37</f>
        <v>26789.30000000001</v>
      </c>
      <c r="D51" s="394">
        <f t="shared" si="9"/>
        <v>5122.6333333333459</v>
      </c>
      <c r="AG51" s="219"/>
    </row>
    <row r="52" spans="1:33" ht="17.149999999999999" customHeight="1">
      <c r="A52" s="232" t="s">
        <v>43</v>
      </c>
      <c r="B52" s="393">
        <f>+(X38/$C$41)*$C$42</f>
        <v>11666.666666666668</v>
      </c>
      <c r="C52" s="393">
        <f>+X37</f>
        <v>12045.400000000001</v>
      </c>
      <c r="D52" s="393">
        <f t="shared" si="9"/>
        <v>378.73333333333358</v>
      </c>
      <c r="R52" s="9"/>
      <c r="S52" s="9"/>
      <c r="T52" s="9"/>
      <c r="U52" s="9"/>
      <c r="V52" s="9"/>
      <c r="AG52" s="219"/>
    </row>
    <row r="53" spans="1:33" ht="17.149999999999999" customHeight="1">
      <c r="A53" s="87" t="s">
        <v>151</v>
      </c>
      <c r="B53" s="395">
        <f>SUM(B47:B52)</f>
        <v>119166.66666666667</v>
      </c>
      <c r="C53" s="395">
        <f>SUM(C47:C52)</f>
        <v>135409.9</v>
      </c>
      <c r="D53" s="395">
        <f t="shared" si="9"/>
        <v>16243.233333333323</v>
      </c>
      <c r="R53" s="9"/>
      <c r="S53" s="9"/>
      <c r="T53" s="9"/>
      <c r="U53" s="9"/>
      <c r="V53" s="9"/>
      <c r="AG53" s="219"/>
    </row>
    <row r="54" spans="1:33" ht="17.149999999999999" customHeight="1">
      <c r="A54" s="232" t="s">
        <v>91</v>
      </c>
      <c r="B54" s="393">
        <f>+(J38/$C$41)*$C$42</f>
        <v>108333.33333333334</v>
      </c>
      <c r="C54" s="393">
        <f>SUM(J37:S37)</f>
        <v>94072.700000000012</v>
      </c>
      <c r="D54" s="393">
        <f t="shared" si="9"/>
        <v>-14260.633333333331</v>
      </c>
      <c r="R54" s="9"/>
      <c r="S54" s="9"/>
      <c r="T54" s="9"/>
      <c r="U54" s="9"/>
      <c r="V54" s="9"/>
      <c r="AG54" s="219"/>
    </row>
    <row r="55" spans="1:33" ht="17.149999999999999" customHeight="1">
      <c r="A55" s="232" t="s">
        <v>92</v>
      </c>
      <c r="B55" s="393">
        <f>+(U38/$C$41)*$C$42</f>
        <v>25000</v>
      </c>
      <c r="C55" s="393">
        <f>+U37</f>
        <v>38649.699999999997</v>
      </c>
      <c r="D55" s="393">
        <f t="shared" si="9"/>
        <v>13649.699999999997</v>
      </c>
      <c r="R55" s="9"/>
      <c r="S55" s="9"/>
      <c r="T55" s="9"/>
      <c r="U55" s="9"/>
      <c r="V55" s="9"/>
      <c r="AG55" s="219"/>
    </row>
    <row r="56" spans="1:33" ht="17.149999999999999" customHeight="1">
      <c r="A56" s="232" t="s">
        <v>188</v>
      </c>
      <c r="B56" s="393">
        <f>+(V38/$C$41)*$C$42</f>
        <v>14166.666666666664</v>
      </c>
      <c r="C56" s="393">
        <f>V37</f>
        <v>0</v>
      </c>
      <c r="D56" s="393">
        <f t="shared" si="9"/>
        <v>-14166.666666666664</v>
      </c>
      <c r="R56" s="9"/>
      <c r="S56" s="9"/>
      <c r="T56" s="9"/>
      <c r="U56" s="9"/>
      <c r="V56" s="9"/>
      <c r="AG56" s="219"/>
    </row>
    <row r="57" spans="1:33" ht="17.149999999999999" customHeight="1">
      <c r="A57" s="232" t="s">
        <v>93</v>
      </c>
      <c r="B57" s="393">
        <f>+(W38/$C$41)*$C$42</f>
        <v>188333.33333333331</v>
      </c>
      <c r="C57" s="393">
        <f>+W37</f>
        <v>222916.8</v>
      </c>
      <c r="D57" s="393">
        <f t="shared" si="9"/>
        <v>34583.466666666674</v>
      </c>
      <c r="AG57" s="219"/>
    </row>
    <row r="58" spans="1:33" ht="17.149999999999999" customHeight="1">
      <c r="A58" s="87" t="s">
        <v>152</v>
      </c>
      <c r="B58" s="395">
        <f>SUM(B54:B57)</f>
        <v>335833.33333333331</v>
      </c>
      <c r="C58" s="395">
        <f>SUM(C54:C57)</f>
        <v>355639.2</v>
      </c>
      <c r="D58" s="395">
        <f t="shared" si="9"/>
        <v>19805.866666666698</v>
      </c>
      <c r="AG58" s="219"/>
    </row>
    <row r="59" spans="1:33" ht="17.149999999999999" customHeight="1">
      <c r="A59" s="87" t="s">
        <v>94</v>
      </c>
      <c r="B59" s="395">
        <f>SUM(B53,B58)</f>
        <v>455000</v>
      </c>
      <c r="C59" s="395">
        <f>SUM(C53,C58)</f>
        <v>491049.1</v>
      </c>
      <c r="D59" s="395">
        <f t="shared" si="9"/>
        <v>36049.099999999977</v>
      </c>
      <c r="AG59" s="219"/>
    </row>
    <row r="60" spans="1:33" ht="17.149999999999999" customHeight="1">
      <c r="A60" s="40"/>
      <c r="B60" s="396"/>
      <c r="C60" s="396"/>
      <c r="D60" s="396"/>
      <c r="AG60" s="219"/>
    </row>
    <row r="61" spans="1:33" ht="17.149999999999999" customHeight="1">
      <c r="A61" s="42" t="s">
        <v>153</v>
      </c>
      <c r="B61" s="396"/>
      <c r="C61" s="396"/>
      <c r="D61" s="396"/>
      <c r="AG61" s="219"/>
    </row>
    <row r="62" spans="1:33" ht="17.149999999999999" customHeight="1">
      <c r="A62" s="232" t="s">
        <v>154</v>
      </c>
      <c r="B62" s="393" t="s">
        <v>86</v>
      </c>
      <c r="C62" s="393" t="s">
        <v>99</v>
      </c>
      <c r="D62" s="393" t="s">
        <v>84</v>
      </c>
      <c r="AG62" s="219"/>
    </row>
    <row r="63" spans="1:33" ht="17.149999999999999" customHeight="1">
      <c r="A63" s="232" t="s">
        <v>51</v>
      </c>
      <c r="B63" s="393">
        <f>SUM(B47:B51)+B56+B55</f>
        <v>146666.66666666666</v>
      </c>
      <c r="C63" s="393">
        <f>SUM(C47:C51)+C56+C55</f>
        <v>162014.20000000001</v>
      </c>
      <c r="D63" s="393">
        <f>+C63-B63</f>
        <v>15347.533333333355</v>
      </c>
      <c r="AG63" s="219"/>
    </row>
    <row r="64" spans="1:33" ht="17.149999999999999" customHeight="1">
      <c r="A64" s="232" t="s">
        <v>50</v>
      </c>
      <c r="B64" s="393">
        <f>SUM(B57)</f>
        <v>188333.33333333331</v>
      </c>
      <c r="C64" s="393">
        <f>SUM(C57)</f>
        <v>222916.8</v>
      </c>
      <c r="D64" s="393">
        <f>+C64-B64</f>
        <v>34583.466666666674</v>
      </c>
      <c r="AG64" s="219"/>
    </row>
    <row r="65" spans="1:47" ht="17.149999999999999" customHeight="1">
      <c r="A65" s="232" t="s">
        <v>120</v>
      </c>
      <c r="B65" s="393">
        <f>B54</f>
        <v>108333.33333333334</v>
      </c>
      <c r="C65" s="393">
        <f>C54</f>
        <v>94072.700000000012</v>
      </c>
      <c r="D65" s="393">
        <f>+C65-B65</f>
        <v>-14260.633333333331</v>
      </c>
      <c r="AG65" s="219"/>
      <c r="AS65" s="30"/>
      <c r="AT65" s="238"/>
      <c r="AU65" s="239"/>
    </row>
    <row r="66" spans="1:47" ht="17.149999999999999" customHeight="1">
      <c r="A66" s="232" t="s">
        <v>55</v>
      </c>
      <c r="B66" s="393">
        <f>SUM(B52)</f>
        <v>11666.666666666668</v>
      </c>
      <c r="C66" s="393">
        <f>SUM(C52)</f>
        <v>12045.400000000001</v>
      </c>
      <c r="D66" s="393">
        <f>+C66-B66</f>
        <v>378.73333333333358</v>
      </c>
      <c r="AG66" s="219"/>
      <c r="AS66" s="31"/>
      <c r="AT66" s="238"/>
      <c r="AU66" s="239"/>
    </row>
    <row r="67" spans="1:47" ht="17.149999999999999" customHeight="1">
      <c r="A67" s="87" t="s">
        <v>62</v>
      </c>
      <c r="B67" s="395">
        <f>SUM(B63:B66)</f>
        <v>455000.00000000006</v>
      </c>
      <c r="C67" s="395">
        <f>SUM(C63:C66)</f>
        <v>491049.10000000003</v>
      </c>
      <c r="D67" s="395">
        <f>+C67-B67</f>
        <v>36049.099999999977</v>
      </c>
      <c r="AG67" s="219"/>
      <c r="AS67" s="240"/>
      <c r="AT67" s="238"/>
      <c r="AU67" s="239"/>
    </row>
    <row r="68" spans="1:47" ht="17.149999999999999" customHeight="1">
      <c r="A68" s="40"/>
      <c r="B68" s="396"/>
      <c r="C68" s="396"/>
      <c r="D68" s="396"/>
      <c r="AG68" s="219"/>
      <c r="AS68" s="241"/>
      <c r="AT68" s="241"/>
      <c r="AU68" s="239"/>
    </row>
    <row r="69" spans="1:47" ht="17.149999999999999" customHeight="1">
      <c r="A69" s="42" t="s">
        <v>155</v>
      </c>
      <c r="B69" s="396"/>
      <c r="C69" s="396"/>
      <c r="D69" s="396"/>
      <c r="AG69" s="219"/>
      <c r="AS69" s="242"/>
      <c r="AT69" s="238"/>
      <c r="AU69" s="239"/>
    </row>
    <row r="70" spans="1:47" ht="15" customHeight="1">
      <c r="A70" s="232" t="s">
        <v>154</v>
      </c>
      <c r="B70" s="393" t="s">
        <v>86</v>
      </c>
      <c r="C70" s="393" t="s">
        <v>99</v>
      </c>
      <c r="D70" s="393" t="s">
        <v>84</v>
      </c>
      <c r="E70" s="243"/>
      <c r="AG70" s="219"/>
    </row>
    <row r="71" spans="1:47" ht="15" customHeight="1">
      <c r="A71" s="232" t="s">
        <v>136</v>
      </c>
      <c r="B71" s="393">
        <f>+(AB38/$D$41)*$D$42</f>
        <v>173571.42857142858</v>
      </c>
      <c r="C71" s="393">
        <f>+AB37</f>
        <v>196388</v>
      </c>
      <c r="D71" s="393">
        <f>+C71-B71</f>
        <v>22816.57142857142</v>
      </c>
      <c r="E71" s="243"/>
      <c r="AG71" s="219"/>
    </row>
    <row r="72" spans="1:47" ht="15" customHeight="1">
      <c r="A72" s="232" t="s">
        <v>137</v>
      </c>
      <c r="B72" s="393">
        <f>+(AC38/$D$41)*$D$42</f>
        <v>165535.71428571426</v>
      </c>
      <c r="C72" s="393">
        <f>+AC37</f>
        <v>179185</v>
      </c>
      <c r="D72" s="393">
        <f>+C72-B72</f>
        <v>13649.285714285739</v>
      </c>
      <c r="E72" s="243"/>
      <c r="AG72" s="219"/>
    </row>
    <row r="73" spans="1:47" ht="15" customHeight="1">
      <c r="A73" s="232" t="s">
        <v>53</v>
      </c>
      <c r="B73" s="393">
        <f>+(AD38/$D$41)*$D$42</f>
        <v>99642.85714285713</v>
      </c>
      <c r="C73" s="393">
        <f>+AD37</f>
        <v>110845</v>
      </c>
      <c r="D73" s="393">
        <f>+C73-B73</f>
        <v>11202.14285714287</v>
      </c>
      <c r="E73" s="243"/>
      <c r="AG73" s="219"/>
    </row>
    <row r="74" spans="1:47" ht="15" customHeight="1">
      <c r="A74" s="87" t="s">
        <v>62</v>
      </c>
      <c r="B74" s="395">
        <f>SUM(B71:B73)</f>
        <v>438750</v>
      </c>
      <c r="C74" s="395">
        <f>SUM(C71:C73)</f>
        <v>486418</v>
      </c>
      <c r="D74" s="395">
        <f>+C74-B74</f>
        <v>47668</v>
      </c>
      <c r="E74" s="243"/>
      <c r="Y74" s="29"/>
      <c r="Z74" s="29"/>
      <c r="AA74" s="29"/>
      <c r="AB74" s="29"/>
      <c r="AC74" s="29"/>
      <c r="AE74" s="244"/>
      <c r="AF74" s="244"/>
      <c r="AG74" s="219"/>
    </row>
    <row r="75" spans="1:47" ht="13" thickBot="1">
      <c r="A75" s="245"/>
      <c r="B75" s="246"/>
      <c r="C75" s="246"/>
      <c r="D75" s="246"/>
      <c r="E75" s="246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247"/>
      <c r="Z75" s="247"/>
      <c r="AA75" s="247"/>
      <c r="AB75" s="247"/>
      <c r="AC75" s="247"/>
      <c r="AD75" s="55"/>
      <c r="AE75" s="248"/>
      <c r="AF75" s="248"/>
      <c r="AG75" s="231"/>
    </row>
    <row r="76" spans="1:47" s="9" customFormat="1" ht="13">
      <c r="A76" s="249"/>
      <c r="B76" s="243"/>
      <c r="C76" s="24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29"/>
      <c r="Z76" s="29"/>
      <c r="AA76" s="29"/>
      <c r="AB76" s="29"/>
      <c r="AC76" s="29"/>
      <c r="AD76" s="7"/>
    </row>
    <row r="77" spans="1:47">
      <c r="Y77" s="29"/>
      <c r="Z77" s="29"/>
      <c r="AA77" s="29"/>
      <c r="AB77" s="29"/>
      <c r="AC77" s="29"/>
      <c r="AE77" s="244"/>
      <c r="AF77" s="244"/>
    </row>
    <row r="78" spans="1:47">
      <c r="Y78" s="29"/>
      <c r="Z78" s="29"/>
      <c r="AA78" s="29"/>
      <c r="AB78" s="29"/>
      <c r="AC78" s="29"/>
      <c r="AE78" s="244"/>
      <c r="AF78" s="244"/>
    </row>
    <row r="79" spans="1:47">
      <c r="Y79" s="29"/>
      <c r="Z79" s="29"/>
      <c r="AA79" s="29"/>
      <c r="AB79" s="29"/>
      <c r="AC79" s="29"/>
      <c r="AE79" s="244"/>
      <c r="AF79" s="244"/>
    </row>
    <row r="80" spans="1:47">
      <c r="AE80" s="244"/>
      <c r="AF80" s="244"/>
    </row>
    <row r="81" spans="31:32">
      <c r="AE81" s="244"/>
      <c r="AF81" s="244"/>
    </row>
    <row r="82" spans="31:32">
      <c r="AE82" s="244"/>
      <c r="AF82" s="244"/>
    </row>
    <row r="83" spans="31:32">
      <c r="AE83" s="244"/>
      <c r="AF83" s="244"/>
    </row>
    <row r="84" spans="31:32">
      <c r="AE84" s="244"/>
      <c r="AF84" s="244"/>
    </row>
  </sheetData>
  <mergeCells count="21">
    <mergeCell ref="Q48:AC48"/>
    <mergeCell ref="A1:AG1"/>
    <mergeCell ref="A3:A5"/>
    <mergeCell ref="I3:W3"/>
    <mergeCell ref="Y3:Y5"/>
    <mergeCell ref="Z3:Z5"/>
    <mergeCell ref="AA3:AA5"/>
    <mergeCell ref="AB3:AB5"/>
    <mergeCell ref="AC3:AC5"/>
    <mergeCell ref="AD3:AD5"/>
    <mergeCell ref="AE3:AE5"/>
    <mergeCell ref="J4:O4"/>
    <mergeCell ref="R4:S4"/>
    <mergeCell ref="B5:H5"/>
    <mergeCell ref="A42:B42"/>
    <mergeCell ref="A43:B43"/>
    <mergeCell ref="P5:Q5"/>
    <mergeCell ref="R5:S5"/>
    <mergeCell ref="D3:H3"/>
    <mergeCell ref="X3:X4"/>
    <mergeCell ref="A41:B41"/>
  </mergeCells>
  <printOptions horizontalCentered="1"/>
  <pageMargins left="0" right="0" top="0" bottom="0" header="0" footer="0"/>
  <pageSetup paperSize="9" scale="42" orientation="landscape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7F06-FB87-4532-82EB-41DC173EC13E}">
  <sheetPr>
    <tabColor indexed="36"/>
    <pageSetUpPr fitToPage="1"/>
  </sheetPr>
  <dimension ref="A1:AW69"/>
  <sheetViews>
    <sheetView showGridLines="0" view="pageBreakPreview" zoomScale="45" zoomScaleSheetLayoutView="45" workbookViewId="0">
      <pane xSplit="1" ySplit="7" topLeftCell="F35" activePane="bottomRight" state="frozen"/>
      <selection activeCell="B1" sqref="B1:AC3"/>
      <selection pane="topRight" activeCell="B1" sqref="B1:AC3"/>
      <selection pane="bottomLeft" activeCell="B1" sqref="B1:AC3"/>
      <selection pane="bottomRight" sqref="A1:AH2"/>
    </sheetView>
  </sheetViews>
  <sheetFormatPr defaultColWidth="12.7265625" defaultRowHeight="12.5"/>
  <cols>
    <col min="1" max="1" width="25.7265625" style="23" bestFit="1" customWidth="1"/>
    <col min="2" max="2" width="12.1796875" style="23" customWidth="1"/>
    <col min="3" max="3" width="14.7265625" style="23" bestFit="1" customWidth="1"/>
    <col min="4" max="14" width="12.1796875" style="23" customWidth="1"/>
    <col min="15" max="15" width="13.1796875" style="23" customWidth="1"/>
    <col min="16" max="18" width="13.1796875" style="23" bestFit="1" customWidth="1"/>
    <col min="19" max="28" width="12.1796875" style="23" customWidth="1"/>
    <col min="29" max="29" width="13.1796875" style="23" bestFit="1" customWidth="1"/>
    <col min="30" max="34" width="12.1796875" style="23" customWidth="1"/>
    <col min="35" max="37" width="10.7265625" style="23" customWidth="1"/>
    <col min="38" max="38" width="12.7265625" style="23" customWidth="1"/>
    <col min="39" max="39" width="12.453125" style="23" bestFit="1" customWidth="1"/>
    <col min="40" max="40" width="13.7265625" style="23" customWidth="1"/>
    <col min="41" max="41" width="1.54296875" style="23" customWidth="1"/>
    <col min="42" max="45" width="10.7265625" style="23" customWidth="1"/>
    <col min="46" max="16384" width="12.7265625" style="23"/>
  </cols>
  <sheetData>
    <row r="1" spans="1:40" ht="30" customHeight="1">
      <c r="A1" s="842" t="s">
        <v>176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842"/>
      <c r="P1" s="842"/>
      <c r="Q1" s="842"/>
      <c r="R1" s="842"/>
      <c r="S1" s="842"/>
      <c r="T1" s="842"/>
      <c r="U1" s="842"/>
      <c r="V1" s="842"/>
      <c r="W1" s="842"/>
      <c r="X1" s="842"/>
      <c r="Y1" s="842"/>
      <c r="Z1" s="842"/>
      <c r="AA1" s="842"/>
      <c r="AB1" s="842"/>
      <c r="AC1" s="842"/>
      <c r="AD1" s="842"/>
      <c r="AE1" s="842"/>
      <c r="AF1" s="842"/>
      <c r="AG1" s="842"/>
      <c r="AH1" s="842"/>
      <c r="AI1" s="105"/>
    </row>
    <row r="2" spans="1:40" ht="20.149999999999999" customHeight="1">
      <c r="A2" s="842"/>
      <c r="B2" s="842"/>
      <c r="C2" s="842"/>
      <c r="D2" s="842"/>
      <c r="E2" s="842"/>
      <c r="F2" s="842"/>
      <c r="G2" s="842"/>
      <c r="H2" s="842"/>
      <c r="I2" s="842"/>
      <c r="J2" s="842"/>
      <c r="K2" s="842"/>
      <c r="L2" s="842"/>
      <c r="M2" s="842"/>
      <c r="N2" s="842"/>
      <c r="O2" s="842"/>
      <c r="P2" s="842"/>
      <c r="Q2" s="842"/>
      <c r="R2" s="842"/>
      <c r="S2" s="842"/>
      <c r="T2" s="842"/>
      <c r="U2" s="842"/>
      <c r="V2" s="842"/>
      <c r="W2" s="842"/>
      <c r="X2" s="842"/>
      <c r="Y2" s="842"/>
      <c r="Z2" s="842"/>
      <c r="AA2" s="842"/>
      <c r="AB2" s="842"/>
      <c r="AC2" s="842"/>
      <c r="AD2" s="842"/>
      <c r="AE2" s="842"/>
      <c r="AF2" s="842"/>
      <c r="AG2" s="842"/>
      <c r="AH2" s="842"/>
    </row>
    <row r="3" spans="1:40" s="93" customFormat="1" ht="30" customHeight="1">
      <c r="A3" s="92" t="s">
        <v>156</v>
      </c>
    </row>
    <row r="4" spans="1:40" s="93" customFormat="1" ht="30" customHeight="1">
      <c r="A4" s="93" t="s">
        <v>70</v>
      </c>
      <c r="AN4" s="94" t="s">
        <v>157</v>
      </c>
    </row>
    <row r="5" spans="1:40" s="93" customFormat="1" ht="30" customHeight="1">
      <c r="A5" s="832" t="s">
        <v>97</v>
      </c>
      <c r="B5" s="833" t="s">
        <v>120</v>
      </c>
      <c r="C5" s="834"/>
      <c r="D5" s="834"/>
      <c r="E5" s="834"/>
      <c r="F5" s="834"/>
      <c r="G5" s="835"/>
      <c r="H5" s="833" t="s">
        <v>51</v>
      </c>
      <c r="I5" s="834"/>
      <c r="J5" s="834"/>
      <c r="K5" s="834"/>
      <c r="L5" s="834"/>
      <c r="M5" s="834"/>
      <c r="N5" s="834"/>
      <c r="O5" s="834"/>
      <c r="P5" s="834"/>
      <c r="Q5" s="834"/>
      <c r="R5" s="834"/>
      <c r="S5" s="834"/>
      <c r="T5" s="834"/>
      <c r="U5" s="834"/>
      <c r="V5" s="835"/>
      <c r="W5" s="833" t="s">
        <v>158</v>
      </c>
      <c r="X5" s="834"/>
      <c r="Y5" s="834"/>
      <c r="Z5" s="834"/>
      <c r="AA5" s="834"/>
      <c r="AB5" s="834"/>
      <c r="AC5" s="834"/>
      <c r="AD5" s="834"/>
      <c r="AE5" s="834"/>
      <c r="AF5" s="834"/>
      <c r="AG5" s="834"/>
      <c r="AH5" s="835"/>
      <c r="AI5" s="833" t="s">
        <v>159</v>
      </c>
      <c r="AJ5" s="834"/>
      <c r="AK5" s="835"/>
      <c r="AL5" s="826" t="s">
        <v>160</v>
      </c>
      <c r="AM5" s="827"/>
      <c r="AN5" s="828"/>
    </row>
    <row r="6" spans="1:40" s="93" customFormat="1" ht="30" customHeight="1">
      <c r="A6" s="832"/>
      <c r="B6" s="832" t="s">
        <v>161</v>
      </c>
      <c r="C6" s="832"/>
      <c r="D6" s="832"/>
      <c r="E6" s="832"/>
      <c r="F6" s="832"/>
      <c r="G6" s="832"/>
      <c r="H6" s="833" t="s">
        <v>162</v>
      </c>
      <c r="I6" s="834"/>
      <c r="J6" s="835"/>
      <c r="K6" s="833" t="s">
        <v>163</v>
      </c>
      <c r="L6" s="834"/>
      <c r="M6" s="835"/>
      <c r="N6" s="833" t="s">
        <v>39</v>
      </c>
      <c r="O6" s="834"/>
      <c r="P6" s="835"/>
      <c r="Q6" s="833" t="s">
        <v>40</v>
      </c>
      <c r="R6" s="834"/>
      <c r="S6" s="835"/>
      <c r="T6" s="833" t="s">
        <v>182</v>
      </c>
      <c r="U6" s="834"/>
      <c r="V6" s="835"/>
      <c r="W6" s="833"/>
      <c r="X6" s="834"/>
      <c r="Y6" s="835"/>
      <c r="Z6" s="833" t="s">
        <v>126</v>
      </c>
      <c r="AA6" s="834"/>
      <c r="AB6" s="835"/>
      <c r="AC6" s="833" t="s">
        <v>183</v>
      </c>
      <c r="AD6" s="834"/>
      <c r="AE6" s="835"/>
      <c r="AF6" s="833" t="s">
        <v>185</v>
      </c>
      <c r="AG6" s="834"/>
      <c r="AH6" s="835"/>
      <c r="AI6" s="833" t="s">
        <v>43</v>
      </c>
      <c r="AJ6" s="834"/>
      <c r="AK6" s="835"/>
      <c r="AL6" s="829"/>
      <c r="AM6" s="830"/>
      <c r="AN6" s="831"/>
    </row>
    <row r="7" spans="1:40" s="96" customFormat="1" ht="30" customHeight="1">
      <c r="A7" s="832"/>
      <c r="B7" s="95" t="s">
        <v>98</v>
      </c>
      <c r="C7" s="95" t="s">
        <v>99</v>
      </c>
      <c r="D7" s="95"/>
      <c r="E7" s="95"/>
      <c r="F7" s="95" t="s">
        <v>164</v>
      </c>
      <c r="G7" s="95" t="s">
        <v>144</v>
      </c>
      <c r="H7" s="95" t="str">
        <f>$B$7</f>
        <v>B/Plan</v>
      </c>
      <c r="I7" s="95" t="s">
        <v>99</v>
      </c>
      <c r="J7" s="95" t="s">
        <v>144</v>
      </c>
      <c r="K7" s="95" t="str">
        <f>$B$7</f>
        <v>B/Plan</v>
      </c>
      <c r="L7" s="95" t="s">
        <v>99</v>
      </c>
      <c r="M7" s="95" t="s">
        <v>144</v>
      </c>
      <c r="N7" s="95" t="str">
        <f>$B$7</f>
        <v>B/Plan</v>
      </c>
      <c r="O7" s="95" t="s">
        <v>99</v>
      </c>
      <c r="P7" s="95" t="s">
        <v>144</v>
      </c>
      <c r="Q7" s="95" t="str">
        <f>$B$7</f>
        <v>B/Plan</v>
      </c>
      <c r="R7" s="95" t="s">
        <v>99</v>
      </c>
      <c r="S7" s="95" t="s">
        <v>144</v>
      </c>
      <c r="T7" s="95" t="str">
        <f>$B$7</f>
        <v>B/Plan</v>
      </c>
      <c r="U7" s="95" t="s">
        <v>99</v>
      </c>
      <c r="V7" s="95" t="s">
        <v>144</v>
      </c>
      <c r="W7" s="95" t="str">
        <f>$B$7</f>
        <v>B/Plan</v>
      </c>
      <c r="X7" s="95" t="s">
        <v>99</v>
      </c>
      <c r="Y7" s="95" t="s">
        <v>144</v>
      </c>
      <c r="Z7" s="95" t="str">
        <f>$B$7</f>
        <v>B/Plan</v>
      </c>
      <c r="AA7" s="95" t="s">
        <v>99</v>
      </c>
      <c r="AB7" s="95" t="s">
        <v>144</v>
      </c>
      <c r="AC7" s="95" t="str">
        <f>$B$7</f>
        <v>B/Plan</v>
      </c>
      <c r="AD7" s="95" t="s">
        <v>99</v>
      </c>
      <c r="AE7" s="95" t="s">
        <v>144</v>
      </c>
      <c r="AF7" s="95" t="str">
        <f>$B$7</f>
        <v>B/Plan</v>
      </c>
      <c r="AG7" s="95" t="s">
        <v>99</v>
      </c>
      <c r="AH7" s="95" t="s">
        <v>144</v>
      </c>
      <c r="AI7" s="95" t="str">
        <f>$B$7</f>
        <v>B/Plan</v>
      </c>
      <c r="AJ7" s="95" t="s">
        <v>99</v>
      </c>
      <c r="AK7" s="95" t="s">
        <v>144</v>
      </c>
      <c r="AL7" s="95" t="str">
        <f>$B$7</f>
        <v>B/Plan</v>
      </c>
      <c r="AM7" s="95" t="s">
        <v>99</v>
      </c>
      <c r="AN7" s="95" t="s">
        <v>144</v>
      </c>
    </row>
    <row r="8" spans="1:40" s="93" customFormat="1" ht="30" customHeight="1">
      <c r="A8" s="97" t="s">
        <v>100</v>
      </c>
      <c r="B8" s="97">
        <v>500000</v>
      </c>
      <c r="C8" s="97">
        <f>Jan!$J$37+Jan!$K$37</f>
        <v>647737</v>
      </c>
      <c r="D8" s="97"/>
      <c r="E8" s="97"/>
      <c r="F8" s="97">
        <f>SUM(C8:E8)</f>
        <v>647737</v>
      </c>
      <c r="G8" s="97">
        <f>+F8-B8</f>
        <v>147737</v>
      </c>
      <c r="H8" s="97">
        <v>180000</v>
      </c>
      <c r="I8" s="97">
        <f>SUM(Jan!$D$37:$G$37)</f>
        <v>272378</v>
      </c>
      <c r="J8" s="98">
        <f>I8-H8</f>
        <v>92378</v>
      </c>
      <c r="K8" s="97">
        <v>100000</v>
      </c>
      <c r="L8" s="97">
        <f>Jan!$H$37</f>
        <v>36986</v>
      </c>
      <c r="M8" s="97">
        <f t="shared" ref="M8:M19" si="0">L8-K8</f>
        <v>-63014</v>
      </c>
      <c r="N8" s="97">
        <v>90000</v>
      </c>
      <c r="O8" s="97">
        <f>Jan!$B$37</f>
        <v>54950</v>
      </c>
      <c r="P8" s="98">
        <f>O8-N8</f>
        <v>-35050</v>
      </c>
      <c r="Q8" s="97">
        <v>150000</v>
      </c>
      <c r="R8" s="97">
        <f>Jan!$C$37</f>
        <v>202480</v>
      </c>
      <c r="S8" s="97">
        <f t="shared" ref="S8:S19" si="1">R8-Q8</f>
        <v>52480</v>
      </c>
      <c r="T8" s="98">
        <v>200000</v>
      </c>
      <c r="U8" s="98">
        <f>Jan!$I$37</f>
        <v>7127</v>
      </c>
      <c r="V8" s="97">
        <f>U8-T8</f>
        <v>-192873</v>
      </c>
      <c r="W8" s="97"/>
      <c r="X8" s="97">
        <v>0</v>
      </c>
      <c r="Y8" s="97">
        <f>X8-W8</f>
        <v>0</v>
      </c>
      <c r="Z8" s="97">
        <v>190000</v>
      </c>
      <c r="AA8" s="97">
        <f>Jan!$U$37</f>
        <v>82506</v>
      </c>
      <c r="AB8" s="97">
        <f t="shared" ref="AB8:AB19" si="2">AA8-Z8</f>
        <v>-107494</v>
      </c>
      <c r="AC8" s="97">
        <v>50000</v>
      </c>
      <c r="AD8" s="97">
        <f>Jan!$V$37</f>
        <v>0</v>
      </c>
      <c r="AE8" s="98">
        <f t="shared" ref="AE8:AE19" si="3">AD8-AC8</f>
        <v>-50000</v>
      </c>
      <c r="AF8" s="97">
        <v>1050000</v>
      </c>
      <c r="AG8" s="97">
        <f>Jan!$W$37</f>
        <v>1025342</v>
      </c>
      <c r="AH8" s="97">
        <f t="shared" ref="AH8:AH19" si="4">AG8-AF8</f>
        <v>-24658</v>
      </c>
      <c r="AI8" s="97">
        <v>70000</v>
      </c>
      <c r="AJ8" s="97">
        <f>Jan!$X$37</f>
        <v>73819</v>
      </c>
      <c r="AK8" s="97">
        <f t="shared" ref="AK8:AK19" si="5">AJ8-AI8</f>
        <v>3819</v>
      </c>
      <c r="AL8" s="98">
        <f>B8+H8+K8+N8+Q8+T8+W8+Z8+AC8+AF8+AI8</f>
        <v>2580000</v>
      </c>
      <c r="AM8" s="98">
        <f>F8+O8+I8+AA8+AD8+L8+X8+AJ8+R8+U8+AG8</f>
        <v>2403325</v>
      </c>
      <c r="AN8" s="97">
        <f>AM8-AL8</f>
        <v>-176675</v>
      </c>
    </row>
    <row r="9" spans="1:40" s="93" customFormat="1" ht="30" customHeight="1">
      <c r="A9" s="98" t="s">
        <v>165</v>
      </c>
      <c r="B9" s="99">
        <v>470000</v>
      </c>
      <c r="C9" s="99">
        <f>+Feb!$J$37</f>
        <v>613388</v>
      </c>
      <c r="D9" s="98"/>
      <c r="E9" s="99"/>
      <c r="F9" s="98">
        <f>SUM(C9:E9)</f>
        <v>613388</v>
      </c>
      <c r="G9" s="99">
        <f t="shared" ref="G9:G20" si="6">+F9-B9</f>
        <v>143388</v>
      </c>
      <c r="H9" s="99">
        <v>170000</v>
      </c>
      <c r="I9" s="99">
        <f>SUM(Feb!$D$37:$G$37)</f>
        <v>322351</v>
      </c>
      <c r="J9" s="98">
        <f>I9-H9</f>
        <v>152351</v>
      </c>
      <c r="K9" s="99">
        <v>100000</v>
      </c>
      <c r="L9" s="99">
        <f>+Feb!$H$37</f>
        <v>67565</v>
      </c>
      <c r="M9" s="98">
        <f t="shared" si="0"/>
        <v>-32435</v>
      </c>
      <c r="N9" s="99">
        <v>80000</v>
      </c>
      <c r="O9" s="99">
        <f>+Feb!$B$37</f>
        <v>50779</v>
      </c>
      <c r="P9" s="98">
        <f>O9-N9</f>
        <v>-29221</v>
      </c>
      <c r="Q9" s="99">
        <v>140000</v>
      </c>
      <c r="R9" s="99">
        <f>+Feb!$C$37</f>
        <v>181076</v>
      </c>
      <c r="S9" s="98">
        <f t="shared" si="1"/>
        <v>41076</v>
      </c>
      <c r="T9" s="98">
        <v>190000</v>
      </c>
      <c r="U9" s="98">
        <f>+Feb!$I$37</f>
        <v>0</v>
      </c>
      <c r="V9" s="98">
        <f t="shared" ref="V9:V12" si="7">U9-T9</f>
        <v>-190000</v>
      </c>
      <c r="W9" s="99"/>
      <c r="X9" s="99">
        <v>0</v>
      </c>
      <c r="Y9" s="98">
        <f t="shared" ref="Y9:Y19" si="8">X9-W9</f>
        <v>0</v>
      </c>
      <c r="Z9" s="99">
        <v>180000</v>
      </c>
      <c r="AA9" s="99">
        <f>+Feb!$U$37</f>
        <v>35182</v>
      </c>
      <c r="AB9" s="98">
        <f t="shared" si="2"/>
        <v>-144818</v>
      </c>
      <c r="AC9" s="99">
        <v>50000</v>
      </c>
      <c r="AD9" s="99">
        <f>+Feb!$V$37</f>
        <v>0</v>
      </c>
      <c r="AE9" s="98">
        <f t="shared" si="3"/>
        <v>-50000</v>
      </c>
      <c r="AF9" s="99">
        <v>980000</v>
      </c>
      <c r="AG9" s="99">
        <f>+Feb!$W$37</f>
        <v>931872</v>
      </c>
      <c r="AH9" s="98">
        <f t="shared" si="4"/>
        <v>-48128</v>
      </c>
      <c r="AI9" s="99">
        <v>60000</v>
      </c>
      <c r="AJ9" s="99">
        <f>+Feb!$X$37</f>
        <v>87084</v>
      </c>
      <c r="AK9" s="98">
        <f t="shared" si="5"/>
        <v>27084</v>
      </c>
      <c r="AL9" s="98">
        <f t="shared" ref="AL9:AL19" si="9">B9+H9+K9+N9+Q9+T9+W9+Z9+AC9+AF9+AI9</f>
        <v>2420000</v>
      </c>
      <c r="AM9" s="98">
        <f>F9+O9+I9+AA9+AD9+L9+X9+AJ9+R9+U9+AG9</f>
        <v>2289297</v>
      </c>
      <c r="AN9" s="98">
        <f t="shared" ref="AN9:AN19" si="10">AM9-AL9</f>
        <v>-130703</v>
      </c>
    </row>
    <row r="10" spans="1:40" s="93" customFormat="1" ht="30" customHeight="1">
      <c r="A10" s="98" t="s">
        <v>103</v>
      </c>
      <c r="B10" s="99">
        <v>520000</v>
      </c>
      <c r="C10" s="99">
        <f>+Mar!$J$37</f>
        <v>657249.80000000005</v>
      </c>
      <c r="D10" s="98"/>
      <c r="E10" s="99"/>
      <c r="F10" s="98">
        <f t="shared" ref="F10:F18" si="11">SUM(C10:E10)</f>
        <v>657249.80000000005</v>
      </c>
      <c r="G10" s="98">
        <f t="shared" si="6"/>
        <v>137249.80000000005</v>
      </c>
      <c r="H10" s="99">
        <v>190000</v>
      </c>
      <c r="I10" s="99">
        <f>SUM(Mar!$D$37:$G$37)</f>
        <v>319948.09999999998</v>
      </c>
      <c r="J10" s="98">
        <f>I10-H10</f>
        <v>129948.09999999998</v>
      </c>
      <c r="K10" s="99">
        <v>110000</v>
      </c>
      <c r="L10" s="99">
        <f>+Mar!$H$37</f>
        <v>34542.9</v>
      </c>
      <c r="M10" s="98">
        <f t="shared" si="0"/>
        <v>-75457.100000000006</v>
      </c>
      <c r="N10" s="99">
        <v>90000</v>
      </c>
      <c r="O10" s="99">
        <f>+Mar!$B$37</f>
        <v>73383.3</v>
      </c>
      <c r="P10" s="98">
        <f>O10-N10</f>
        <v>-16616.699999999997</v>
      </c>
      <c r="Q10" s="99">
        <v>160000</v>
      </c>
      <c r="R10" s="99">
        <f>+Mar!$C$37</f>
        <v>167084.20000000001</v>
      </c>
      <c r="S10" s="98">
        <f t="shared" si="1"/>
        <v>7084.2000000000116</v>
      </c>
      <c r="T10" s="98">
        <v>210000</v>
      </c>
      <c r="U10" s="98">
        <f>+Mar!$I$37</f>
        <v>7388</v>
      </c>
      <c r="V10" s="98">
        <f>U10-T10</f>
        <v>-202612</v>
      </c>
      <c r="W10" s="99"/>
      <c r="X10" s="99">
        <v>0</v>
      </c>
      <c r="Y10" s="98">
        <f t="shared" si="8"/>
        <v>0</v>
      </c>
      <c r="Z10" s="99">
        <v>200000</v>
      </c>
      <c r="AA10" s="99">
        <f>+Mar!$U$37</f>
        <v>0</v>
      </c>
      <c r="AB10" s="98">
        <f t="shared" si="2"/>
        <v>-200000</v>
      </c>
      <c r="AC10" s="99">
        <v>50000</v>
      </c>
      <c r="AD10" s="99">
        <f>+Mar!$V$37</f>
        <v>0</v>
      </c>
      <c r="AE10" s="98">
        <f t="shared" si="3"/>
        <v>-50000</v>
      </c>
      <c r="AF10" s="99">
        <v>1060000</v>
      </c>
      <c r="AG10" s="99">
        <f>+Mar!$W$37</f>
        <v>893968.6</v>
      </c>
      <c r="AH10" s="98">
        <f t="shared" si="4"/>
        <v>-166031.40000000002</v>
      </c>
      <c r="AI10" s="99">
        <v>70000</v>
      </c>
      <c r="AJ10" s="99">
        <f>+Mar!$X$37</f>
        <v>73278.2</v>
      </c>
      <c r="AK10" s="98">
        <f t="shared" si="5"/>
        <v>3278.1999999999971</v>
      </c>
      <c r="AL10" s="98">
        <f t="shared" si="9"/>
        <v>2660000</v>
      </c>
      <c r="AM10" s="98">
        <f t="shared" ref="AM10:AM18" si="12">F10+O10+I10+AA10+AD10+L10+X10+AJ10+R10+U10+AG10</f>
        <v>2226843.1</v>
      </c>
      <c r="AN10" s="98">
        <f t="shared" si="10"/>
        <v>-433156.89999999991</v>
      </c>
    </row>
    <row r="11" spans="1:40" s="93" customFormat="1" ht="30" customHeight="1">
      <c r="A11" s="98" t="s">
        <v>104</v>
      </c>
      <c r="B11" s="99">
        <v>530000</v>
      </c>
      <c r="C11" s="99">
        <f>+Apr!$J$37</f>
        <v>191594</v>
      </c>
      <c r="D11" s="98"/>
      <c r="E11" s="99"/>
      <c r="F11" s="98">
        <f t="shared" si="11"/>
        <v>191594</v>
      </c>
      <c r="G11" s="98">
        <f t="shared" si="6"/>
        <v>-338406</v>
      </c>
      <c r="H11" s="99">
        <v>190000</v>
      </c>
      <c r="I11" s="99">
        <f>SUM(Apr!D37:G37)</f>
        <v>289503</v>
      </c>
      <c r="J11" s="98">
        <f>I11-H11</f>
        <v>99503</v>
      </c>
      <c r="K11" s="99">
        <v>110000</v>
      </c>
      <c r="L11" s="99">
        <f>+Apr!H37</f>
        <v>35136</v>
      </c>
      <c r="M11" s="98">
        <f t="shared" si="0"/>
        <v>-74864</v>
      </c>
      <c r="N11" s="99">
        <v>90000</v>
      </c>
      <c r="O11" s="99">
        <f>+Apr!B37</f>
        <v>61080</v>
      </c>
      <c r="P11" s="98">
        <f>O11-N11</f>
        <v>-28920</v>
      </c>
      <c r="Q11" s="99">
        <v>160000</v>
      </c>
      <c r="R11" s="99">
        <f>+Apr!C37</f>
        <v>163017</v>
      </c>
      <c r="S11" s="98">
        <f t="shared" si="1"/>
        <v>3017</v>
      </c>
      <c r="T11" s="98">
        <v>210000</v>
      </c>
      <c r="U11" s="98">
        <f>+Apr!I37</f>
        <v>39467</v>
      </c>
      <c r="V11" s="98">
        <f t="shared" si="7"/>
        <v>-170533</v>
      </c>
      <c r="W11" s="99"/>
      <c r="X11" s="99">
        <v>0</v>
      </c>
      <c r="Y11" s="98">
        <f t="shared" si="8"/>
        <v>0</v>
      </c>
      <c r="Z11" s="99">
        <v>200000</v>
      </c>
      <c r="AA11" s="99">
        <f>+Apr!$U$37</f>
        <v>41575</v>
      </c>
      <c r="AB11" s="98">
        <f t="shared" si="2"/>
        <v>-158425</v>
      </c>
      <c r="AC11" s="99">
        <v>50000</v>
      </c>
      <c r="AD11" s="99">
        <f>+Apr!V37</f>
        <v>0</v>
      </c>
      <c r="AE11" s="98">
        <f t="shared" si="3"/>
        <v>-50000</v>
      </c>
      <c r="AF11" s="99">
        <v>1010000</v>
      </c>
      <c r="AG11" s="99">
        <f>+Apr!W37</f>
        <v>904888</v>
      </c>
      <c r="AH11" s="98">
        <f t="shared" si="4"/>
        <v>-105112</v>
      </c>
      <c r="AI11" s="99">
        <v>70000</v>
      </c>
      <c r="AJ11" s="99">
        <f>+Apr!X37</f>
        <v>76924</v>
      </c>
      <c r="AK11" s="98">
        <f t="shared" si="5"/>
        <v>6924</v>
      </c>
      <c r="AL11" s="98">
        <f t="shared" si="9"/>
        <v>2620000</v>
      </c>
      <c r="AM11" s="98">
        <f>F11+O11+I11+AA11+AD11+L11+X11+AJ11+R11+U11+AG11</f>
        <v>1803184</v>
      </c>
      <c r="AN11" s="98">
        <f t="shared" si="10"/>
        <v>-816816</v>
      </c>
    </row>
    <row r="12" spans="1:40" s="93" customFormat="1" ht="30" customHeight="1">
      <c r="A12" s="98" t="s">
        <v>105</v>
      </c>
      <c r="B12" s="99">
        <v>570000</v>
      </c>
      <c r="C12" s="99">
        <f>+May!$J$37</f>
        <v>587828.80000000016</v>
      </c>
      <c r="D12" s="98"/>
      <c r="E12" s="99"/>
      <c r="F12" s="98">
        <f t="shared" si="11"/>
        <v>587828.80000000016</v>
      </c>
      <c r="G12" s="98">
        <f t="shared" si="6"/>
        <v>17828.800000000163</v>
      </c>
      <c r="H12" s="99">
        <v>210000</v>
      </c>
      <c r="I12" s="99">
        <f>SUM(May!D37:G37)</f>
        <v>252094.09999999995</v>
      </c>
      <c r="J12" s="98">
        <f>I12-H12</f>
        <v>42094.099999999948</v>
      </c>
      <c r="K12" s="99">
        <v>120000</v>
      </c>
      <c r="L12" s="99">
        <f>+May!H37</f>
        <v>97803.8</v>
      </c>
      <c r="M12" s="98">
        <f t="shared" si="0"/>
        <v>-22196.199999999997</v>
      </c>
      <c r="N12" s="99">
        <v>100000</v>
      </c>
      <c r="O12" s="99">
        <f>+May!B37</f>
        <v>60418.799999999981</v>
      </c>
      <c r="P12" s="98">
        <f>O12-N12</f>
        <v>-39581.200000000019</v>
      </c>
      <c r="Q12" s="99">
        <v>170000</v>
      </c>
      <c r="R12" s="99">
        <f>+May!C37</f>
        <v>201608.10000000006</v>
      </c>
      <c r="S12" s="98">
        <f t="shared" si="1"/>
        <v>31608.100000000064</v>
      </c>
      <c r="T12" s="98">
        <v>230000</v>
      </c>
      <c r="U12" s="98">
        <f>+May!I37</f>
        <v>79146.500000000029</v>
      </c>
      <c r="V12" s="98">
        <f t="shared" si="7"/>
        <v>-150853.49999999997</v>
      </c>
      <c r="W12" s="99"/>
      <c r="X12" s="99">
        <v>0</v>
      </c>
      <c r="Y12" s="98">
        <f t="shared" si="8"/>
        <v>0</v>
      </c>
      <c r="Z12" s="99">
        <v>210000</v>
      </c>
      <c r="AA12" s="99">
        <f>+May!$U$37</f>
        <v>85872.5</v>
      </c>
      <c r="AB12" s="98">
        <f t="shared" si="2"/>
        <v>-124127.5</v>
      </c>
      <c r="AC12" s="99">
        <v>60000</v>
      </c>
      <c r="AD12" s="99">
        <f>+May!V37</f>
        <v>0</v>
      </c>
      <c r="AE12" s="98">
        <f t="shared" si="3"/>
        <v>-60000</v>
      </c>
      <c r="AF12" s="99">
        <v>990000</v>
      </c>
      <c r="AG12" s="99">
        <f>+May!W37</f>
        <v>1270949.9100000001</v>
      </c>
      <c r="AH12" s="98">
        <f t="shared" si="4"/>
        <v>280949.91000000015</v>
      </c>
      <c r="AI12" s="99">
        <v>70000</v>
      </c>
      <c r="AJ12" s="99">
        <f>+May!X37</f>
        <v>92564.599999999977</v>
      </c>
      <c r="AK12" s="98">
        <f t="shared" si="5"/>
        <v>22564.599999999977</v>
      </c>
      <c r="AL12" s="98">
        <f t="shared" si="9"/>
        <v>2730000</v>
      </c>
      <c r="AM12" s="98">
        <f t="shared" si="12"/>
        <v>2728287.1100000003</v>
      </c>
      <c r="AN12" s="98">
        <f t="shared" si="10"/>
        <v>-1712.8899999996647</v>
      </c>
    </row>
    <row r="13" spans="1:40" s="93" customFormat="1" ht="30" customHeight="1">
      <c r="A13" s="98" t="s">
        <v>106</v>
      </c>
      <c r="B13" s="99">
        <v>530000</v>
      </c>
      <c r="C13" s="99">
        <f>+Jun!$J$37</f>
        <v>94072.700000000012</v>
      </c>
      <c r="D13" s="98"/>
      <c r="E13" s="99"/>
      <c r="F13" s="98">
        <f t="shared" si="11"/>
        <v>94072.700000000012</v>
      </c>
      <c r="G13" s="98">
        <f t="shared" si="6"/>
        <v>-435927.3</v>
      </c>
      <c r="H13" s="99">
        <v>190000</v>
      </c>
      <c r="I13" s="99">
        <f>SUM(Jun!D37:G37)</f>
        <v>47097.799999999996</v>
      </c>
      <c r="J13" s="98">
        <f t="shared" ref="J13:J19" si="13">I13-H13</f>
        <v>-142902.20000000001</v>
      </c>
      <c r="K13" s="99">
        <v>110000</v>
      </c>
      <c r="L13" s="99">
        <f>+Jun!H37</f>
        <v>13135.2</v>
      </c>
      <c r="M13" s="98">
        <f t="shared" si="0"/>
        <v>-96864.8</v>
      </c>
      <c r="N13" s="99">
        <v>90000</v>
      </c>
      <c r="O13" s="99">
        <f>+Jun!B37</f>
        <v>2354.8000000000002</v>
      </c>
      <c r="P13" s="98">
        <f t="shared" ref="P13:P19" si="14">O13-N13</f>
        <v>-87645.2</v>
      </c>
      <c r="Q13" s="99">
        <v>160000</v>
      </c>
      <c r="R13" s="99">
        <f>+Jun!C37</f>
        <v>33987.4</v>
      </c>
      <c r="S13" s="98">
        <f t="shared" si="1"/>
        <v>-126012.6</v>
      </c>
      <c r="T13" s="98">
        <v>220000</v>
      </c>
      <c r="U13" s="98">
        <f>+Jun!I37</f>
        <v>26789.30000000001</v>
      </c>
      <c r="V13" s="98">
        <f>U13-T13</f>
        <v>-193210.69999999998</v>
      </c>
      <c r="W13" s="99"/>
      <c r="X13" s="99">
        <v>0</v>
      </c>
      <c r="Y13" s="98">
        <f t="shared" si="8"/>
        <v>0</v>
      </c>
      <c r="Z13" s="99">
        <v>200000</v>
      </c>
      <c r="AA13" s="99">
        <f>+Jun!$U$37</f>
        <v>38649.699999999997</v>
      </c>
      <c r="AB13" s="98">
        <f t="shared" si="2"/>
        <v>-161350.29999999999</v>
      </c>
      <c r="AC13" s="99">
        <v>60000</v>
      </c>
      <c r="AD13" s="99">
        <f>+Jun!V37</f>
        <v>0</v>
      </c>
      <c r="AE13" s="98">
        <f t="shared" si="3"/>
        <v>-60000</v>
      </c>
      <c r="AF13" s="99">
        <v>940000</v>
      </c>
      <c r="AG13" s="99">
        <f>+Jun!W37</f>
        <v>222916.8</v>
      </c>
      <c r="AH13" s="98">
        <f t="shared" si="4"/>
        <v>-717083.2</v>
      </c>
      <c r="AI13" s="99">
        <v>70000</v>
      </c>
      <c r="AJ13" s="99">
        <f>+Jun!X37</f>
        <v>12045.400000000001</v>
      </c>
      <c r="AK13" s="98">
        <f t="shared" si="5"/>
        <v>-57954.6</v>
      </c>
      <c r="AL13" s="98">
        <f t="shared" si="9"/>
        <v>2570000</v>
      </c>
      <c r="AM13" s="98">
        <f t="shared" si="12"/>
        <v>491049.1</v>
      </c>
      <c r="AN13" s="98">
        <f>AM13-AL13</f>
        <v>-2078950.9</v>
      </c>
    </row>
    <row r="14" spans="1:40" s="93" customFormat="1" ht="30" customHeight="1">
      <c r="A14" s="98" t="s">
        <v>107</v>
      </c>
      <c r="B14" s="99">
        <v>540000</v>
      </c>
      <c r="C14" s="99">
        <f>+Jul!J38+Jul!K38+Jul!N38+Jul!O38</f>
        <v>0</v>
      </c>
      <c r="D14" s="98"/>
      <c r="E14" s="99"/>
      <c r="F14" s="98">
        <f t="shared" si="11"/>
        <v>0</v>
      </c>
      <c r="G14" s="98">
        <f t="shared" si="6"/>
        <v>-540000</v>
      </c>
      <c r="H14" s="99">
        <v>200000</v>
      </c>
      <c r="I14" s="99">
        <f>SUM(Jul!D38:G38)</f>
        <v>0</v>
      </c>
      <c r="J14" s="98">
        <f t="shared" si="13"/>
        <v>-200000</v>
      </c>
      <c r="K14" s="99">
        <v>110000</v>
      </c>
      <c r="L14" s="99">
        <f>+Jul!H38</f>
        <v>0</v>
      </c>
      <c r="M14" s="98">
        <f t="shared" si="0"/>
        <v>-110000</v>
      </c>
      <c r="N14" s="99">
        <v>90000</v>
      </c>
      <c r="O14" s="99">
        <f>+Jul!B38</f>
        <v>0</v>
      </c>
      <c r="P14" s="98">
        <f t="shared" si="14"/>
        <v>-90000</v>
      </c>
      <c r="Q14" s="99">
        <v>160000</v>
      </c>
      <c r="R14" s="99">
        <f>+Jul!C38</f>
        <v>0</v>
      </c>
      <c r="S14" s="98">
        <f t="shared" si="1"/>
        <v>-160000</v>
      </c>
      <c r="T14" s="98">
        <v>220000</v>
      </c>
      <c r="U14" s="98">
        <f>+Jul!I38</f>
        <v>0</v>
      </c>
      <c r="V14" s="98">
        <f t="shared" ref="V14:V19" si="15">U14-T14</f>
        <v>-220000</v>
      </c>
      <c r="W14" s="99"/>
      <c r="X14" s="99">
        <v>0</v>
      </c>
      <c r="Y14" s="98">
        <f t="shared" si="8"/>
        <v>0</v>
      </c>
      <c r="Z14" s="99">
        <v>200000</v>
      </c>
      <c r="AA14" s="99">
        <v>0</v>
      </c>
      <c r="AB14" s="98">
        <f t="shared" si="2"/>
        <v>-200000</v>
      </c>
      <c r="AC14" s="99">
        <v>60000</v>
      </c>
      <c r="AD14" s="99">
        <f>+Jul!V38</f>
        <v>0</v>
      </c>
      <c r="AE14" s="98">
        <f t="shared" si="3"/>
        <v>-60000</v>
      </c>
      <c r="AF14" s="99">
        <v>870000</v>
      </c>
      <c r="AG14" s="99">
        <f>+Jul!W38</f>
        <v>0</v>
      </c>
      <c r="AH14" s="98">
        <f t="shared" si="4"/>
        <v>-870000</v>
      </c>
      <c r="AI14" s="99">
        <v>70000</v>
      </c>
      <c r="AJ14" s="99">
        <f>+Jul!X38</f>
        <v>0</v>
      </c>
      <c r="AK14" s="98">
        <f t="shared" si="5"/>
        <v>-70000</v>
      </c>
      <c r="AL14" s="98">
        <f t="shared" si="9"/>
        <v>2520000</v>
      </c>
      <c r="AM14" s="98">
        <f t="shared" si="12"/>
        <v>0</v>
      </c>
      <c r="AN14" s="98">
        <f t="shared" si="10"/>
        <v>-2520000</v>
      </c>
    </row>
    <row r="15" spans="1:40" s="93" customFormat="1" ht="30" customHeight="1">
      <c r="A15" s="98" t="s">
        <v>109</v>
      </c>
      <c r="B15" s="99">
        <v>560000</v>
      </c>
      <c r="C15" s="99">
        <f>+Aug!J38+Aug!K38+Aug!N38+Aug!O38</f>
        <v>0</v>
      </c>
      <c r="D15" s="98"/>
      <c r="E15" s="98"/>
      <c r="F15" s="98">
        <f t="shared" si="11"/>
        <v>0</v>
      </c>
      <c r="G15" s="98">
        <f t="shared" si="6"/>
        <v>-560000</v>
      </c>
      <c r="H15" s="99">
        <v>200000</v>
      </c>
      <c r="I15" s="99">
        <f>SUM(Aug!D38:G38)</f>
        <v>0</v>
      </c>
      <c r="J15" s="98">
        <f t="shared" si="13"/>
        <v>-200000</v>
      </c>
      <c r="K15" s="99">
        <v>110000</v>
      </c>
      <c r="L15" s="99">
        <f>+Aug!H38</f>
        <v>0</v>
      </c>
      <c r="M15" s="98">
        <f t="shared" si="0"/>
        <v>-110000</v>
      </c>
      <c r="N15" s="99">
        <v>100000</v>
      </c>
      <c r="O15" s="99">
        <f>+Aug!B38</f>
        <v>0</v>
      </c>
      <c r="P15" s="98">
        <f t="shared" si="14"/>
        <v>-100000</v>
      </c>
      <c r="Q15" s="99">
        <v>170000</v>
      </c>
      <c r="R15" s="99">
        <f>+Aug!C38</f>
        <v>0</v>
      </c>
      <c r="S15" s="98">
        <f t="shared" si="1"/>
        <v>-170000</v>
      </c>
      <c r="T15" s="98">
        <v>230000</v>
      </c>
      <c r="U15" s="98">
        <f>+Aug!I38</f>
        <v>0</v>
      </c>
      <c r="V15" s="98">
        <f t="shared" si="15"/>
        <v>-230000</v>
      </c>
      <c r="W15" s="99"/>
      <c r="X15" s="99">
        <v>0</v>
      </c>
      <c r="Y15" s="98">
        <f t="shared" si="8"/>
        <v>0</v>
      </c>
      <c r="Z15" s="99">
        <v>210000</v>
      </c>
      <c r="AA15" s="99">
        <v>0</v>
      </c>
      <c r="AB15" s="98">
        <f t="shared" si="2"/>
        <v>-210000</v>
      </c>
      <c r="AC15" s="99">
        <v>60000</v>
      </c>
      <c r="AD15" s="99">
        <f>+Aug!V38</f>
        <v>0</v>
      </c>
      <c r="AE15" s="98">
        <f t="shared" si="3"/>
        <v>-60000</v>
      </c>
      <c r="AF15" s="99">
        <v>890000</v>
      </c>
      <c r="AG15" s="99">
        <f>+Aug!W38</f>
        <v>0</v>
      </c>
      <c r="AH15" s="98">
        <f t="shared" si="4"/>
        <v>-890000</v>
      </c>
      <c r="AI15" s="99">
        <v>70000</v>
      </c>
      <c r="AJ15" s="99">
        <f>+Aug!X38</f>
        <v>0</v>
      </c>
      <c r="AK15" s="98">
        <f t="shared" si="5"/>
        <v>-70000</v>
      </c>
      <c r="AL15" s="98">
        <f t="shared" si="9"/>
        <v>2600000</v>
      </c>
      <c r="AM15" s="98">
        <f t="shared" si="12"/>
        <v>0</v>
      </c>
      <c r="AN15" s="98">
        <f t="shared" si="10"/>
        <v>-2600000</v>
      </c>
    </row>
    <row r="16" spans="1:40" s="93" customFormat="1" ht="30" customHeight="1">
      <c r="A16" s="98" t="s">
        <v>110</v>
      </c>
      <c r="B16" s="99">
        <v>580000</v>
      </c>
      <c r="C16" s="99">
        <f>+Sep!J37+Sep!K37+Sep!N37+Sep!O37</f>
        <v>0</v>
      </c>
      <c r="D16" s="98"/>
      <c r="E16" s="98"/>
      <c r="F16" s="98">
        <f>SUM(C16:E16)</f>
        <v>0</v>
      </c>
      <c r="G16" s="98">
        <f t="shared" si="6"/>
        <v>-580000</v>
      </c>
      <c r="H16" s="99">
        <v>210000</v>
      </c>
      <c r="I16" s="99">
        <f>SUM(Sep!D37:G37)</f>
        <v>0</v>
      </c>
      <c r="J16" s="98">
        <f t="shared" si="13"/>
        <v>-210000</v>
      </c>
      <c r="K16" s="99">
        <v>120000</v>
      </c>
      <c r="L16" s="99">
        <f>+Sep!H37</f>
        <v>0</v>
      </c>
      <c r="M16" s="98">
        <f t="shared" si="0"/>
        <v>-120000</v>
      </c>
      <c r="N16" s="99">
        <v>100000</v>
      </c>
      <c r="O16" s="99">
        <f>+Sep!B37</f>
        <v>0</v>
      </c>
      <c r="P16" s="98">
        <f t="shared" si="14"/>
        <v>-100000</v>
      </c>
      <c r="Q16" s="99">
        <v>180000</v>
      </c>
      <c r="R16" s="99">
        <f>+Sep!C37</f>
        <v>0</v>
      </c>
      <c r="S16" s="98">
        <f t="shared" si="1"/>
        <v>-180000</v>
      </c>
      <c r="T16" s="98">
        <v>240000</v>
      </c>
      <c r="U16" s="98">
        <f>+Sep!I37</f>
        <v>0</v>
      </c>
      <c r="V16" s="98">
        <f t="shared" si="15"/>
        <v>-240000</v>
      </c>
      <c r="W16" s="99"/>
      <c r="X16" s="99">
        <v>0</v>
      </c>
      <c r="Y16" s="98">
        <f t="shared" si="8"/>
        <v>0</v>
      </c>
      <c r="Z16" s="99">
        <v>220000</v>
      </c>
      <c r="AA16" s="99">
        <v>0</v>
      </c>
      <c r="AB16" s="98">
        <f t="shared" si="2"/>
        <v>-220000</v>
      </c>
      <c r="AC16" s="99">
        <v>60000</v>
      </c>
      <c r="AD16" s="99">
        <f>+Sep!V37</f>
        <v>0</v>
      </c>
      <c r="AE16" s="98">
        <f t="shared" si="3"/>
        <v>-60000</v>
      </c>
      <c r="AF16" s="99">
        <v>920000</v>
      </c>
      <c r="AG16" s="99">
        <f>+Sep!W37</f>
        <v>0</v>
      </c>
      <c r="AH16" s="98">
        <f t="shared" si="4"/>
        <v>-920000</v>
      </c>
      <c r="AI16" s="99">
        <v>80000</v>
      </c>
      <c r="AJ16" s="99">
        <f>+Sep!X36</f>
        <v>0</v>
      </c>
      <c r="AK16" s="98">
        <f t="shared" si="5"/>
        <v>-80000</v>
      </c>
      <c r="AL16" s="98">
        <f t="shared" si="9"/>
        <v>2710000</v>
      </c>
      <c r="AM16" s="98">
        <f t="shared" si="12"/>
        <v>0</v>
      </c>
      <c r="AN16" s="98">
        <f t="shared" si="10"/>
        <v>-2710000</v>
      </c>
    </row>
    <row r="17" spans="1:40" s="93" customFormat="1" ht="30" customHeight="1">
      <c r="A17" s="98" t="s">
        <v>111</v>
      </c>
      <c r="B17" s="99">
        <v>560000</v>
      </c>
      <c r="C17" s="99">
        <f>+Oct!J38+Oct!K38+Oct!N38+Oct!O38</f>
        <v>0</v>
      </c>
      <c r="D17" s="98"/>
      <c r="E17" s="98"/>
      <c r="F17" s="98">
        <f t="shared" si="11"/>
        <v>0</v>
      </c>
      <c r="G17" s="98">
        <f t="shared" si="6"/>
        <v>-560000</v>
      </c>
      <c r="H17" s="99">
        <v>200000</v>
      </c>
      <c r="I17" s="99">
        <f>SUM(Oct!D38:G38)</f>
        <v>0</v>
      </c>
      <c r="J17" s="98">
        <f t="shared" si="13"/>
        <v>-200000</v>
      </c>
      <c r="K17" s="99">
        <v>120000</v>
      </c>
      <c r="L17" s="99">
        <f>+Oct!H38</f>
        <v>0</v>
      </c>
      <c r="M17" s="98">
        <f t="shared" si="0"/>
        <v>-120000</v>
      </c>
      <c r="N17" s="99">
        <v>100000</v>
      </c>
      <c r="O17" s="99">
        <f>+Oct!B38</f>
        <v>0</v>
      </c>
      <c r="P17" s="98">
        <f t="shared" si="14"/>
        <v>-100000</v>
      </c>
      <c r="Q17" s="99">
        <v>180000</v>
      </c>
      <c r="R17" s="99">
        <f>+Oct!C38</f>
        <v>0</v>
      </c>
      <c r="S17" s="98">
        <f t="shared" si="1"/>
        <v>-180000</v>
      </c>
      <c r="T17" s="98">
        <v>240000</v>
      </c>
      <c r="U17" s="98">
        <f>+Oct!I38</f>
        <v>0</v>
      </c>
      <c r="V17" s="98">
        <f t="shared" si="15"/>
        <v>-240000</v>
      </c>
      <c r="W17" s="99"/>
      <c r="X17" s="99">
        <v>0</v>
      </c>
      <c r="Y17" s="98">
        <f t="shared" si="8"/>
        <v>0</v>
      </c>
      <c r="Z17" s="99">
        <v>210000</v>
      </c>
      <c r="AA17" s="99">
        <v>0</v>
      </c>
      <c r="AB17" s="98">
        <f t="shared" si="2"/>
        <v>-210000</v>
      </c>
      <c r="AC17" s="99">
        <v>60000</v>
      </c>
      <c r="AD17" s="99">
        <f>+Oct!V38</f>
        <v>0</v>
      </c>
      <c r="AE17" s="98">
        <f t="shared" si="3"/>
        <v>-60000</v>
      </c>
      <c r="AF17" s="99">
        <v>900000</v>
      </c>
      <c r="AG17" s="99">
        <f>+Oct!W38</f>
        <v>0</v>
      </c>
      <c r="AH17" s="98">
        <f t="shared" si="4"/>
        <v>-900000</v>
      </c>
      <c r="AI17" s="99">
        <v>70000</v>
      </c>
      <c r="AJ17" s="99">
        <f>+Oct!X38</f>
        <v>0</v>
      </c>
      <c r="AK17" s="98">
        <f t="shared" si="5"/>
        <v>-70000</v>
      </c>
      <c r="AL17" s="98">
        <f t="shared" si="9"/>
        <v>2640000</v>
      </c>
      <c r="AM17" s="98">
        <f t="shared" si="12"/>
        <v>0</v>
      </c>
      <c r="AN17" s="98">
        <f t="shared" si="10"/>
        <v>-2640000</v>
      </c>
    </row>
    <row r="18" spans="1:40" s="93" customFormat="1" ht="30" customHeight="1">
      <c r="A18" s="98" t="s">
        <v>112</v>
      </c>
      <c r="B18" s="99">
        <v>540000</v>
      </c>
      <c r="C18" s="99">
        <f>+Nov!J37+Nov!K37+Nov!N37+Nov!O37</f>
        <v>0</v>
      </c>
      <c r="D18" s="98"/>
      <c r="E18" s="98"/>
      <c r="F18" s="98">
        <f t="shared" si="11"/>
        <v>0</v>
      </c>
      <c r="G18" s="98">
        <f t="shared" si="6"/>
        <v>-540000</v>
      </c>
      <c r="H18" s="99">
        <v>190000</v>
      </c>
      <c r="I18" s="99">
        <f>SUM(Nov!D37:G37)</f>
        <v>0</v>
      </c>
      <c r="J18" s="98">
        <f t="shared" si="13"/>
        <v>-190000</v>
      </c>
      <c r="K18" s="99">
        <v>110000</v>
      </c>
      <c r="L18" s="99">
        <f>+Nov!H37</f>
        <v>0</v>
      </c>
      <c r="M18" s="98">
        <f t="shared" si="0"/>
        <v>-110000</v>
      </c>
      <c r="N18" s="99">
        <v>90000</v>
      </c>
      <c r="O18" s="99">
        <f>+Nov!B37</f>
        <v>0</v>
      </c>
      <c r="P18" s="98">
        <f t="shared" si="14"/>
        <v>-90000</v>
      </c>
      <c r="Q18" s="99">
        <v>160000</v>
      </c>
      <c r="R18" s="99">
        <f>+Nov!C37</f>
        <v>0</v>
      </c>
      <c r="S18" s="98">
        <f t="shared" si="1"/>
        <v>-160000</v>
      </c>
      <c r="T18" s="98">
        <v>220000</v>
      </c>
      <c r="U18" s="98">
        <f>+Nov!I37</f>
        <v>0</v>
      </c>
      <c r="V18" s="98">
        <f t="shared" si="15"/>
        <v>-220000</v>
      </c>
      <c r="W18" s="99"/>
      <c r="X18" s="99">
        <v>0</v>
      </c>
      <c r="Y18" s="98">
        <f t="shared" si="8"/>
        <v>0</v>
      </c>
      <c r="Z18" s="99">
        <v>190000</v>
      </c>
      <c r="AA18" s="99">
        <v>0</v>
      </c>
      <c r="AB18" s="98">
        <f t="shared" si="2"/>
        <v>-190000</v>
      </c>
      <c r="AC18" s="99">
        <v>50000</v>
      </c>
      <c r="AD18" s="99">
        <f>+Nov!V37</f>
        <v>0</v>
      </c>
      <c r="AE18" s="98">
        <f t="shared" si="3"/>
        <v>-50000</v>
      </c>
      <c r="AF18" s="99">
        <v>840000</v>
      </c>
      <c r="AG18" s="99">
        <f>+Nov!W37</f>
        <v>0</v>
      </c>
      <c r="AH18" s="98">
        <f t="shared" si="4"/>
        <v>-840000</v>
      </c>
      <c r="AI18" s="99">
        <v>70000</v>
      </c>
      <c r="AJ18" s="99">
        <f>+Nov!X37</f>
        <v>0</v>
      </c>
      <c r="AK18" s="98">
        <f t="shared" si="5"/>
        <v>-70000</v>
      </c>
      <c r="AL18" s="98">
        <f t="shared" si="9"/>
        <v>2460000</v>
      </c>
      <c r="AM18" s="98">
        <f t="shared" si="12"/>
        <v>0</v>
      </c>
      <c r="AN18" s="98">
        <f t="shared" si="10"/>
        <v>-2460000</v>
      </c>
    </row>
    <row r="19" spans="1:40" s="93" customFormat="1" ht="30" customHeight="1">
      <c r="A19" s="100" t="s">
        <v>113</v>
      </c>
      <c r="B19" s="101">
        <v>540000</v>
      </c>
      <c r="C19" s="99">
        <f>+Dec!J38+Dec!K38+Dec!N38+Dec!O38</f>
        <v>0</v>
      </c>
      <c r="D19" s="100"/>
      <c r="E19" s="98"/>
      <c r="F19" s="102">
        <f>SUM(C19:E19)</f>
        <v>0</v>
      </c>
      <c r="G19" s="100">
        <f t="shared" si="6"/>
        <v>-540000</v>
      </c>
      <c r="H19" s="101">
        <v>190000</v>
      </c>
      <c r="I19" s="99">
        <f>SUM(Dec!D38:G38)</f>
        <v>0</v>
      </c>
      <c r="J19" s="98">
        <f t="shared" si="13"/>
        <v>-190000</v>
      </c>
      <c r="K19" s="101">
        <v>100000</v>
      </c>
      <c r="L19" s="99">
        <f>+Dec!H38</f>
        <v>0</v>
      </c>
      <c r="M19" s="100">
        <f t="shared" si="0"/>
        <v>-100000</v>
      </c>
      <c r="N19" s="101">
        <v>90000</v>
      </c>
      <c r="O19" s="99">
        <f>+Dec!B38</f>
        <v>0</v>
      </c>
      <c r="P19" s="100">
        <f t="shared" si="14"/>
        <v>-90000</v>
      </c>
      <c r="Q19" s="101">
        <v>160000</v>
      </c>
      <c r="R19" s="99">
        <f>+Dec!C38</f>
        <v>0</v>
      </c>
      <c r="S19" s="100">
        <f t="shared" si="1"/>
        <v>-160000</v>
      </c>
      <c r="T19" s="98">
        <v>220000</v>
      </c>
      <c r="U19" s="98">
        <f>+Dec!I38</f>
        <v>0</v>
      </c>
      <c r="V19" s="100">
        <f t="shared" si="15"/>
        <v>-220000</v>
      </c>
      <c r="W19" s="101"/>
      <c r="X19" s="99">
        <v>0</v>
      </c>
      <c r="Y19" s="100">
        <f t="shared" si="8"/>
        <v>0</v>
      </c>
      <c r="Z19" s="101">
        <v>190000</v>
      </c>
      <c r="AA19" s="99">
        <v>0</v>
      </c>
      <c r="AB19" s="100">
        <f t="shared" si="2"/>
        <v>-190000</v>
      </c>
      <c r="AC19" s="101">
        <v>60000</v>
      </c>
      <c r="AD19" s="99">
        <f>+Dec!V38</f>
        <v>0</v>
      </c>
      <c r="AE19" s="100">
        <f t="shared" si="3"/>
        <v>-60000</v>
      </c>
      <c r="AF19" s="101">
        <v>870000</v>
      </c>
      <c r="AG19" s="99">
        <f>+Dec!W38</f>
        <v>0</v>
      </c>
      <c r="AH19" s="100">
        <f t="shared" si="4"/>
        <v>-870000</v>
      </c>
      <c r="AI19" s="101">
        <v>70000</v>
      </c>
      <c r="AJ19" s="99">
        <f>+Dec!X38</f>
        <v>0</v>
      </c>
      <c r="AK19" s="100">
        <f t="shared" si="5"/>
        <v>-70000</v>
      </c>
      <c r="AL19" s="98">
        <f t="shared" si="9"/>
        <v>2490000</v>
      </c>
      <c r="AM19" s="98">
        <f>F19+O19+I19+AA19+AD19+L19+X19+AJ19+R19+U19+AG19</f>
        <v>0</v>
      </c>
      <c r="AN19" s="100">
        <f t="shared" si="10"/>
        <v>-2490000</v>
      </c>
    </row>
    <row r="20" spans="1:40" s="93" customFormat="1" ht="30" customHeight="1">
      <c r="A20" s="95" t="s">
        <v>38</v>
      </c>
      <c r="B20" s="95">
        <f>SUM(B8:B19)</f>
        <v>6440000</v>
      </c>
      <c r="C20" s="95">
        <f>SUM(C8:C19)</f>
        <v>2791870.3000000003</v>
      </c>
      <c r="D20" s="95">
        <f>SUM(D8:D19)</f>
        <v>0</v>
      </c>
      <c r="E20" s="95">
        <f>SUM(E8:E19)</f>
        <v>0</v>
      </c>
      <c r="F20" s="95">
        <f>SUM(F8:F19)</f>
        <v>2791870.3000000003</v>
      </c>
      <c r="G20" s="95">
        <f t="shared" si="6"/>
        <v>-3648129.6999999997</v>
      </c>
      <c r="H20" s="95">
        <f>SUM(H8:H19)</f>
        <v>2320000</v>
      </c>
      <c r="I20" s="95">
        <f>SUM(I8:I19)</f>
        <v>1503372</v>
      </c>
      <c r="J20" s="95">
        <f>+I20-H20</f>
        <v>-816628</v>
      </c>
      <c r="K20" s="95">
        <f>SUM(K8:K19)</f>
        <v>1320000</v>
      </c>
      <c r="L20" s="95">
        <f>SUM(L8:L19)</f>
        <v>285168.90000000002</v>
      </c>
      <c r="M20" s="95">
        <f>+L20-K20</f>
        <v>-1034831.1</v>
      </c>
      <c r="N20" s="95">
        <f>SUM(N8:N19)</f>
        <v>1110000</v>
      </c>
      <c r="O20" s="95">
        <f>SUM(O8:O19)</f>
        <v>302965.89999999997</v>
      </c>
      <c r="P20" s="95">
        <f>+O20-N20</f>
        <v>-807034.10000000009</v>
      </c>
      <c r="Q20" s="95">
        <f>SUM(Q8:Q19)</f>
        <v>1950000</v>
      </c>
      <c r="R20" s="95">
        <f>SUM(R8:R19)</f>
        <v>949252.70000000007</v>
      </c>
      <c r="S20" s="95">
        <f>+R20-Q20</f>
        <v>-1000747.2999999999</v>
      </c>
      <c r="T20" s="95">
        <f>SUM(T8:T19)</f>
        <v>2630000</v>
      </c>
      <c r="U20" s="95">
        <f>SUM(U8:U19)</f>
        <v>159917.80000000005</v>
      </c>
      <c r="V20" s="95">
        <f>+U20-T20</f>
        <v>-2470082.2000000002</v>
      </c>
      <c r="W20" s="95">
        <f>SUM(W8:W19)</f>
        <v>0</v>
      </c>
      <c r="X20" s="95">
        <f>SUM(X8:X19)</f>
        <v>0</v>
      </c>
      <c r="Y20" s="95">
        <f>+X20-W20</f>
        <v>0</v>
      </c>
      <c r="Z20" s="95">
        <f>SUM(Z8:Z19)</f>
        <v>2400000</v>
      </c>
      <c r="AA20" s="95">
        <f>SUM(AA8:AA19)</f>
        <v>283785.2</v>
      </c>
      <c r="AB20" s="95">
        <f>+AA20-Z20</f>
        <v>-2116214.7999999998</v>
      </c>
      <c r="AC20" s="95">
        <f>SUM(AC8:AC19)</f>
        <v>670000</v>
      </c>
      <c r="AD20" s="95">
        <f>SUM(AD8:AD19)</f>
        <v>0</v>
      </c>
      <c r="AE20" s="95">
        <f>+AD20-AC20</f>
        <v>-670000</v>
      </c>
      <c r="AF20" s="95">
        <f>SUM(AF8:AF19)</f>
        <v>11320000</v>
      </c>
      <c r="AG20" s="95">
        <f>SUM(AG8:AG19)</f>
        <v>5249937.3099999996</v>
      </c>
      <c r="AH20" s="95">
        <f>+AG20-AF20</f>
        <v>-6070062.6900000004</v>
      </c>
      <c r="AI20" s="95">
        <f>SUM(AI8:AI19)</f>
        <v>840000</v>
      </c>
      <c r="AJ20" s="95">
        <f>SUM(AJ8:AJ19)</f>
        <v>415715.2</v>
      </c>
      <c r="AK20" s="95">
        <f>+AJ20-AI20</f>
        <v>-424284.8</v>
      </c>
      <c r="AL20" s="95">
        <f>SUM(AL8:AL19)</f>
        <v>31000000</v>
      </c>
      <c r="AM20" s="95">
        <f>SUM(AM8:AM19)</f>
        <v>11941985.310000001</v>
      </c>
      <c r="AN20" s="95">
        <f>+AM20-AL20</f>
        <v>-19058014.689999998</v>
      </c>
    </row>
    <row r="21" spans="1:40" s="93" customFormat="1" ht="30" customHeight="1"/>
    <row r="22" spans="1:40" s="93" customFormat="1" ht="30" customHeight="1">
      <c r="A22" s="93" t="s">
        <v>70</v>
      </c>
      <c r="P22" s="94"/>
    </row>
    <row r="23" spans="1:40" s="93" customFormat="1" ht="30" customHeight="1">
      <c r="A23" s="833" t="s">
        <v>72</v>
      </c>
      <c r="B23" s="835"/>
      <c r="C23" s="95" t="str">
        <f>$B$7</f>
        <v>B/Plan</v>
      </c>
      <c r="D23" s="95" t="s">
        <v>100</v>
      </c>
      <c r="E23" s="95" t="s">
        <v>101</v>
      </c>
      <c r="F23" s="95" t="s">
        <v>103</v>
      </c>
      <c r="G23" s="95" t="s">
        <v>104</v>
      </c>
      <c r="H23" s="95" t="s">
        <v>105</v>
      </c>
      <c r="I23" s="95" t="s">
        <v>106</v>
      </c>
      <c r="J23" s="95" t="s">
        <v>107</v>
      </c>
      <c r="K23" s="95" t="s">
        <v>109</v>
      </c>
      <c r="L23" s="95" t="s">
        <v>110</v>
      </c>
      <c r="M23" s="95" t="s">
        <v>111</v>
      </c>
      <c r="N23" s="95" t="s">
        <v>112</v>
      </c>
      <c r="O23" s="95" t="s">
        <v>113</v>
      </c>
      <c r="P23" s="95" t="s">
        <v>62</v>
      </c>
    </row>
    <row r="24" spans="1:40" s="93" customFormat="1" ht="30" customHeight="1">
      <c r="A24" s="845" t="s">
        <v>39</v>
      </c>
      <c r="B24" s="846"/>
      <c r="C24" s="103">
        <f>N20</f>
        <v>1110000</v>
      </c>
      <c r="D24" s="99">
        <f>+$O$8</f>
        <v>54950</v>
      </c>
      <c r="E24" s="99">
        <f>+$O$9</f>
        <v>50779</v>
      </c>
      <c r="F24" s="99">
        <f>+$O$10</f>
        <v>73383.3</v>
      </c>
      <c r="G24" s="99">
        <f>+$O$11</f>
        <v>61080</v>
      </c>
      <c r="H24" s="99">
        <f>+$O$12</f>
        <v>60418.799999999981</v>
      </c>
      <c r="I24" s="99">
        <f>+$O$13</f>
        <v>2354.8000000000002</v>
      </c>
      <c r="J24" s="99">
        <f>+$O$14</f>
        <v>0</v>
      </c>
      <c r="K24" s="99">
        <f>+$O$15</f>
        <v>0</v>
      </c>
      <c r="L24" s="99">
        <f>+$O$16</f>
        <v>0</v>
      </c>
      <c r="M24" s="99">
        <f>+$O$17</f>
        <v>0</v>
      </c>
      <c r="N24" s="99">
        <f>+$O$18</f>
        <v>0</v>
      </c>
      <c r="O24" s="99">
        <f>+$O$19</f>
        <v>0</v>
      </c>
      <c r="P24" s="98">
        <f>SUM(D24:O24)</f>
        <v>302965.89999999997</v>
      </c>
    </row>
    <row r="25" spans="1:40" s="93" customFormat="1" ht="30" customHeight="1">
      <c r="A25" s="847" t="s">
        <v>40</v>
      </c>
      <c r="B25" s="848"/>
      <c r="C25" s="104">
        <f>Q20</f>
        <v>1950000</v>
      </c>
      <c r="D25" s="98">
        <f>+$R$8</f>
        <v>202480</v>
      </c>
      <c r="E25" s="98">
        <f>+$R$9</f>
        <v>181076</v>
      </c>
      <c r="F25" s="98">
        <f>+$R$10</f>
        <v>167084.20000000001</v>
      </c>
      <c r="G25" s="98">
        <f>+$R$11</f>
        <v>163017</v>
      </c>
      <c r="H25" s="98">
        <f>+$R$12</f>
        <v>201608.10000000006</v>
      </c>
      <c r="I25" s="98">
        <f>+$R$13</f>
        <v>33987.4</v>
      </c>
      <c r="J25" s="98">
        <f>+$R$14</f>
        <v>0</v>
      </c>
      <c r="K25" s="98">
        <f>+$R$15</f>
        <v>0</v>
      </c>
      <c r="L25" s="98">
        <f>+$R$16</f>
        <v>0</v>
      </c>
      <c r="M25" s="98">
        <f>+$R$17</f>
        <v>0</v>
      </c>
      <c r="N25" s="98">
        <f>+$R$18</f>
        <v>0</v>
      </c>
      <c r="O25" s="98">
        <f>+$R$19</f>
        <v>0</v>
      </c>
      <c r="P25" s="98">
        <f>SUM(D25:O25)</f>
        <v>949252.70000000007</v>
      </c>
    </row>
    <row r="26" spans="1:40" s="93" customFormat="1" ht="30" customHeight="1">
      <c r="A26" s="100" t="s">
        <v>41</v>
      </c>
      <c r="B26" s="98" t="s">
        <v>166</v>
      </c>
      <c r="C26" s="98">
        <f>H20</f>
        <v>2320000</v>
      </c>
      <c r="D26" s="98">
        <f>+$I$8</f>
        <v>272378</v>
      </c>
      <c r="E26" s="98">
        <f>+$I$9</f>
        <v>322351</v>
      </c>
      <c r="F26" s="98">
        <f>+$I$10</f>
        <v>319948.09999999998</v>
      </c>
      <c r="G26" s="98">
        <f>+$I$11</f>
        <v>289503</v>
      </c>
      <c r="H26" s="98">
        <f>+$I$12</f>
        <v>252094.09999999995</v>
      </c>
      <c r="I26" s="98">
        <f>+$I$13</f>
        <v>47097.799999999996</v>
      </c>
      <c r="J26" s="98">
        <f>+$I$14</f>
        <v>0</v>
      </c>
      <c r="K26" s="98">
        <f>+$I$15</f>
        <v>0</v>
      </c>
      <c r="L26" s="98">
        <f>+$I$16</f>
        <v>0</v>
      </c>
      <c r="M26" s="98">
        <f>+$I$17</f>
        <v>0</v>
      </c>
      <c r="N26" s="98">
        <f>+$I$18</f>
        <v>0</v>
      </c>
      <c r="O26" s="98">
        <f>+$I$19</f>
        <v>0</v>
      </c>
      <c r="P26" s="98">
        <f t="shared" ref="P26:P28" si="16">SUM(D26:O26)</f>
        <v>1503372</v>
      </c>
    </row>
    <row r="27" spans="1:40" s="93" customFormat="1" ht="30" customHeight="1">
      <c r="A27" s="99"/>
      <c r="B27" s="98" t="s">
        <v>46</v>
      </c>
      <c r="C27" s="98">
        <f>K20</f>
        <v>1320000</v>
      </c>
      <c r="D27" s="98">
        <f>+L8</f>
        <v>36986</v>
      </c>
      <c r="E27" s="98">
        <f>+L9</f>
        <v>67565</v>
      </c>
      <c r="F27" s="98">
        <f>+L10</f>
        <v>34542.9</v>
      </c>
      <c r="G27" s="98">
        <f>+L11</f>
        <v>35136</v>
      </c>
      <c r="H27" s="98">
        <f>+L12</f>
        <v>97803.8</v>
      </c>
      <c r="I27" s="98">
        <f>+L13</f>
        <v>13135.2</v>
      </c>
      <c r="J27" s="98">
        <f>+L14</f>
        <v>0</v>
      </c>
      <c r="K27" s="98">
        <f>+L15</f>
        <v>0</v>
      </c>
      <c r="L27" s="98">
        <f>+L16</f>
        <v>0</v>
      </c>
      <c r="M27" s="98">
        <f>+L17</f>
        <v>0</v>
      </c>
      <c r="N27" s="98">
        <f>+L18</f>
        <v>0</v>
      </c>
      <c r="O27" s="98">
        <f>+L19</f>
        <v>0</v>
      </c>
      <c r="P27" s="98">
        <f t="shared" si="16"/>
        <v>285168.90000000002</v>
      </c>
    </row>
    <row r="28" spans="1:40" s="93" customFormat="1" ht="30" customHeight="1">
      <c r="A28" s="838" t="s">
        <v>42</v>
      </c>
      <c r="B28" s="98" t="s">
        <v>184</v>
      </c>
      <c r="C28" s="98">
        <f>B20</f>
        <v>6440000</v>
      </c>
      <c r="D28" s="98">
        <f>F8</f>
        <v>647737</v>
      </c>
      <c r="E28" s="98">
        <f>+F9</f>
        <v>613388</v>
      </c>
      <c r="F28" s="98">
        <f>+F10</f>
        <v>657249.80000000005</v>
      </c>
      <c r="G28" s="98">
        <f>+F11</f>
        <v>191594</v>
      </c>
      <c r="H28" s="98">
        <f>+F12</f>
        <v>587828.80000000016</v>
      </c>
      <c r="I28" s="98">
        <f>+F13</f>
        <v>94072.700000000012</v>
      </c>
      <c r="J28" s="98">
        <f>+F14</f>
        <v>0</v>
      </c>
      <c r="K28" s="98">
        <f>+F15</f>
        <v>0</v>
      </c>
      <c r="L28" s="98">
        <f>F16</f>
        <v>0</v>
      </c>
      <c r="M28" s="98">
        <f>+F17</f>
        <v>0</v>
      </c>
      <c r="N28" s="98">
        <f>+F18</f>
        <v>0</v>
      </c>
      <c r="O28" s="98">
        <f>F19</f>
        <v>0</v>
      </c>
      <c r="P28" s="98">
        <f t="shared" si="16"/>
        <v>2791870.3000000003</v>
      </c>
    </row>
    <row r="29" spans="1:40" s="93" customFormat="1" ht="30" customHeight="1">
      <c r="A29" s="839"/>
      <c r="B29" s="98" t="s">
        <v>177</v>
      </c>
      <c r="C29" s="98">
        <f>T20</f>
        <v>2630000</v>
      </c>
      <c r="D29" s="98">
        <f>+$U$8</f>
        <v>7127</v>
      </c>
      <c r="E29" s="98">
        <f>+$U$9</f>
        <v>0</v>
      </c>
      <c r="F29" s="98">
        <f>+$U$10</f>
        <v>7388</v>
      </c>
      <c r="G29" s="98">
        <f>+$U$11</f>
        <v>39467</v>
      </c>
      <c r="H29" s="98">
        <f>+$U$12</f>
        <v>79146.500000000029</v>
      </c>
      <c r="I29" s="98">
        <f>+$U$13</f>
        <v>26789.30000000001</v>
      </c>
      <c r="J29" s="98">
        <f>+$U$14</f>
        <v>0</v>
      </c>
      <c r="K29" s="98">
        <f>+$U$15</f>
        <v>0</v>
      </c>
      <c r="L29" s="98">
        <f>+$U$16</f>
        <v>0</v>
      </c>
      <c r="M29" s="98">
        <f>+$U$17</f>
        <v>0</v>
      </c>
      <c r="N29" s="98">
        <f>+$U$18</f>
        <v>0</v>
      </c>
      <c r="O29" s="98">
        <f>+$U$19</f>
        <v>0</v>
      </c>
      <c r="P29" s="98">
        <f>SUM(D29:O29)</f>
        <v>159917.80000000005</v>
      </c>
    </row>
    <row r="30" spans="1:40" s="93" customFormat="1" ht="30" customHeight="1">
      <c r="A30" s="839"/>
      <c r="B30" s="98" t="s">
        <v>48</v>
      </c>
      <c r="C30" s="98">
        <f>Z20</f>
        <v>2400000</v>
      </c>
      <c r="D30" s="98">
        <f>+$AA$8</f>
        <v>82506</v>
      </c>
      <c r="E30" s="98">
        <f>+$AA$9</f>
        <v>35182</v>
      </c>
      <c r="F30" s="98">
        <f>+$AA$10</f>
        <v>0</v>
      </c>
      <c r="G30" s="98">
        <f>+$AA$11</f>
        <v>41575</v>
      </c>
      <c r="H30" s="98">
        <f>+$AA$12</f>
        <v>85872.5</v>
      </c>
      <c r="I30" s="98">
        <f>+$AA$13</f>
        <v>38649.699999999997</v>
      </c>
      <c r="J30" s="98">
        <f>+$AA$14</f>
        <v>0</v>
      </c>
      <c r="K30" s="98">
        <f>+$AA$15</f>
        <v>0</v>
      </c>
      <c r="L30" s="98">
        <f>+$AA$16</f>
        <v>0</v>
      </c>
      <c r="M30" s="98">
        <f>+$AA$17</f>
        <v>0</v>
      </c>
      <c r="N30" s="98">
        <f>+$AA$18</f>
        <v>0</v>
      </c>
      <c r="O30" s="98">
        <f>+$AA$19</f>
        <v>0</v>
      </c>
      <c r="P30" s="98">
        <f>SUM(D30:O30)</f>
        <v>283785.2</v>
      </c>
    </row>
    <row r="31" spans="1:40" s="93" customFormat="1" ht="30" customHeight="1">
      <c r="A31" s="839"/>
      <c r="B31" s="98" t="s">
        <v>140</v>
      </c>
      <c r="C31" s="98">
        <f>AC20</f>
        <v>670000</v>
      </c>
      <c r="D31" s="98">
        <f>+$AD$8</f>
        <v>0</v>
      </c>
      <c r="E31" s="98">
        <f>+$AD$9</f>
        <v>0</v>
      </c>
      <c r="F31" s="98">
        <f>+$AD$10</f>
        <v>0</v>
      </c>
      <c r="G31" s="98">
        <f>+$AD$11</f>
        <v>0</v>
      </c>
      <c r="H31" s="98">
        <f>+$AD$12</f>
        <v>0</v>
      </c>
      <c r="I31" s="98">
        <f>+$AD$13</f>
        <v>0</v>
      </c>
      <c r="J31" s="98">
        <f>+$AD$14</f>
        <v>0</v>
      </c>
      <c r="K31" s="98">
        <f>+$AD$15</f>
        <v>0</v>
      </c>
      <c r="L31" s="98">
        <f>+$AD$16</f>
        <v>0</v>
      </c>
      <c r="M31" s="98">
        <f>+$AD$17</f>
        <v>0</v>
      </c>
      <c r="N31" s="98">
        <f>+$AD$18</f>
        <v>0</v>
      </c>
      <c r="O31" s="98">
        <f>+$AD$19</f>
        <v>0</v>
      </c>
      <c r="P31" s="98">
        <f>SUM(D31:O31)</f>
        <v>0</v>
      </c>
    </row>
    <row r="32" spans="1:40" s="93" customFormat="1" ht="30" customHeight="1">
      <c r="A32" s="840"/>
      <c r="B32" s="104" t="s">
        <v>49</v>
      </c>
      <c r="C32" s="261">
        <f>AF20</f>
        <v>11320000</v>
      </c>
      <c r="D32" s="98">
        <f>+$AG$8</f>
        <v>1025342</v>
      </c>
      <c r="E32" s="98">
        <f>+$AG$9</f>
        <v>931872</v>
      </c>
      <c r="F32" s="98">
        <f>+$AG$10</f>
        <v>893968.6</v>
      </c>
      <c r="G32" s="98">
        <f>+$AG$11</f>
        <v>904888</v>
      </c>
      <c r="H32" s="98">
        <f>+$AG$12</f>
        <v>1270949.9100000001</v>
      </c>
      <c r="I32" s="98">
        <f>+$AG$13</f>
        <v>222916.8</v>
      </c>
      <c r="J32" s="98">
        <f>+$AG$14</f>
        <v>0</v>
      </c>
      <c r="K32" s="98">
        <f>+$AG$15</f>
        <v>0</v>
      </c>
      <c r="L32" s="98">
        <f>+$AG$16</f>
        <v>0</v>
      </c>
      <c r="M32" s="98">
        <f>+$AG$17</f>
        <v>0</v>
      </c>
      <c r="N32" s="98">
        <f>+$AG$18</f>
        <v>0</v>
      </c>
      <c r="O32" s="98">
        <f>+$AG$19</f>
        <v>0</v>
      </c>
      <c r="P32" s="98">
        <f>SUM(D32:O32)</f>
        <v>5249937.3099999996</v>
      </c>
    </row>
    <row r="33" spans="1:41" s="93" customFormat="1" ht="30" customHeight="1">
      <c r="A33" s="843" t="s">
        <v>43</v>
      </c>
      <c r="B33" s="844"/>
      <c r="C33" s="261">
        <f>AI20</f>
        <v>840000</v>
      </c>
      <c r="D33" s="98">
        <f>+$AJ$8</f>
        <v>73819</v>
      </c>
      <c r="E33" s="98">
        <f>+$AJ$9</f>
        <v>87084</v>
      </c>
      <c r="F33" s="98">
        <f>+$AJ$10</f>
        <v>73278.2</v>
      </c>
      <c r="G33" s="98">
        <f>+$AJ$11</f>
        <v>76924</v>
      </c>
      <c r="H33" s="98">
        <f>+$AJ$12</f>
        <v>92564.599999999977</v>
      </c>
      <c r="I33" s="98">
        <f>+$AJ$13</f>
        <v>12045.400000000001</v>
      </c>
      <c r="J33" s="98">
        <f>+$AJ$14</f>
        <v>0</v>
      </c>
      <c r="K33" s="98">
        <f>+$AJ$15</f>
        <v>0</v>
      </c>
      <c r="L33" s="98">
        <f>+$AJ$16</f>
        <v>0</v>
      </c>
      <c r="M33" s="98">
        <f>+$AJ$17</f>
        <v>0</v>
      </c>
      <c r="N33" s="98">
        <f>+$AJ$18</f>
        <v>0</v>
      </c>
      <c r="O33" s="98">
        <f>+$AJ$19</f>
        <v>0</v>
      </c>
      <c r="P33" s="98">
        <f t="shared" ref="P33" si="17">SUM(D33:O33)</f>
        <v>415715.2</v>
      </c>
    </row>
    <row r="34" spans="1:41" s="93" customFormat="1" ht="30" customHeight="1">
      <c r="A34" s="836" t="s">
        <v>88</v>
      </c>
      <c r="B34" s="837"/>
      <c r="C34" s="10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</row>
    <row r="35" spans="1:41" s="93" customFormat="1" ht="30" customHeight="1">
      <c r="A35" s="833" t="s">
        <v>62</v>
      </c>
      <c r="B35" s="835"/>
      <c r="C35" s="95">
        <f t="shared" ref="C35:O35" si="18">SUM(C24:C34)</f>
        <v>31000000</v>
      </c>
      <c r="D35" s="95">
        <f t="shared" si="18"/>
        <v>2403325</v>
      </c>
      <c r="E35" s="95">
        <f t="shared" si="18"/>
        <v>2289297</v>
      </c>
      <c r="F35" s="95">
        <f t="shared" si="18"/>
        <v>2226843.1</v>
      </c>
      <c r="G35" s="95">
        <f t="shared" si="18"/>
        <v>1803184</v>
      </c>
      <c r="H35" s="95">
        <f t="shared" si="18"/>
        <v>2728287.1100000003</v>
      </c>
      <c r="I35" s="95">
        <f t="shared" si="18"/>
        <v>491049.10000000003</v>
      </c>
      <c r="J35" s="95">
        <f t="shared" si="18"/>
        <v>0</v>
      </c>
      <c r="K35" s="95">
        <f t="shared" si="18"/>
        <v>0</v>
      </c>
      <c r="L35" s="95">
        <f t="shared" si="18"/>
        <v>0</v>
      </c>
      <c r="M35" s="95">
        <f t="shared" si="18"/>
        <v>0</v>
      </c>
      <c r="N35" s="95">
        <f t="shared" si="18"/>
        <v>0</v>
      </c>
      <c r="O35" s="95">
        <f t="shared" si="18"/>
        <v>0</v>
      </c>
      <c r="P35" s="95">
        <f>SUM(D35:O35)</f>
        <v>11941985.310000001</v>
      </c>
    </row>
    <row r="36" spans="1:41" s="93" customFormat="1" ht="30" customHeight="1"/>
    <row r="37" spans="1:41" s="93" customFormat="1" ht="30" customHeight="1">
      <c r="A37" s="92" t="s">
        <v>167</v>
      </c>
    </row>
    <row r="38" spans="1:41" s="93" customFormat="1" ht="30" customHeight="1">
      <c r="A38" s="264" t="s">
        <v>168</v>
      </c>
      <c r="C38" s="264" t="s">
        <v>70</v>
      </c>
      <c r="AC38" s="96"/>
      <c r="AD38" s="841"/>
      <c r="AE38" s="841"/>
      <c r="AF38" s="841"/>
      <c r="AG38" s="841"/>
      <c r="AH38" s="841"/>
      <c r="AI38" s="841"/>
      <c r="AJ38" s="841"/>
      <c r="AK38" s="841"/>
      <c r="AL38" s="841"/>
      <c r="AM38" s="841"/>
      <c r="AN38" s="841"/>
      <c r="AO38" s="841"/>
    </row>
    <row r="39" spans="1:41" s="93" customFormat="1" ht="30" customHeight="1">
      <c r="A39" s="832" t="s">
        <v>97</v>
      </c>
      <c r="B39" s="833" t="s">
        <v>169</v>
      </c>
      <c r="C39" s="834"/>
      <c r="D39" s="834"/>
      <c r="E39" s="834"/>
      <c r="F39" s="834"/>
      <c r="G39" s="835"/>
      <c r="H39" s="832" t="s">
        <v>51</v>
      </c>
      <c r="I39" s="832"/>
      <c r="J39" s="832"/>
      <c r="K39" s="832" t="s">
        <v>158</v>
      </c>
      <c r="L39" s="832"/>
      <c r="M39" s="832"/>
      <c r="N39" s="833" t="s">
        <v>159</v>
      </c>
      <c r="O39" s="834"/>
      <c r="P39" s="835"/>
      <c r="Q39" s="826" t="s">
        <v>160</v>
      </c>
      <c r="R39" s="827"/>
      <c r="S39" s="828"/>
      <c r="T39" s="826" t="s">
        <v>136</v>
      </c>
      <c r="U39" s="827"/>
      <c r="V39" s="828"/>
      <c r="W39" s="826" t="s">
        <v>137</v>
      </c>
      <c r="X39" s="827"/>
      <c r="Y39" s="828"/>
      <c r="Z39" s="826" t="s">
        <v>53</v>
      </c>
      <c r="AA39" s="827"/>
      <c r="AB39" s="828"/>
      <c r="AC39" s="826" t="s">
        <v>160</v>
      </c>
      <c r="AD39" s="827"/>
      <c r="AE39" s="828"/>
    </row>
    <row r="40" spans="1:41" s="93" customFormat="1" ht="30" customHeight="1">
      <c r="A40" s="832"/>
      <c r="B40" s="833" t="s">
        <v>161</v>
      </c>
      <c r="C40" s="834"/>
      <c r="D40" s="834"/>
      <c r="E40" s="834"/>
      <c r="F40" s="834"/>
      <c r="G40" s="835"/>
      <c r="H40" s="833" t="s">
        <v>186</v>
      </c>
      <c r="I40" s="834"/>
      <c r="J40" s="835"/>
      <c r="K40" s="833" t="s">
        <v>170</v>
      </c>
      <c r="L40" s="834"/>
      <c r="M40" s="835"/>
      <c r="N40" s="833" t="s">
        <v>43</v>
      </c>
      <c r="O40" s="834"/>
      <c r="P40" s="835"/>
      <c r="Q40" s="829"/>
      <c r="R40" s="830"/>
      <c r="S40" s="831"/>
      <c r="T40" s="829"/>
      <c r="U40" s="830"/>
      <c r="V40" s="831"/>
      <c r="W40" s="829"/>
      <c r="X40" s="830"/>
      <c r="Y40" s="831"/>
      <c r="Z40" s="829"/>
      <c r="AA40" s="830"/>
      <c r="AB40" s="831"/>
      <c r="AC40" s="829"/>
      <c r="AD40" s="830"/>
      <c r="AE40" s="831"/>
    </row>
    <row r="41" spans="1:41" s="93" customFormat="1" ht="30" customHeight="1">
      <c r="A41" s="832"/>
      <c r="B41" s="95" t="str">
        <f>$B$7</f>
        <v>B/Plan</v>
      </c>
      <c r="C41" s="95" t="s">
        <v>99</v>
      </c>
      <c r="D41" s="95"/>
      <c r="E41" s="95"/>
      <c r="F41" s="95" t="s">
        <v>164</v>
      </c>
      <c r="G41" s="95" t="s">
        <v>144</v>
      </c>
      <c r="H41" s="95" t="str">
        <f>$B$7</f>
        <v>B/Plan</v>
      </c>
      <c r="I41" s="95" t="s">
        <v>99</v>
      </c>
      <c r="J41" s="95" t="s">
        <v>144</v>
      </c>
      <c r="K41" s="95" t="str">
        <f>$B$7</f>
        <v>B/Plan</v>
      </c>
      <c r="L41" s="95" t="s">
        <v>99</v>
      </c>
      <c r="M41" s="95" t="s">
        <v>144</v>
      </c>
      <c r="N41" s="95" t="str">
        <f>$B$7</f>
        <v>B/Plan</v>
      </c>
      <c r="O41" s="95" t="s">
        <v>99</v>
      </c>
      <c r="P41" s="95" t="s">
        <v>144</v>
      </c>
      <c r="Q41" s="95" t="str">
        <f>$B$7</f>
        <v>B/Plan</v>
      </c>
      <c r="R41" s="95" t="s">
        <v>99</v>
      </c>
      <c r="S41" s="95" t="s">
        <v>144</v>
      </c>
      <c r="T41" s="95" t="str">
        <f>$B$7</f>
        <v>B/Plan</v>
      </c>
      <c r="U41" s="95" t="s">
        <v>99</v>
      </c>
      <c r="V41" s="95" t="s">
        <v>144</v>
      </c>
      <c r="W41" s="95" t="str">
        <f>$B$7</f>
        <v>B/Plan</v>
      </c>
      <c r="X41" s="95" t="s">
        <v>99</v>
      </c>
      <c r="Y41" s="95" t="s">
        <v>144</v>
      </c>
      <c r="Z41" s="95" t="str">
        <f>$B$7</f>
        <v>B/Plan</v>
      </c>
      <c r="AA41" s="95" t="s">
        <v>99</v>
      </c>
      <c r="AB41" s="95" t="s">
        <v>144</v>
      </c>
      <c r="AC41" s="95" t="str">
        <f>$B$7</f>
        <v>B/Plan</v>
      </c>
      <c r="AD41" s="95" t="s">
        <v>99</v>
      </c>
      <c r="AE41" s="95" t="s">
        <v>144</v>
      </c>
    </row>
    <row r="42" spans="1:41" s="93" customFormat="1" ht="30" customHeight="1">
      <c r="A42" s="97" t="s">
        <v>100</v>
      </c>
      <c r="B42" s="97">
        <f t="shared" ref="B42:F53" si="19">+B8</f>
        <v>500000</v>
      </c>
      <c r="C42" s="97">
        <f t="shared" si="19"/>
        <v>647737</v>
      </c>
      <c r="D42" s="97">
        <f t="shared" si="19"/>
        <v>0</v>
      </c>
      <c r="E42" s="97">
        <f t="shared" si="19"/>
        <v>0</v>
      </c>
      <c r="F42" s="97">
        <f t="shared" si="19"/>
        <v>647737</v>
      </c>
      <c r="G42" s="97">
        <f t="shared" ref="G42:G53" si="20">+F42-B42</f>
        <v>147737</v>
      </c>
      <c r="H42" s="98">
        <f>+H8+K8+N8+Q8+T8</f>
        <v>720000</v>
      </c>
      <c r="I42" s="98">
        <f>+I8+L8+O8+R8+U8</f>
        <v>573921</v>
      </c>
      <c r="J42" s="97">
        <f t="shared" ref="J42:J53" si="21">I42-H42</f>
        <v>-146079</v>
      </c>
      <c r="K42" s="97">
        <f t="shared" ref="K42:K53" si="22">W8+Z8+AC8+AF8</f>
        <v>1290000</v>
      </c>
      <c r="L42" s="97">
        <f t="shared" ref="L42:L53" si="23">AG8+AD8+AA8+X8</f>
        <v>1107848</v>
      </c>
      <c r="M42" s="97">
        <f>L42-K42</f>
        <v>-182152</v>
      </c>
      <c r="N42" s="97">
        <f t="shared" ref="N42:N53" si="24">+AI8</f>
        <v>70000</v>
      </c>
      <c r="O42" s="97">
        <f t="shared" ref="O42:O53" si="25">+AJ8</f>
        <v>73819</v>
      </c>
      <c r="P42" s="97">
        <f>O42-N42</f>
        <v>3819</v>
      </c>
      <c r="Q42" s="97">
        <f>B42+H42+K42+N42</f>
        <v>2580000</v>
      </c>
      <c r="R42" s="97">
        <f>F42+I42+L42+O42</f>
        <v>2403325</v>
      </c>
      <c r="S42" s="97">
        <f t="shared" ref="S42:S53" si="26">R42-Q42</f>
        <v>-176675</v>
      </c>
      <c r="T42" s="97">
        <v>1040000</v>
      </c>
      <c r="U42" s="97">
        <f>Jan!AB37</f>
        <v>1064187</v>
      </c>
      <c r="V42" s="97">
        <f t="shared" ref="V42:V53" si="27">U42-T42</f>
        <v>24187</v>
      </c>
      <c r="W42" s="97">
        <v>1040000</v>
      </c>
      <c r="X42" s="97">
        <f>Jan!AC37</f>
        <v>1041182</v>
      </c>
      <c r="Y42" s="97">
        <f t="shared" ref="Y42:Y53" si="28">X42-W42</f>
        <v>1182</v>
      </c>
      <c r="Z42" s="97">
        <v>580000</v>
      </c>
      <c r="AA42" s="97">
        <f>Jan!AD37</f>
        <v>556408</v>
      </c>
      <c r="AB42" s="97">
        <f t="shared" ref="AB42:AB53" si="29">AA42-Z42</f>
        <v>-23592</v>
      </c>
      <c r="AC42" s="97">
        <f>SUM(T42,W42,Z42)</f>
        <v>2660000</v>
      </c>
      <c r="AD42" s="97">
        <f t="shared" ref="AD42:AD53" si="30">SUM(U42,X42,AA42)</f>
        <v>2661777</v>
      </c>
      <c r="AE42" s="97">
        <f t="shared" ref="AE42:AE53" si="31">AD42-AC42</f>
        <v>1777</v>
      </c>
    </row>
    <row r="43" spans="1:41" s="93" customFormat="1" ht="30" customHeight="1">
      <c r="A43" s="98" t="s">
        <v>165</v>
      </c>
      <c r="B43" s="98">
        <f t="shared" si="19"/>
        <v>470000</v>
      </c>
      <c r="C43" s="98">
        <f t="shared" si="19"/>
        <v>613388</v>
      </c>
      <c r="D43" s="98">
        <f t="shared" si="19"/>
        <v>0</v>
      </c>
      <c r="E43" s="98">
        <f t="shared" si="19"/>
        <v>0</v>
      </c>
      <c r="F43" s="98">
        <f t="shared" si="19"/>
        <v>613388</v>
      </c>
      <c r="G43" s="98">
        <f t="shared" si="20"/>
        <v>143388</v>
      </c>
      <c r="H43" s="98">
        <f t="shared" ref="H43:H53" si="32">+H9+K9+N9+Q9+T9</f>
        <v>680000</v>
      </c>
      <c r="I43" s="98">
        <f t="shared" ref="I43:I53" si="33">+I9+L9+O9+R9+U9</f>
        <v>621771</v>
      </c>
      <c r="J43" s="98">
        <f t="shared" si="21"/>
        <v>-58229</v>
      </c>
      <c r="K43" s="98">
        <f t="shared" si="22"/>
        <v>1210000</v>
      </c>
      <c r="L43" s="98">
        <f t="shared" si="23"/>
        <v>967054</v>
      </c>
      <c r="M43" s="98">
        <f>L43-K43</f>
        <v>-242946</v>
      </c>
      <c r="N43" s="98">
        <f t="shared" si="24"/>
        <v>60000</v>
      </c>
      <c r="O43" s="98">
        <f t="shared" si="25"/>
        <v>87084</v>
      </c>
      <c r="P43" s="98">
        <f t="shared" ref="P43:P53" si="34">O43-N43</f>
        <v>27084</v>
      </c>
      <c r="Q43" s="98">
        <f t="shared" ref="Q43:Q53" si="35">B43+H43+K43+N43</f>
        <v>2420000</v>
      </c>
      <c r="R43" s="98">
        <f t="shared" ref="R43:R53" si="36">F43+I43+L43+O43</f>
        <v>2289297</v>
      </c>
      <c r="S43" s="98">
        <f t="shared" si="26"/>
        <v>-130703</v>
      </c>
      <c r="T43" s="98">
        <v>910000</v>
      </c>
      <c r="U43" s="98">
        <f>+Feb!$AB$37</f>
        <v>1010411</v>
      </c>
      <c r="V43" s="98">
        <f t="shared" si="27"/>
        <v>100411</v>
      </c>
      <c r="W43" s="98">
        <v>910000</v>
      </c>
      <c r="X43" s="98">
        <f>+Feb!$AC$37</f>
        <v>941233</v>
      </c>
      <c r="Y43" s="98">
        <f t="shared" si="28"/>
        <v>31233</v>
      </c>
      <c r="Z43" s="98">
        <v>540000</v>
      </c>
      <c r="AA43" s="98">
        <f>+Feb!$AD$37</f>
        <v>531195</v>
      </c>
      <c r="AB43" s="98">
        <f t="shared" si="29"/>
        <v>-8805</v>
      </c>
      <c r="AC43" s="98">
        <f t="shared" ref="AC43:AC53" si="37">SUM(T43,W43,Z43)</f>
        <v>2360000</v>
      </c>
      <c r="AD43" s="98">
        <f t="shared" si="30"/>
        <v>2482839</v>
      </c>
      <c r="AE43" s="98">
        <f t="shared" si="31"/>
        <v>122839</v>
      </c>
    </row>
    <row r="44" spans="1:41" s="93" customFormat="1" ht="30" customHeight="1">
      <c r="A44" s="98" t="s">
        <v>103</v>
      </c>
      <c r="B44" s="98">
        <f t="shared" si="19"/>
        <v>520000</v>
      </c>
      <c r="C44" s="98">
        <f t="shared" si="19"/>
        <v>657249.80000000005</v>
      </c>
      <c r="D44" s="98">
        <f t="shared" si="19"/>
        <v>0</v>
      </c>
      <c r="E44" s="98">
        <f t="shared" si="19"/>
        <v>0</v>
      </c>
      <c r="F44" s="98">
        <f t="shared" si="19"/>
        <v>657249.80000000005</v>
      </c>
      <c r="G44" s="98">
        <f t="shared" si="20"/>
        <v>137249.80000000005</v>
      </c>
      <c r="H44" s="98">
        <f t="shared" si="32"/>
        <v>760000</v>
      </c>
      <c r="I44" s="98">
        <f t="shared" si="33"/>
        <v>602346.5</v>
      </c>
      <c r="J44" s="98">
        <f t="shared" si="21"/>
        <v>-157653.5</v>
      </c>
      <c r="K44" s="98">
        <f t="shared" si="22"/>
        <v>1310000</v>
      </c>
      <c r="L44" s="98">
        <f t="shared" si="23"/>
        <v>893968.6</v>
      </c>
      <c r="M44" s="98">
        <f t="shared" ref="M44:M53" si="38">L44-K44</f>
        <v>-416031.4</v>
      </c>
      <c r="N44" s="98">
        <f t="shared" si="24"/>
        <v>70000</v>
      </c>
      <c r="O44" s="98">
        <f t="shared" si="25"/>
        <v>73278.2</v>
      </c>
      <c r="P44" s="98">
        <f t="shared" si="34"/>
        <v>3278.1999999999971</v>
      </c>
      <c r="Q44" s="98">
        <f t="shared" si="35"/>
        <v>2660000</v>
      </c>
      <c r="R44" s="98">
        <f t="shared" si="36"/>
        <v>2226843.1</v>
      </c>
      <c r="S44" s="98">
        <f t="shared" si="26"/>
        <v>-433156.89999999991</v>
      </c>
      <c r="T44" s="98">
        <v>1000000</v>
      </c>
      <c r="U44" s="98">
        <f>+Mar!$AB$37</f>
        <v>950750</v>
      </c>
      <c r="V44" s="98">
        <f t="shared" si="27"/>
        <v>-49250</v>
      </c>
      <c r="W44" s="98">
        <v>1000000</v>
      </c>
      <c r="X44" s="98">
        <f>Mar!$AC$37</f>
        <v>856888</v>
      </c>
      <c r="Y44" s="98">
        <f t="shared" si="28"/>
        <v>-143112</v>
      </c>
      <c r="Z44" s="98">
        <v>590000</v>
      </c>
      <c r="AA44" s="98">
        <f>+Mar!$AD$37</f>
        <v>524831</v>
      </c>
      <c r="AB44" s="98">
        <f t="shared" si="29"/>
        <v>-65169</v>
      </c>
      <c r="AC44" s="98">
        <f t="shared" si="37"/>
        <v>2590000</v>
      </c>
      <c r="AD44" s="98">
        <f>SUM(U44,X44,AA44)</f>
        <v>2332469</v>
      </c>
      <c r="AE44" s="98">
        <f t="shared" si="31"/>
        <v>-257531</v>
      </c>
    </row>
    <row r="45" spans="1:41" s="93" customFormat="1" ht="30" customHeight="1">
      <c r="A45" s="98" t="s">
        <v>104</v>
      </c>
      <c r="B45" s="98">
        <f t="shared" si="19"/>
        <v>530000</v>
      </c>
      <c r="C45" s="98">
        <f t="shared" si="19"/>
        <v>191594</v>
      </c>
      <c r="D45" s="98">
        <f t="shared" si="19"/>
        <v>0</v>
      </c>
      <c r="E45" s="98">
        <f t="shared" si="19"/>
        <v>0</v>
      </c>
      <c r="F45" s="98">
        <f t="shared" si="19"/>
        <v>191594</v>
      </c>
      <c r="G45" s="98">
        <f>+F45-B45</f>
        <v>-338406</v>
      </c>
      <c r="H45" s="98">
        <f t="shared" si="32"/>
        <v>760000</v>
      </c>
      <c r="I45" s="98">
        <f t="shared" si="33"/>
        <v>588203</v>
      </c>
      <c r="J45" s="98">
        <f t="shared" si="21"/>
        <v>-171797</v>
      </c>
      <c r="K45" s="98">
        <f t="shared" si="22"/>
        <v>1260000</v>
      </c>
      <c r="L45" s="98">
        <f t="shared" si="23"/>
        <v>946463</v>
      </c>
      <c r="M45" s="98">
        <f t="shared" si="38"/>
        <v>-313537</v>
      </c>
      <c r="N45" s="98">
        <f t="shared" si="24"/>
        <v>70000</v>
      </c>
      <c r="O45" s="98">
        <f t="shared" si="25"/>
        <v>76924</v>
      </c>
      <c r="P45" s="98">
        <f t="shared" si="34"/>
        <v>6924</v>
      </c>
      <c r="Q45" s="98">
        <f t="shared" si="35"/>
        <v>2620000</v>
      </c>
      <c r="R45" s="98">
        <f t="shared" si="36"/>
        <v>1803184</v>
      </c>
      <c r="S45" s="98">
        <f t="shared" si="26"/>
        <v>-816816</v>
      </c>
      <c r="T45" s="98">
        <v>970000</v>
      </c>
      <c r="U45" s="98">
        <f>+Apr!AB37</f>
        <v>714298</v>
      </c>
      <c r="V45" s="98">
        <f t="shared" si="27"/>
        <v>-255702</v>
      </c>
      <c r="W45" s="98">
        <v>970000</v>
      </c>
      <c r="X45" s="98">
        <f>+Apr!AC37</f>
        <v>685662</v>
      </c>
      <c r="Y45" s="98">
        <f t="shared" si="28"/>
        <v>-284338</v>
      </c>
      <c r="Z45" s="98">
        <v>570000</v>
      </c>
      <c r="AA45" s="98">
        <f>+Apr!AD37</f>
        <v>370483</v>
      </c>
      <c r="AB45" s="98">
        <f t="shared" si="29"/>
        <v>-199517</v>
      </c>
      <c r="AC45" s="98">
        <f t="shared" si="37"/>
        <v>2510000</v>
      </c>
      <c r="AD45" s="98">
        <f t="shared" si="30"/>
        <v>1770443</v>
      </c>
      <c r="AE45" s="98">
        <f t="shared" si="31"/>
        <v>-739557</v>
      </c>
    </row>
    <row r="46" spans="1:41" s="93" customFormat="1" ht="30" customHeight="1">
      <c r="A46" s="98" t="s">
        <v>105</v>
      </c>
      <c r="B46" s="98">
        <f t="shared" si="19"/>
        <v>570000</v>
      </c>
      <c r="C46" s="98">
        <f t="shared" si="19"/>
        <v>587828.80000000016</v>
      </c>
      <c r="D46" s="98">
        <f t="shared" si="19"/>
        <v>0</v>
      </c>
      <c r="E46" s="98">
        <f t="shared" si="19"/>
        <v>0</v>
      </c>
      <c r="F46" s="98">
        <f t="shared" si="19"/>
        <v>587828.80000000016</v>
      </c>
      <c r="G46" s="98">
        <f t="shared" si="20"/>
        <v>17828.800000000163</v>
      </c>
      <c r="H46" s="98">
        <f t="shared" si="32"/>
        <v>830000</v>
      </c>
      <c r="I46" s="98">
        <f t="shared" si="33"/>
        <v>691071.3</v>
      </c>
      <c r="J46" s="98">
        <f t="shared" si="21"/>
        <v>-138928.69999999995</v>
      </c>
      <c r="K46" s="98">
        <f t="shared" si="22"/>
        <v>1260000</v>
      </c>
      <c r="L46" s="98">
        <f t="shared" si="23"/>
        <v>1356822.4100000001</v>
      </c>
      <c r="M46" s="98">
        <f t="shared" si="38"/>
        <v>96822.410000000149</v>
      </c>
      <c r="N46" s="98">
        <f t="shared" si="24"/>
        <v>70000</v>
      </c>
      <c r="O46" s="98">
        <f t="shared" si="25"/>
        <v>92564.599999999977</v>
      </c>
      <c r="P46" s="98">
        <f t="shared" si="34"/>
        <v>22564.599999999977</v>
      </c>
      <c r="Q46" s="98">
        <f t="shared" si="35"/>
        <v>2730000</v>
      </c>
      <c r="R46" s="98">
        <f t="shared" si="36"/>
        <v>2728287.1100000003</v>
      </c>
      <c r="S46" s="98">
        <f t="shared" si="26"/>
        <v>-1712.8899999996647</v>
      </c>
      <c r="T46" s="98">
        <v>1010000</v>
      </c>
      <c r="U46" s="98">
        <f>+May!AB37</f>
        <v>1125678</v>
      </c>
      <c r="V46" s="98">
        <f t="shared" si="27"/>
        <v>115678</v>
      </c>
      <c r="W46" s="98">
        <v>1010000</v>
      </c>
      <c r="X46" s="98">
        <f>+May!AC37</f>
        <v>1077363</v>
      </c>
      <c r="Y46" s="98">
        <f t="shared" si="28"/>
        <v>67363</v>
      </c>
      <c r="Z46" s="98">
        <v>590000</v>
      </c>
      <c r="AA46" s="98">
        <f>+May!AD37</f>
        <v>591051</v>
      </c>
      <c r="AB46" s="98">
        <f t="shared" si="29"/>
        <v>1051</v>
      </c>
      <c r="AC46" s="98">
        <f t="shared" si="37"/>
        <v>2610000</v>
      </c>
      <c r="AD46" s="98">
        <f t="shared" si="30"/>
        <v>2794092</v>
      </c>
      <c r="AE46" s="98">
        <f t="shared" si="31"/>
        <v>184092</v>
      </c>
    </row>
    <row r="47" spans="1:41" s="93" customFormat="1" ht="30" customHeight="1">
      <c r="A47" s="98" t="s">
        <v>106</v>
      </c>
      <c r="B47" s="98">
        <f t="shared" si="19"/>
        <v>530000</v>
      </c>
      <c r="C47" s="98">
        <f t="shared" si="19"/>
        <v>94072.700000000012</v>
      </c>
      <c r="D47" s="98">
        <f t="shared" si="19"/>
        <v>0</v>
      </c>
      <c r="E47" s="98">
        <f t="shared" si="19"/>
        <v>0</v>
      </c>
      <c r="F47" s="98">
        <f t="shared" si="19"/>
        <v>94072.700000000012</v>
      </c>
      <c r="G47" s="98">
        <f t="shared" si="20"/>
        <v>-435927.3</v>
      </c>
      <c r="H47" s="98">
        <f t="shared" si="32"/>
        <v>770000</v>
      </c>
      <c r="I47" s="98">
        <f t="shared" si="33"/>
        <v>123364.50000000003</v>
      </c>
      <c r="J47" s="98">
        <f t="shared" si="21"/>
        <v>-646635.5</v>
      </c>
      <c r="K47" s="98">
        <f t="shared" si="22"/>
        <v>1200000</v>
      </c>
      <c r="L47" s="98">
        <f t="shared" si="23"/>
        <v>261566.5</v>
      </c>
      <c r="M47" s="98">
        <f t="shared" si="38"/>
        <v>-938433.5</v>
      </c>
      <c r="N47" s="98">
        <f t="shared" si="24"/>
        <v>70000</v>
      </c>
      <c r="O47" s="98">
        <f t="shared" si="25"/>
        <v>12045.400000000001</v>
      </c>
      <c r="P47" s="98">
        <f t="shared" si="34"/>
        <v>-57954.6</v>
      </c>
      <c r="Q47" s="98">
        <f t="shared" si="35"/>
        <v>2570000</v>
      </c>
      <c r="R47" s="98">
        <f t="shared" si="36"/>
        <v>491049.10000000009</v>
      </c>
      <c r="S47" s="98">
        <f t="shared" si="26"/>
        <v>-2078950.9</v>
      </c>
      <c r="T47" s="98">
        <v>1040000</v>
      </c>
      <c r="U47" s="98">
        <f>+Jun!AB37</f>
        <v>196388</v>
      </c>
      <c r="V47" s="98">
        <f t="shared" si="27"/>
        <v>-843612</v>
      </c>
      <c r="W47" s="98">
        <v>1040000</v>
      </c>
      <c r="X47" s="98">
        <f>+Jun!AC37</f>
        <v>179185</v>
      </c>
      <c r="Y47" s="98">
        <f t="shared" si="28"/>
        <v>-860815</v>
      </c>
      <c r="Z47" s="98">
        <v>590000</v>
      </c>
      <c r="AA47" s="98">
        <f>+Jun!AD37</f>
        <v>110845</v>
      </c>
      <c r="AB47" s="98">
        <f t="shared" si="29"/>
        <v>-479155</v>
      </c>
      <c r="AC47" s="98">
        <f t="shared" si="37"/>
        <v>2670000</v>
      </c>
      <c r="AD47" s="98">
        <f t="shared" si="30"/>
        <v>486418</v>
      </c>
      <c r="AE47" s="98">
        <f t="shared" si="31"/>
        <v>-2183582</v>
      </c>
    </row>
    <row r="48" spans="1:41" s="93" customFormat="1" ht="30" customHeight="1">
      <c r="A48" s="98" t="s">
        <v>107</v>
      </c>
      <c r="B48" s="98">
        <f t="shared" si="19"/>
        <v>540000</v>
      </c>
      <c r="C48" s="98">
        <f t="shared" si="19"/>
        <v>0</v>
      </c>
      <c r="D48" s="98">
        <f t="shared" si="19"/>
        <v>0</v>
      </c>
      <c r="E48" s="98">
        <f t="shared" si="19"/>
        <v>0</v>
      </c>
      <c r="F48" s="98">
        <f t="shared" si="19"/>
        <v>0</v>
      </c>
      <c r="G48" s="98">
        <f t="shared" si="20"/>
        <v>-540000</v>
      </c>
      <c r="H48" s="98">
        <f t="shared" si="32"/>
        <v>780000</v>
      </c>
      <c r="I48" s="98">
        <f t="shared" si="33"/>
        <v>0</v>
      </c>
      <c r="J48" s="98">
        <f t="shared" si="21"/>
        <v>-780000</v>
      </c>
      <c r="K48" s="98">
        <f t="shared" si="22"/>
        <v>1130000</v>
      </c>
      <c r="L48" s="98">
        <f t="shared" si="23"/>
        <v>0</v>
      </c>
      <c r="M48" s="98">
        <f t="shared" si="38"/>
        <v>-1130000</v>
      </c>
      <c r="N48" s="98">
        <f t="shared" si="24"/>
        <v>70000</v>
      </c>
      <c r="O48" s="98">
        <f t="shared" si="25"/>
        <v>0</v>
      </c>
      <c r="P48" s="98">
        <f t="shared" si="34"/>
        <v>-70000</v>
      </c>
      <c r="Q48" s="98">
        <f t="shared" si="35"/>
        <v>2520000</v>
      </c>
      <c r="R48" s="98">
        <f t="shared" si="36"/>
        <v>0</v>
      </c>
      <c r="S48" s="98">
        <f t="shared" si="26"/>
        <v>-2520000</v>
      </c>
      <c r="T48" s="98">
        <v>1000000</v>
      </c>
      <c r="U48" s="98">
        <f>+Jul!AB37</f>
        <v>0</v>
      </c>
      <c r="V48" s="98">
        <f t="shared" si="27"/>
        <v>-1000000</v>
      </c>
      <c r="W48" s="98">
        <v>1000000</v>
      </c>
      <c r="X48" s="98">
        <f>+Jul!AC37</f>
        <v>0</v>
      </c>
      <c r="Y48" s="98">
        <f t="shared" si="28"/>
        <v>-1000000</v>
      </c>
      <c r="Z48" s="98">
        <v>585000</v>
      </c>
      <c r="AA48" s="98">
        <f>+Jul!AD37</f>
        <v>0</v>
      </c>
      <c r="AB48" s="98">
        <f t="shared" si="29"/>
        <v>-585000</v>
      </c>
      <c r="AC48" s="98">
        <f t="shared" si="37"/>
        <v>2585000</v>
      </c>
      <c r="AD48" s="98">
        <f t="shared" si="30"/>
        <v>0</v>
      </c>
      <c r="AE48" s="98">
        <f t="shared" si="31"/>
        <v>-2585000</v>
      </c>
    </row>
    <row r="49" spans="1:31" s="93" customFormat="1" ht="30" customHeight="1">
      <c r="A49" s="98" t="s">
        <v>109</v>
      </c>
      <c r="B49" s="98">
        <f t="shared" si="19"/>
        <v>560000</v>
      </c>
      <c r="C49" s="98">
        <f t="shared" si="19"/>
        <v>0</v>
      </c>
      <c r="D49" s="98">
        <f t="shared" si="19"/>
        <v>0</v>
      </c>
      <c r="E49" s="98">
        <f t="shared" si="19"/>
        <v>0</v>
      </c>
      <c r="F49" s="98">
        <f t="shared" si="19"/>
        <v>0</v>
      </c>
      <c r="G49" s="98">
        <f t="shared" si="20"/>
        <v>-560000</v>
      </c>
      <c r="H49" s="98">
        <f t="shared" si="32"/>
        <v>810000</v>
      </c>
      <c r="I49" s="98">
        <f t="shared" si="33"/>
        <v>0</v>
      </c>
      <c r="J49" s="98">
        <f t="shared" si="21"/>
        <v>-810000</v>
      </c>
      <c r="K49" s="98">
        <f t="shared" si="22"/>
        <v>1160000</v>
      </c>
      <c r="L49" s="98">
        <f t="shared" si="23"/>
        <v>0</v>
      </c>
      <c r="M49" s="98">
        <f t="shared" si="38"/>
        <v>-1160000</v>
      </c>
      <c r="N49" s="98">
        <f t="shared" si="24"/>
        <v>70000</v>
      </c>
      <c r="O49" s="98">
        <f t="shared" si="25"/>
        <v>0</v>
      </c>
      <c r="P49" s="98">
        <f t="shared" si="34"/>
        <v>-70000</v>
      </c>
      <c r="Q49" s="98">
        <f t="shared" si="35"/>
        <v>2600000</v>
      </c>
      <c r="R49" s="98">
        <f t="shared" si="36"/>
        <v>0</v>
      </c>
      <c r="S49" s="98">
        <f t="shared" si="26"/>
        <v>-2600000</v>
      </c>
      <c r="T49" s="98">
        <v>990000</v>
      </c>
      <c r="U49" s="98">
        <f>+Aug!AB37</f>
        <v>0</v>
      </c>
      <c r="V49" s="98">
        <f t="shared" si="27"/>
        <v>-990000</v>
      </c>
      <c r="W49" s="98">
        <v>990000</v>
      </c>
      <c r="X49" s="98">
        <f>+Aug!AC37</f>
        <v>0</v>
      </c>
      <c r="Y49" s="98">
        <f t="shared" si="28"/>
        <v>-990000</v>
      </c>
      <c r="Z49" s="98">
        <v>585000</v>
      </c>
      <c r="AA49" s="98">
        <f>+Aug!AD37</f>
        <v>0</v>
      </c>
      <c r="AB49" s="98">
        <f t="shared" si="29"/>
        <v>-585000</v>
      </c>
      <c r="AC49" s="98">
        <f t="shared" si="37"/>
        <v>2565000</v>
      </c>
      <c r="AD49" s="98">
        <f t="shared" si="30"/>
        <v>0</v>
      </c>
      <c r="AE49" s="98">
        <f t="shared" si="31"/>
        <v>-2565000</v>
      </c>
    </row>
    <row r="50" spans="1:31" s="93" customFormat="1" ht="30" customHeight="1">
      <c r="A50" s="98" t="s">
        <v>110</v>
      </c>
      <c r="B50" s="98">
        <f t="shared" si="19"/>
        <v>580000</v>
      </c>
      <c r="C50" s="98">
        <f t="shared" si="19"/>
        <v>0</v>
      </c>
      <c r="D50" s="98">
        <f t="shared" si="19"/>
        <v>0</v>
      </c>
      <c r="E50" s="98">
        <f t="shared" si="19"/>
        <v>0</v>
      </c>
      <c r="F50" s="98">
        <f t="shared" si="19"/>
        <v>0</v>
      </c>
      <c r="G50" s="98">
        <f t="shared" si="20"/>
        <v>-580000</v>
      </c>
      <c r="H50" s="98">
        <f t="shared" si="32"/>
        <v>850000</v>
      </c>
      <c r="I50" s="98">
        <f t="shared" si="33"/>
        <v>0</v>
      </c>
      <c r="J50" s="98">
        <f t="shared" si="21"/>
        <v>-850000</v>
      </c>
      <c r="K50" s="98">
        <f t="shared" si="22"/>
        <v>1200000</v>
      </c>
      <c r="L50" s="98">
        <f t="shared" si="23"/>
        <v>0</v>
      </c>
      <c r="M50" s="98">
        <f t="shared" si="38"/>
        <v>-1200000</v>
      </c>
      <c r="N50" s="98">
        <f t="shared" si="24"/>
        <v>80000</v>
      </c>
      <c r="O50" s="98">
        <f t="shared" si="25"/>
        <v>0</v>
      </c>
      <c r="P50" s="98">
        <f t="shared" si="34"/>
        <v>-80000</v>
      </c>
      <c r="Q50" s="98">
        <f t="shared" si="35"/>
        <v>2710000</v>
      </c>
      <c r="R50" s="98">
        <f t="shared" si="36"/>
        <v>0</v>
      </c>
      <c r="S50" s="98">
        <f t="shared" si="26"/>
        <v>-2710000</v>
      </c>
      <c r="T50" s="98">
        <v>1010000</v>
      </c>
      <c r="U50" s="98">
        <f>+Sep!AB37</f>
        <v>0</v>
      </c>
      <c r="V50" s="98">
        <f t="shared" si="27"/>
        <v>-1010000</v>
      </c>
      <c r="W50" s="98">
        <v>1010000</v>
      </c>
      <c r="X50" s="98">
        <f>+Sep!AC37</f>
        <v>0</v>
      </c>
      <c r="Y50" s="98">
        <f t="shared" si="28"/>
        <v>-1010000</v>
      </c>
      <c r="Z50" s="98">
        <v>590000</v>
      </c>
      <c r="AA50" s="98">
        <f>+Sep!AD37</f>
        <v>0</v>
      </c>
      <c r="AB50" s="98">
        <f t="shared" si="29"/>
        <v>-590000</v>
      </c>
      <c r="AC50" s="98">
        <f t="shared" si="37"/>
        <v>2610000</v>
      </c>
      <c r="AD50" s="98">
        <f t="shared" si="30"/>
        <v>0</v>
      </c>
      <c r="AE50" s="98">
        <f t="shared" si="31"/>
        <v>-2610000</v>
      </c>
    </row>
    <row r="51" spans="1:31" s="93" customFormat="1" ht="30" customHeight="1">
      <c r="A51" s="98" t="s">
        <v>111</v>
      </c>
      <c r="B51" s="98">
        <f t="shared" si="19"/>
        <v>560000</v>
      </c>
      <c r="C51" s="98">
        <f t="shared" si="19"/>
        <v>0</v>
      </c>
      <c r="D51" s="98">
        <f t="shared" si="19"/>
        <v>0</v>
      </c>
      <c r="E51" s="98">
        <f t="shared" si="19"/>
        <v>0</v>
      </c>
      <c r="F51" s="98">
        <f t="shared" si="19"/>
        <v>0</v>
      </c>
      <c r="G51" s="98">
        <f t="shared" si="20"/>
        <v>-560000</v>
      </c>
      <c r="H51" s="98">
        <f t="shared" si="32"/>
        <v>840000</v>
      </c>
      <c r="I51" s="98">
        <f t="shared" si="33"/>
        <v>0</v>
      </c>
      <c r="J51" s="98">
        <f t="shared" si="21"/>
        <v>-840000</v>
      </c>
      <c r="K51" s="98">
        <f t="shared" si="22"/>
        <v>1170000</v>
      </c>
      <c r="L51" s="98">
        <f t="shared" si="23"/>
        <v>0</v>
      </c>
      <c r="M51" s="98">
        <f t="shared" si="38"/>
        <v>-1170000</v>
      </c>
      <c r="N51" s="98">
        <f t="shared" si="24"/>
        <v>70000</v>
      </c>
      <c r="O51" s="98">
        <f t="shared" si="25"/>
        <v>0</v>
      </c>
      <c r="P51" s="98">
        <f t="shared" si="34"/>
        <v>-70000</v>
      </c>
      <c r="Q51" s="98">
        <f t="shared" si="35"/>
        <v>2640000</v>
      </c>
      <c r="R51" s="98">
        <f t="shared" si="36"/>
        <v>0</v>
      </c>
      <c r="S51" s="98">
        <f t="shared" si="26"/>
        <v>-2640000</v>
      </c>
      <c r="T51" s="98">
        <v>1030000</v>
      </c>
      <c r="U51" s="98">
        <f>+Oct!AB37</f>
        <v>0</v>
      </c>
      <c r="V51" s="98">
        <f t="shared" si="27"/>
        <v>-1030000</v>
      </c>
      <c r="W51" s="98">
        <v>1030000</v>
      </c>
      <c r="X51" s="98">
        <f>+Oct!AC37</f>
        <v>0</v>
      </c>
      <c r="Y51" s="98">
        <f t="shared" si="28"/>
        <v>-1030000</v>
      </c>
      <c r="Z51" s="98">
        <v>600000</v>
      </c>
      <c r="AA51" s="98">
        <f>+Oct!AD37</f>
        <v>0</v>
      </c>
      <c r="AB51" s="98">
        <f t="shared" si="29"/>
        <v>-600000</v>
      </c>
      <c r="AC51" s="98">
        <f t="shared" si="37"/>
        <v>2660000</v>
      </c>
      <c r="AD51" s="98">
        <f t="shared" si="30"/>
        <v>0</v>
      </c>
      <c r="AE51" s="98">
        <f t="shared" si="31"/>
        <v>-2660000</v>
      </c>
    </row>
    <row r="52" spans="1:31" s="93" customFormat="1" ht="30" customHeight="1">
      <c r="A52" s="98" t="s">
        <v>112</v>
      </c>
      <c r="B52" s="98">
        <f t="shared" si="19"/>
        <v>540000</v>
      </c>
      <c r="C52" s="98">
        <f t="shared" si="19"/>
        <v>0</v>
      </c>
      <c r="D52" s="98">
        <f t="shared" si="19"/>
        <v>0</v>
      </c>
      <c r="E52" s="98">
        <f t="shared" si="19"/>
        <v>0</v>
      </c>
      <c r="F52" s="98">
        <f t="shared" si="19"/>
        <v>0</v>
      </c>
      <c r="G52" s="98">
        <f t="shared" si="20"/>
        <v>-540000</v>
      </c>
      <c r="H52" s="98">
        <f t="shared" si="32"/>
        <v>770000</v>
      </c>
      <c r="I52" s="98">
        <f t="shared" si="33"/>
        <v>0</v>
      </c>
      <c r="J52" s="98">
        <f t="shared" si="21"/>
        <v>-770000</v>
      </c>
      <c r="K52" s="98">
        <f t="shared" si="22"/>
        <v>1080000</v>
      </c>
      <c r="L52" s="98">
        <f t="shared" si="23"/>
        <v>0</v>
      </c>
      <c r="M52" s="98">
        <f t="shared" si="38"/>
        <v>-1080000</v>
      </c>
      <c r="N52" s="98">
        <f t="shared" si="24"/>
        <v>70000</v>
      </c>
      <c r="O52" s="98">
        <f t="shared" si="25"/>
        <v>0</v>
      </c>
      <c r="P52" s="98">
        <f t="shared" si="34"/>
        <v>-70000</v>
      </c>
      <c r="Q52" s="98">
        <f t="shared" si="35"/>
        <v>2460000</v>
      </c>
      <c r="R52" s="98">
        <f t="shared" si="36"/>
        <v>0</v>
      </c>
      <c r="S52" s="98">
        <f t="shared" si="26"/>
        <v>-2460000</v>
      </c>
      <c r="T52" s="98">
        <v>1010000</v>
      </c>
      <c r="U52" s="98">
        <f>+Nov!AB37</f>
        <v>0</v>
      </c>
      <c r="V52" s="98">
        <f t="shared" si="27"/>
        <v>-1010000</v>
      </c>
      <c r="W52" s="98">
        <v>1010000</v>
      </c>
      <c r="X52" s="98">
        <f>+Nov!AC37</f>
        <v>0</v>
      </c>
      <c r="Y52" s="98">
        <f t="shared" si="28"/>
        <v>-1010000</v>
      </c>
      <c r="Z52" s="98">
        <v>590000</v>
      </c>
      <c r="AA52" s="98">
        <f>+Nov!AD37</f>
        <v>0</v>
      </c>
      <c r="AB52" s="98">
        <f t="shared" si="29"/>
        <v>-590000</v>
      </c>
      <c r="AC52" s="98">
        <f t="shared" si="37"/>
        <v>2610000</v>
      </c>
      <c r="AD52" s="98">
        <f>SUM(U52,X52,AA52)</f>
        <v>0</v>
      </c>
      <c r="AE52" s="98">
        <f t="shared" si="31"/>
        <v>-2610000</v>
      </c>
    </row>
    <row r="53" spans="1:31" s="93" customFormat="1" ht="30" customHeight="1">
      <c r="A53" s="100" t="s">
        <v>113</v>
      </c>
      <c r="B53" s="102">
        <f t="shared" si="19"/>
        <v>540000</v>
      </c>
      <c r="C53" s="102">
        <f t="shared" si="19"/>
        <v>0</v>
      </c>
      <c r="D53" s="102">
        <f t="shared" si="19"/>
        <v>0</v>
      </c>
      <c r="E53" s="102">
        <f t="shared" si="19"/>
        <v>0</v>
      </c>
      <c r="F53" s="102">
        <f t="shared" si="19"/>
        <v>0</v>
      </c>
      <c r="G53" s="102">
        <f t="shared" si="20"/>
        <v>-540000</v>
      </c>
      <c r="H53" s="98">
        <f t="shared" si="32"/>
        <v>760000</v>
      </c>
      <c r="I53" s="98">
        <f t="shared" si="33"/>
        <v>0</v>
      </c>
      <c r="J53" s="102">
        <f t="shared" si="21"/>
        <v>-760000</v>
      </c>
      <c r="K53" s="102">
        <f t="shared" si="22"/>
        <v>1120000</v>
      </c>
      <c r="L53" s="102">
        <f t="shared" si="23"/>
        <v>0</v>
      </c>
      <c r="M53" s="102">
        <f t="shared" si="38"/>
        <v>-1120000</v>
      </c>
      <c r="N53" s="102">
        <f t="shared" si="24"/>
        <v>70000</v>
      </c>
      <c r="O53" s="102">
        <f t="shared" si="25"/>
        <v>0</v>
      </c>
      <c r="P53" s="102">
        <f t="shared" si="34"/>
        <v>-70000</v>
      </c>
      <c r="Q53" s="102">
        <f t="shared" si="35"/>
        <v>2490000</v>
      </c>
      <c r="R53" s="102">
        <f t="shared" si="36"/>
        <v>0</v>
      </c>
      <c r="S53" s="102">
        <f t="shared" si="26"/>
        <v>-2490000</v>
      </c>
      <c r="T53" s="102">
        <v>990000</v>
      </c>
      <c r="U53" s="102">
        <f>+Dec!AB37</f>
        <v>0</v>
      </c>
      <c r="V53" s="102">
        <f t="shared" si="27"/>
        <v>-990000</v>
      </c>
      <c r="W53" s="102">
        <v>990000</v>
      </c>
      <c r="X53" s="102">
        <f>+Dec!AC37</f>
        <v>0</v>
      </c>
      <c r="Y53" s="102">
        <f t="shared" si="28"/>
        <v>-990000</v>
      </c>
      <c r="Z53" s="102">
        <v>590000</v>
      </c>
      <c r="AA53" s="102">
        <f>+Dec!AD37</f>
        <v>0</v>
      </c>
      <c r="AB53" s="102">
        <f t="shared" si="29"/>
        <v>-590000</v>
      </c>
      <c r="AC53" s="102">
        <f t="shared" si="37"/>
        <v>2570000</v>
      </c>
      <c r="AD53" s="102">
        <f t="shared" si="30"/>
        <v>0</v>
      </c>
      <c r="AE53" s="102">
        <f t="shared" si="31"/>
        <v>-2570000</v>
      </c>
    </row>
    <row r="54" spans="1:31" s="93" customFormat="1" ht="30" customHeight="1">
      <c r="A54" s="95" t="s">
        <v>38</v>
      </c>
      <c r="B54" s="95">
        <f t="shared" ref="B54:G54" si="39">SUM(B42:B53)</f>
        <v>6440000</v>
      </c>
      <c r="C54" s="95">
        <f t="shared" si="39"/>
        <v>2791870.3000000003</v>
      </c>
      <c r="D54" s="95">
        <f t="shared" si="39"/>
        <v>0</v>
      </c>
      <c r="E54" s="95">
        <f t="shared" si="39"/>
        <v>0</v>
      </c>
      <c r="F54" s="95">
        <f t="shared" si="39"/>
        <v>2791870.3000000003</v>
      </c>
      <c r="G54" s="95">
        <f t="shared" si="39"/>
        <v>-3648129.6999999997</v>
      </c>
      <c r="H54" s="95">
        <f>SUM(H42:H53)</f>
        <v>9330000</v>
      </c>
      <c r="I54" s="95">
        <f>SUM(I42:I53)</f>
        <v>3200677.3</v>
      </c>
      <c r="J54" s="95">
        <f>+I54-H54</f>
        <v>-6129322.7000000002</v>
      </c>
      <c r="K54" s="95">
        <f>SUM(K42:K53)</f>
        <v>14390000</v>
      </c>
      <c r="L54" s="95">
        <f>SUM(L42:L53)</f>
        <v>5533722.5099999998</v>
      </c>
      <c r="M54" s="95">
        <f>+L54-K54</f>
        <v>-8856277.4900000002</v>
      </c>
      <c r="N54" s="95">
        <f>SUM(N42:N53)</f>
        <v>840000</v>
      </c>
      <c r="O54" s="95">
        <f>SUM(O42:O53)</f>
        <v>415715.2</v>
      </c>
      <c r="P54" s="95">
        <f>+O54-N54</f>
        <v>-424284.8</v>
      </c>
      <c r="Q54" s="95">
        <f>SUM(Q42:Q53)</f>
        <v>31000000</v>
      </c>
      <c r="R54" s="95">
        <f>SUM(R42:R53)</f>
        <v>11941985.310000001</v>
      </c>
      <c r="S54" s="95">
        <f>+R54-Q54</f>
        <v>-19058014.689999998</v>
      </c>
      <c r="T54" s="95">
        <f>SUM(T42:T53)</f>
        <v>12000000</v>
      </c>
      <c r="U54" s="95">
        <f>SUM(U42:U53)</f>
        <v>5061712</v>
      </c>
      <c r="V54" s="95">
        <f>+U54-T54</f>
        <v>-6938288</v>
      </c>
      <c r="W54" s="95">
        <f>SUM(W42:W53)</f>
        <v>12000000</v>
      </c>
      <c r="X54" s="95">
        <f>SUM(X42:X53)</f>
        <v>4781513</v>
      </c>
      <c r="Y54" s="95">
        <f>+X54-W54</f>
        <v>-7218487</v>
      </c>
      <c r="Z54" s="95">
        <f>SUM(Z42:Z53)</f>
        <v>7000000</v>
      </c>
      <c r="AA54" s="95">
        <f>SUM(AA42:AA53)</f>
        <v>2684813</v>
      </c>
      <c r="AB54" s="95">
        <f>+AA54-Z54</f>
        <v>-4315187</v>
      </c>
      <c r="AC54" s="95">
        <f>SUM(AC42:AC53)</f>
        <v>31000000</v>
      </c>
      <c r="AD54" s="95">
        <f>SUM(AD42:AD53)</f>
        <v>12528038</v>
      </c>
      <c r="AE54" s="95">
        <f>+AD54-AC54</f>
        <v>-18471962</v>
      </c>
    </row>
    <row r="55" spans="1:31" s="93" customFormat="1" ht="30" customHeight="1"/>
    <row r="56" spans="1:31" s="93" customFormat="1" ht="30" customHeight="1">
      <c r="A56" s="263" t="s">
        <v>168</v>
      </c>
      <c r="C56" s="264" t="s">
        <v>70</v>
      </c>
      <c r="O56" s="94"/>
    </row>
    <row r="57" spans="1:31" s="93" customFormat="1" ht="30" customHeight="1">
      <c r="A57" s="95" t="s">
        <v>154</v>
      </c>
      <c r="B57" s="95" t="str">
        <f>B7</f>
        <v>B/Plan</v>
      </c>
      <c r="C57" s="95" t="s">
        <v>100</v>
      </c>
      <c r="D57" s="95" t="s">
        <v>101</v>
      </c>
      <c r="E57" s="95" t="s">
        <v>103</v>
      </c>
      <c r="F57" s="95" t="s">
        <v>104</v>
      </c>
      <c r="G57" s="95" t="s">
        <v>105</v>
      </c>
      <c r="H57" s="95" t="s">
        <v>106</v>
      </c>
      <c r="I57" s="95" t="s">
        <v>107</v>
      </c>
      <c r="J57" s="95" t="s">
        <v>109</v>
      </c>
      <c r="K57" s="95" t="s">
        <v>110</v>
      </c>
      <c r="L57" s="95" t="s">
        <v>111</v>
      </c>
      <c r="M57" s="95" t="s">
        <v>112</v>
      </c>
      <c r="N57" s="95" t="s">
        <v>113</v>
      </c>
      <c r="O57" s="95" t="s">
        <v>62</v>
      </c>
    </row>
    <row r="58" spans="1:31" s="93" customFormat="1" ht="30" customHeight="1">
      <c r="A58" s="98" t="s">
        <v>51</v>
      </c>
      <c r="B58" s="98">
        <f>+H54</f>
        <v>9330000</v>
      </c>
      <c r="C58" s="98">
        <f>+$I$42</f>
        <v>573921</v>
      </c>
      <c r="D58" s="98">
        <f>+$I$43</f>
        <v>621771</v>
      </c>
      <c r="E58" s="98">
        <f>+$I$44</f>
        <v>602346.5</v>
      </c>
      <c r="F58" s="98">
        <f>+$I$45</f>
        <v>588203</v>
      </c>
      <c r="G58" s="98">
        <f>+$I$46</f>
        <v>691071.3</v>
      </c>
      <c r="H58" s="98">
        <f>+$I$47</f>
        <v>123364.50000000003</v>
      </c>
      <c r="I58" s="98">
        <f>+$I$48</f>
        <v>0</v>
      </c>
      <c r="J58" s="98">
        <f>+$I$49</f>
        <v>0</v>
      </c>
      <c r="K58" s="98">
        <f>+$I$50</f>
        <v>0</v>
      </c>
      <c r="L58" s="98">
        <f>+$I$51</f>
        <v>0</v>
      </c>
      <c r="M58" s="98">
        <f>+$I$52</f>
        <v>0</v>
      </c>
      <c r="N58" s="98">
        <f>+$I$53</f>
        <v>0</v>
      </c>
      <c r="O58" s="98">
        <f t="shared" ref="O58:O62" si="40">SUM(C58:N58)</f>
        <v>3200677.3</v>
      </c>
    </row>
    <row r="59" spans="1:31" s="93" customFormat="1" ht="30" customHeight="1">
      <c r="A59" s="100" t="s">
        <v>50</v>
      </c>
      <c r="B59" s="100">
        <f>+K54</f>
        <v>14390000</v>
      </c>
      <c r="C59" s="100">
        <f>+$L$42</f>
        <v>1107848</v>
      </c>
      <c r="D59" s="100">
        <f>+$L$43</f>
        <v>967054</v>
      </c>
      <c r="E59" s="100">
        <f>+$L$44</f>
        <v>893968.6</v>
      </c>
      <c r="F59" s="100">
        <f>+$L$45</f>
        <v>946463</v>
      </c>
      <c r="G59" s="100">
        <f>+$L$46</f>
        <v>1356822.4100000001</v>
      </c>
      <c r="H59" s="100">
        <f>+$L$47</f>
        <v>261566.5</v>
      </c>
      <c r="I59" s="100">
        <f>+$L$48</f>
        <v>0</v>
      </c>
      <c r="J59" s="100">
        <f>+$L$49</f>
        <v>0</v>
      </c>
      <c r="K59" s="100">
        <f>+$L$50</f>
        <v>0</v>
      </c>
      <c r="L59" s="100">
        <f>+$L$51</f>
        <v>0</v>
      </c>
      <c r="M59" s="100">
        <f>+$L$52</f>
        <v>0</v>
      </c>
      <c r="N59" s="100">
        <f>+$L$53</f>
        <v>0</v>
      </c>
      <c r="O59" s="100">
        <f t="shared" si="40"/>
        <v>5533722.5099999998</v>
      </c>
    </row>
    <row r="60" spans="1:31" s="93" customFormat="1" ht="30" customHeight="1">
      <c r="A60" s="98" t="s">
        <v>120</v>
      </c>
      <c r="B60" s="98">
        <f>+B54</f>
        <v>6440000</v>
      </c>
      <c r="C60" s="98">
        <f>+$F$42</f>
        <v>647737</v>
      </c>
      <c r="D60" s="98">
        <f>+$F$43</f>
        <v>613388</v>
      </c>
      <c r="E60" s="98">
        <f>+$F$44</f>
        <v>657249.80000000005</v>
      </c>
      <c r="F60" s="98">
        <f>+$F$45</f>
        <v>191594</v>
      </c>
      <c r="G60" s="98">
        <f>+$F$46</f>
        <v>587828.80000000016</v>
      </c>
      <c r="H60" s="98">
        <f>+$F$47</f>
        <v>94072.700000000012</v>
      </c>
      <c r="I60" s="98">
        <f>+$F$48</f>
        <v>0</v>
      </c>
      <c r="J60" s="98">
        <f>+$F$49</f>
        <v>0</v>
      </c>
      <c r="K60" s="98">
        <f>+$F$50</f>
        <v>0</v>
      </c>
      <c r="L60" s="98">
        <f>+$F$51</f>
        <v>0</v>
      </c>
      <c r="M60" s="98">
        <f>+$F$52</f>
        <v>0</v>
      </c>
      <c r="N60" s="98">
        <f>+$F$53</f>
        <v>0</v>
      </c>
      <c r="O60" s="98">
        <f t="shared" si="40"/>
        <v>2791870.3000000003</v>
      </c>
    </row>
    <row r="61" spans="1:31" s="93" customFormat="1" ht="30" customHeight="1">
      <c r="A61" s="102" t="s">
        <v>55</v>
      </c>
      <c r="B61" s="100">
        <f>+N54</f>
        <v>840000</v>
      </c>
      <c r="C61" s="100">
        <f>+$O$42</f>
        <v>73819</v>
      </c>
      <c r="D61" s="100">
        <f>+$O$43</f>
        <v>87084</v>
      </c>
      <c r="E61" s="100">
        <f>+$O$44</f>
        <v>73278.2</v>
      </c>
      <c r="F61" s="100">
        <f>+$O$45</f>
        <v>76924</v>
      </c>
      <c r="G61" s="100">
        <f>+$O$46</f>
        <v>92564.599999999977</v>
      </c>
      <c r="H61" s="100">
        <f>+$O$47</f>
        <v>12045.400000000001</v>
      </c>
      <c r="I61" s="100">
        <f>+$O$48</f>
        <v>0</v>
      </c>
      <c r="J61" s="100">
        <f>+$O$49</f>
        <v>0</v>
      </c>
      <c r="K61" s="100">
        <f>+$O$50</f>
        <v>0</v>
      </c>
      <c r="L61" s="100">
        <f>+$O$51</f>
        <v>0</v>
      </c>
      <c r="M61" s="100">
        <f>+$O$52</f>
        <v>0</v>
      </c>
      <c r="N61" s="100">
        <f>+$O$53</f>
        <v>0</v>
      </c>
      <c r="O61" s="100">
        <f t="shared" si="40"/>
        <v>415715.2</v>
      </c>
    </row>
    <row r="62" spans="1:31" s="93" customFormat="1" ht="30" customHeight="1">
      <c r="A62" s="95" t="s">
        <v>62</v>
      </c>
      <c r="B62" s="95">
        <f t="shared" ref="B62:N62" si="41">SUM(B58:B61)</f>
        <v>31000000</v>
      </c>
      <c r="C62" s="95">
        <f t="shared" si="41"/>
        <v>2403325</v>
      </c>
      <c r="D62" s="95">
        <f t="shared" si="41"/>
        <v>2289297</v>
      </c>
      <c r="E62" s="95">
        <f t="shared" si="41"/>
        <v>2226843.1000000006</v>
      </c>
      <c r="F62" s="95">
        <f t="shared" si="41"/>
        <v>1803184</v>
      </c>
      <c r="G62" s="95">
        <f t="shared" si="41"/>
        <v>2728287.1100000003</v>
      </c>
      <c r="H62" s="95">
        <f t="shared" si="41"/>
        <v>491049.10000000003</v>
      </c>
      <c r="I62" s="95">
        <f t="shared" si="41"/>
        <v>0</v>
      </c>
      <c r="J62" s="95">
        <f t="shared" si="41"/>
        <v>0</v>
      </c>
      <c r="K62" s="95">
        <f t="shared" si="41"/>
        <v>0</v>
      </c>
      <c r="L62" s="95">
        <f t="shared" si="41"/>
        <v>0</v>
      </c>
      <c r="M62" s="95">
        <f t="shared" si="41"/>
        <v>0</v>
      </c>
      <c r="N62" s="95">
        <f t="shared" si="41"/>
        <v>0</v>
      </c>
      <c r="O62" s="95">
        <f t="shared" si="40"/>
        <v>11941985.310000001</v>
      </c>
    </row>
    <row r="63" spans="1:31" s="93" customFormat="1" ht="30" customHeight="1">
      <c r="A63" s="263" t="s">
        <v>168</v>
      </c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</row>
    <row r="64" spans="1:31" s="93" customFormat="1" ht="30" customHeight="1">
      <c r="A64" s="95" t="s">
        <v>154</v>
      </c>
      <c r="B64" s="95" t="str">
        <f>B57</f>
        <v>B/Plan</v>
      </c>
      <c r="C64" s="95" t="s">
        <v>100</v>
      </c>
      <c r="D64" s="95" t="s">
        <v>101</v>
      </c>
      <c r="E64" s="95" t="s">
        <v>103</v>
      </c>
      <c r="F64" s="95" t="s">
        <v>104</v>
      </c>
      <c r="G64" s="95" t="s">
        <v>105</v>
      </c>
      <c r="H64" s="95" t="s">
        <v>106</v>
      </c>
      <c r="I64" s="95" t="s">
        <v>107</v>
      </c>
      <c r="J64" s="95" t="s">
        <v>109</v>
      </c>
      <c r="K64" s="95" t="s">
        <v>110</v>
      </c>
      <c r="L64" s="95" t="s">
        <v>111</v>
      </c>
      <c r="M64" s="95" t="s">
        <v>112</v>
      </c>
      <c r="N64" s="95" t="s">
        <v>113</v>
      </c>
      <c r="O64" s="95" t="s">
        <v>62</v>
      </c>
    </row>
    <row r="65" spans="1:49" s="93" customFormat="1" ht="30" customHeight="1">
      <c r="A65" s="98" t="s">
        <v>136</v>
      </c>
      <c r="B65" s="98">
        <f>T54</f>
        <v>12000000</v>
      </c>
      <c r="C65" s="97">
        <f>U42</f>
        <v>1064187</v>
      </c>
      <c r="D65" s="98">
        <f>U43</f>
        <v>1010411</v>
      </c>
      <c r="E65" s="98">
        <f>U44</f>
        <v>950750</v>
      </c>
      <c r="F65" s="98">
        <f>U45</f>
        <v>714298</v>
      </c>
      <c r="G65" s="98">
        <f>U46</f>
        <v>1125678</v>
      </c>
      <c r="H65" s="98">
        <f>U47</f>
        <v>196388</v>
      </c>
      <c r="I65" s="98">
        <f>U48</f>
        <v>0</v>
      </c>
      <c r="J65" s="98">
        <f>U49</f>
        <v>0</v>
      </c>
      <c r="K65" s="98">
        <f>U50</f>
        <v>0</v>
      </c>
      <c r="L65" s="98">
        <f>U51</f>
        <v>0</v>
      </c>
      <c r="M65" s="98">
        <f>U52</f>
        <v>0</v>
      </c>
      <c r="N65" s="100">
        <f>U53</f>
        <v>0</v>
      </c>
      <c r="O65" s="98">
        <f>SUM(C65:N65)</f>
        <v>5061712</v>
      </c>
    </row>
    <row r="66" spans="1:49" s="93" customFormat="1" ht="30" customHeight="1">
      <c r="A66" s="100" t="s">
        <v>137</v>
      </c>
      <c r="B66" s="100">
        <f>W54</f>
        <v>12000000</v>
      </c>
      <c r="C66" s="100">
        <f>X42</f>
        <v>1041182</v>
      </c>
      <c r="D66" s="100">
        <f>X43</f>
        <v>941233</v>
      </c>
      <c r="E66" s="100">
        <f>X44</f>
        <v>856888</v>
      </c>
      <c r="F66" s="100">
        <f>X45</f>
        <v>685662</v>
      </c>
      <c r="G66" s="100">
        <f>X46</f>
        <v>1077363</v>
      </c>
      <c r="H66" s="100">
        <f>X47</f>
        <v>179185</v>
      </c>
      <c r="I66" s="100">
        <f>X48</f>
        <v>0</v>
      </c>
      <c r="J66" s="100">
        <f>X49</f>
        <v>0</v>
      </c>
      <c r="K66" s="100">
        <f>X50</f>
        <v>0</v>
      </c>
      <c r="L66" s="100">
        <f>X51</f>
        <v>0</v>
      </c>
      <c r="M66" s="100">
        <f>X52</f>
        <v>0</v>
      </c>
      <c r="N66" s="100">
        <f>X53</f>
        <v>0</v>
      </c>
      <c r="O66" s="100">
        <f>SUM(C66:N66)</f>
        <v>4781513</v>
      </c>
    </row>
    <row r="67" spans="1:49" s="93" customFormat="1" ht="30" customHeight="1">
      <c r="A67" s="98" t="s">
        <v>171</v>
      </c>
      <c r="B67" s="98">
        <f>Z54</f>
        <v>7000000</v>
      </c>
      <c r="C67" s="98">
        <f>AA42</f>
        <v>556408</v>
      </c>
      <c r="D67" s="98">
        <f>AA43</f>
        <v>531195</v>
      </c>
      <c r="E67" s="98">
        <f>AA44</f>
        <v>524831</v>
      </c>
      <c r="F67" s="98">
        <f>AA45</f>
        <v>370483</v>
      </c>
      <c r="G67" s="98">
        <f>AA46</f>
        <v>591051</v>
      </c>
      <c r="H67" s="98">
        <f>AA47</f>
        <v>110845</v>
      </c>
      <c r="I67" s="98">
        <f>AA48</f>
        <v>0</v>
      </c>
      <c r="J67" s="98">
        <f>AA49</f>
        <v>0</v>
      </c>
      <c r="K67" s="98">
        <f>AA50</f>
        <v>0</v>
      </c>
      <c r="L67" s="98">
        <f>AA51</f>
        <v>0</v>
      </c>
      <c r="M67" s="98">
        <f>AA52</f>
        <v>0</v>
      </c>
      <c r="N67" s="98">
        <f>AA53</f>
        <v>0</v>
      </c>
      <c r="O67" s="98">
        <f>SUM(C67:N67)</f>
        <v>2684813</v>
      </c>
    </row>
    <row r="68" spans="1:49" s="93" customFormat="1" ht="30" customHeight="1">
      <c r="A68" s="95" t="s">
        <v>62</v>
      </c>
      <c r="B68" s="95">
        <f t="shared" ref="B68:N68" si="42">SUM(B65:B67)</f>
        <v>31000000</v>
      </c>
      <c r="C68" s="95">
        <f t="shared" si="42"/>
        <v>2661777</v>
      </c>
      <c r="D68" s="95">
        <f t="shared" si="42"/>
        <v>2482839</v>
      </c>
      <c r="E68" s="95">
        <f t="shared" si="42"/>
        <v>2332469</v>
      </c>
      <c r="F68" s="95">
        <f t="shared" si="42"/>
        <v>1770443</v>
      </c>
      <c r="G68" s="95">
        <f t="shared" si="42"/>
        <v>2794092</v>
      </c>
      <c r="H68" s="95">
        <f t="shared" si="42"/>
        <v>486418</v>
      </c>
      <c r="I68" s="95">
        <f t="shared" si="42"/>
        <v>0</v>
      </c>
      <c r="J68" s="95">
        <f t="shared" si="42"/>
        <v>0</v>
      </c>
      <c r="K68" s="95">
        <f t="shared" si="42"/>
        <v>0</v>
      </c>
      <c r="L68" s="95">
        <f t="shared" si="42"/>
        <v>0</v>
      </c>
      <c r="M68" s="95">
        <f t="shared" si="42"/>
        <v>0</v>
      </c>
      <c r="N68" s="95">
        <f t="shared" si="42"/>
        <v>0</v>
      </c>
      <c r="O68" s="95">
        <f>SUM(C68:N68)</f>
        <v>12528038</v>
      </c>
    </row>
    <row r="69" spans="1:49" ht="25" customHeight="1"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</row>
  </sheetData>
  <mergeCells count="43">
    <mergeCell ref="N40:P40"/>
    <mergeCell ref="AF6:AH6"/>
    <mergeCell ref="W5:AH5"/>
    <mergeCell ref="A1:AH2"/>
    <mergeCell ref="A33:B33"/>
    <mergeCell ref="Q6:S6"/>
    <mergeCell ref="T6:V6"/>
    <mergeCell ref="H5:V5"/>
    <mergeCell ref="A23:B23"/>
    <mergeCell ref="A24:B24"/>
    <mergeCell ref="A25:B25"/>
    <mergeCell ref="AG38:AI38"/>
    <mergeCell ref="K6:M6"/>
    <mergeCell ref="W6:Y6"/>
    <mergeCell ref="Z6:AB6"/>
    <mergeCell ref="AC6:AE6"/>
    <mergeCell ref="AJ38:AL38"/>
    <mergeCell ref="AM38:AO38"/>
    <mergeCell ref="A39:A41"/>
    <mergeCell ref="B39:G39"/>
    <mergeCell ref="H39:J39"/>
    <mergeCell ref="K39:M39"/>
    <mergeCell ref="N39:P39"/>
    <mergeCell ref="Q39:S40"/>
    <mergeCell ref="T39:V40"/>
    <mergeCell ref="W39:Y40"/>
    <mergeCell ref="Z39:AB40"/>
    <mergeCell ref="AC39:AE40"/>
    <mergeCell ref="B40:G40"/>
    <mergeCell ref="H40:J40"/>
    <mergeCell ref="K40:M40"/>
    <mergeCell ref="AD38:AF38"/>
    <mergeCell ref="A5:A7"/>
    <mergeCell ref="B5:G5"/>
    <mergeCell ref="AI5:AK5"/>
    <mergeCell ref="A34:B34"/>
    <mergeCell ref="A35:B35"/>
    <mergeCell ref="A28:A32"/>
    <mergeCell ref="AL5:AN6"/>
    <mergeCell ref="B6:G6"/>
    <mergeCell ref="H6:J6"/>
    <mergeCell ref="AI6:AK6"/>
    <mergeCell ref="N6:P6"/>
  </mergeCells>
  <printOptions horizontalCentered="1"/>
  <pageMargins left="0" right="0" top="0" bottom="0" header="0" footer="0"/>
  <pageSetup paperSize="9" scale="28" orientation="landscape" r:id="rId1"/>
  <headerFooter alignWithMargins="0"/>
  <rowBreaks count="1" manualBreakCount="1">
    <brk id="49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7EB9-E7F9-4573-BAAD-D86A31EC3D3F}">
  <sheetPr>
    <tabColor rgb="FFFF0000"/>
    <pageSetUpPr fitToPage="1"/>
  </sheetPr>
  <dimension ref="A1:BB130"/>
  <sheetViews>
    <sheetView showGridLines="0" tabSelected="1" view="pageBreakPreview" zoomScale="30" zoomScaleNormal="40" zoomScaleSheetLayoutView="30" workbookViewId="0">
      <selection activeCell="N12" sqref="N12"/>
    </sheetView>
  </sheetViews>
  <sheetFormatPr defaultColWidth="11.453125" defaultRowHeight="14"/>
  <cols>
    <col min="1" max="1" width="1.453125" style="216" customWidth="1"/>
    <col min="2" max="2" width="15.453125" style="1" customWidth="1"/>
    <col min="3" max="3" width="10.453125" style="1" customWidth="1"/>
    <col min="4" max="4" width="11.1796875" style="1" customWidth="1"/>
    <col min="5" max="5" width="14.81640625" style="1" customWidth="1"/>
    <col min="6" max="6" width="18" style="1" bestFit="1" customWidth="1"/>
    <col min="7" max="7" width="18.7265625" style="1" bestFit="1" customWidth="1"/>
    <col min="8" max="9" width="18" style="1" bestFit="1" customWidth="1"/>
    <col min="10" max="10" width="18.7265625" style="1" bestFit="1" customWidth="1"/>
    <col min="11" max="11" width="16.26953125" style="1" bestFit="1" customWidth="1"/>
    <col min="12" max="12" width="17.54296875" style="1" customWidth="1"/>
    <col min="13" max="13" width="17.26953125" style="1" customWidth="1"/>
    <col min="14" max="14" width="17.26953125" style="1" bestFit="1" customWidth="1"/>
    <col min="15" max="15" width="17.7265625" style="1" bestFit="1" customWidth="1"/>
    <col min="16" max="16" width="19" style="1" customWidth="1"/>
    <col min="17" max="17" width="17.26953125" style="1" customWidth="1"/>
    <col min="18" max="18" width="19.453125" style="1" customWidth="1"/>
    <col min="19" max="23" width="20.54296875" style="1" customWidth="1"/>
    <col min="24" max="26" width="20.54296875" style="2" customWidth="1"/>
    <col min="27" max="32" width="13.26953125" style="2" customWidth="1"/>
    <col min="33" max="35" width="12.7265625" style="2" customWidth="1"/>
    <col min="36" max="36" width="3.7265625" style="1" customWidth="1"/>
    <col min="37" max="37" width="13.26953125" style="1" customWidth="1"/>
    <col min="38" max="38" width="12.26953125" style="1" bestFit="1" customWidth="1"/>
    <col min="39" max="16384" width="11.453125" style="1"/>
  </cols>
  <sheetData>
    <row r="1" spans="1:48" ht="25.5" customHeight="1">
      <c r="B1" s="686" t="s">
        <v>204</v>
      </c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  <c r="P1" s="687"/>
      <c r="Q1" s="687"/>
      <c r="R1" s="687"/>
      <c r="S1" s="687"/>
      <c r="T1" s="687"/>
      <c r="U1" s="687"/>
      <c r="V1" s="687"/>
      <c r="W1" s="687"/>
      <c r="X1" s="687"/>
      <c r="Y1" s="687"/>
      <c r="Z1" s="688"/>
      <c r="AA1" s="695" t="s">
        <v>29</v>
      </c>
      <c r="AB1" s="696"/>
      <c r="AC1" s="402"/>
      <c r="AD1" s="668" t="s">
        <v>30</v>
      </c>
      <c r="AE1" s="668"/>
      <c r="AF1" s="669"/>
      <c r="AG1" s="429"/>
    </row>
    <row r="2" spans="1:48" ht="25.5" customHeight="1">
      <c r="B2" s="689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  <c r="X2" s="690"/>
      <c r="Y2" s="690"/>
      <c r="Z2" s="691"/>
      <c r="AA2" s="697" t="s">
        <v>31</v>
      </c>
      <c r="AB2" s="698"/>
      <c r="AC2" s="403"/>
      <c r="AD2" s="670" t="s">
        <v>32</v>
      </c>
      <c r="AE2" s="670"/>
      <c r="AF2" s="671"/>
      <c r="AG2" s="429"/>
    </row>
    <row r="3" spans="1:48" ht="25.5" customHeight="1" thickBot="1">
      <c r="B3" s="692"/>
      <c r="C3" s="693"/>
      <c r="D3" s="693"/>
      <c r="E3" s="693"/>
      <c r="F3" s="693"/>
      <c r="G3" s="693"/>
      <c r="H3" s="693"/>
      <c r="I3" s="693"/>
      <c r="J3" s="693"/>
      <c r="K3" s="693"/>
      <c r="L3" s="693"/>
      <c r="M3" s="693"/>
      <c r="N3" s="693"/>
      <c r="O3" s="693"/>
      <c r="P3" s="693"/>
      <c r="Q3" s="693"/>
      <c r="R3" s="693"/>
      <c r="S3" s="693"/>
      <c r="T3" s="693"/>
      <c r="U3" s="693"/>
      <c r="V3" s="693"/>
      <c r="W3" s="693"/>
      <c r="X3" s="693"/>
      <c r="Y3" s="693"/>
      <c r="Z3" s="694"/>
      <c r="AA3" s="697" t="s">
        <v>33</v>
      </c>
      <c r="AB3" s="698"/>
      <c r="AC3" s="403"/>
      <c r="AD3" s="672">
        <v>40179</v>
      </c>
      <c r="AE3" s="672"/>
      <c r="AF3" s="673"/>
      <c r="AG3" s="429"/>
    </row>
    <row r="4" spans="1:48" ht="25.5" customHeight="1" thickBot="1">
      <c r="B4" s="211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3"/>
      <c r="P4" s="213"/>
      <c r="Q4" s="213" t="s">
        <v>34</v>
      </c>
      <c r="R4" s="213"/>
      <c r="S4" s="213"/>
      <c r="T4" s="213"/>
      <c r="U4" s="212"/>
      <c r="V4" s="212"/>
      <c r="W4" s="212"/>
      <c r="X4" s="52"/>
      <c r="Y4" s="52"/>
      <c r="Z4" s="444"/>
      <c r="AA4" s="699" t="s">
        <v>35</v>
      </c>
      <c r="AB4" s="700"/>
      <c r="AC4" s="404"/>
      <c r="AD4" s="678" t="s">
        <v>36</v>
      </c>
      <c r="AE4" s="678"/>
      <c r="AF4" s="679"/>
      <c r="AG4" s="429"/>
    </row>
    <row r="5" spans="1:48" s="15" customFormat="1" ht="37" customHeight="1">
      <c r="A5" s="210"/>
      <c r="B5" s="680" t="s">
        <v>37</v>
      </c>
      <c r="C5" s="681"/>
      <c r="D5" s="681"/>
      <c r="E5" s="603"/>
      <c r="F5" s="674" t="s">
        <v>38</v>
      </c>
      <c r="G5" s="602"/>
      <c r="H5" s="674" t="s">
        <v>39</v>
      </c>
      <c r="I5" s="701" t="s">
        <v>40</v>
      </c>
      <c r="J5" s="604" t="s">
        <v>41</v>
      </c>
      <c r="K5" s="605"/>
      <c r="L5" s="604" t="s">
        <v>42</v>
      </c>
      <c r="M5" s="607"/>
      <c r="N5" s="607"/>
      <c r="O5" s="607"/>
      <c r="P5" s="607"/>
      <c r="Q5" s="607"/>
      <c r="R5" s="607"/>
      <c r="S5" s="605"/>
      <c r="T5" s="674" t="s">
        <v>43</v>
      </c>
      <c r="U5" s="676" t="s">
        <v>44</v>
      </c>
      <c r="Z5" s="210"/>
      <c r="AA5" s="210"/>
      <c r="AB5" s="210"/>
      <c r="AC5" s="210"/>
      <c r="AD5" s="210"/>
      <c r="AE5" s="210"/>
      <c r="AF5" s="447"/>
      <c r="AG5" s="430"/>
      <c r="AH5" s="210"/>
      <c r="AI5" s="210"/>
    </row>
    <row r="6" spans="1:48" s="43" customFormat="1" ht="37" customHeight="1">
      <c r="A6" s="210"/>
      <c r="B6" s="680"/>
      <c r="C6" s="681"/>
      <c r="D6" s="681"/>
      <c r="E6" s="603"/>
      <c r="F6" s="674"/>
      <c r="G6" s="602"/>
      <c r="H6" s="675"/>
      <c r="I6" s="675"/>
      <c r="J6" s="112" t="s">
        <v>45</v>
      </c>
      <c r="K6" s="408" t="s">
        <v>46</v>
      </c>
      <c r="L6" s="683" t="s">
        <v>184</v>
      </c>
      <c r="M6" s="684"/>
      <c r="N6" s="685"/>
      <c r="O6" s="405" t="s">
        <v>177</v>
      </c>
      <c r="P6" s="293" t="s">
        <v>187</v>
      </c>
      <c r="Q6" s="406" t="s">
        <v>140</v>
      </c>
      <c r="R6" s="479" t="s">
        <v>49</v>
      </c>
      <c r="S6" s="479" t="s">
        <v>48</v>
      </c>
      <c r="T6" s="675"/>
      <c r="U6" s="677"/>
      <c r="V6" s="15"/>
      <c r="W6" s="15"/>
      <c r="X6" s="15"/>
      <c r="Y6" s="15"/>
      <c r="Z6" s="210"/>
      <c r="AA6" s="210"/>
      <c r="AB6" s="210"/>
      <c r="AC6" s="210"/>
      <c r="AD6" s="210"/>
      <c r="AE6" s="210"/>
      <c r="AF6" s="447"/>
      <c r="AG6" s="430"/>
      <c r="AH6" s="210"/>
      <c r="AI6" s="210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43" customFormat="1" ht="37" customHeight="1">
      <c r="A7" s="210"/>
      <c r="B7" s="680"/>
      <c r="C7" s="607"/>
      <c r="D7" s="607"/>
      <c r="E7" s="605"/>
      <c r="F7" s="682"/>
      <c r="G7" s="604"/>
      <c r="H7" s="113" t="s">
        <v>51</v>
      </c>
      <c r="I7" s="412" t="s">
        <v>51</v>
      </c>
      <c r="J7" s="113" t="s">
        <v>51</v>
      </c>
      <c r="K7" s="44" t="s">
        <v>51</v>
      </c>
      <c r="L7" s="113" t="s">
        <v>52</v>
      </c>
      <c r="M7" s="283" t="s">
        <v>53</v>
      </c>
      <c r="N7" s="113" t="s">
        <v>54</v>
      </c>
      <c r="O7" s="283" t="s">
        <v>51</v>
      </c>
      <c r="P7" s="113"/>
      <c r="Q7" s="478"/>
      <c r="R7" s="480" t="s">
        <v>50</v>
      </c>
      <c r="S7" s="480" t="s">
        <v>51</v>
      </c>
      <c r="T7" s="113" t="s">
        <v>55</v>
      </c>
      <c r="U7" s="113"/>
      <c r="V7" s="15"/>
      <c r="W7" s="15"/>
      <c r="X7" s="15"/>
      <c r="Y7" s="15"/>
      <c r="Z7" s="210"/>
      <c r="AA7" s="210"/>
      <c r="AB7" s="210"/>
      <c r="AC7" s="210"/>
      <c r="AD7" s="210"/>
      <c r="AE7" s="210"/>
      <c r="AF7" s="447"/>
      <c r="AG7" s="430"/>
      <c r="AH7" s="210"/>
      <c r="AI7" s="210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</row>
    <row r="8" spans="1:48" s="16" customFormat="1" ht="36.75" customHeight="1">
      <c r="A8" s="209"/>
      <c r="B8" s="520" t="str">
        <f>+B1</f>
        <v>L</v>
      </c>
      <c r="C8" s="536" t="s">
        <v>56</v>
      </c>
      <c r="D8" s="538" t="s">
        <v>57</v>
      </c>
      <c r="E8" s="498"/>
      <c r="F8" s="539">
        <f>SUM(H8:U8)</f>
        <v>303</v>
      </c>
      <c r="G8" s="540"/>
      <c r="H8" s="132">
        <v>8</v>
      </c>
      <c r="I8" s="163">
        <v>23</v>
      </c>
      <c r="J8" s="551">
        <v>57</v>
      </c>
      <c r="K8" s="552"/>
      <c r="L8" s="132">
        <v>16</v>
      </c>
      <c r="M8" s="290">
        <v>20</v>
      </c>
      <c r="N8" s="132">
        <v>19</v>
      </c>
      <c r="O8" s="163">
        <v>8</v>
      </c>
      <c r="P8" s="132"/>
      <c r="Q8" s="163">
        <v>8</v>
      </c>
      <c r="R8" s="107">
        <v>125</v>
      </c>
      <c r="S8" s="107">
        <v>5</v>
      </c>
      <c r="T8" s="107">
        <v>14</v>
      </c>
      <c r="U8" s="107"/>
      <c r="Z8" s="209"/>
      <c r="AA8" s="209"/>
      <c r="AB8" s="209"/>
      <c r="AC8" s="209"/>
      <c r="AD8" s="209"/>
      <c r="AE8" s="209"/>
      <c r="AF8" s="448"/>
      <c r="AG8" s="431"/>
      <c r="AH8" s="209"/>
      <c r="AI8" s="209"/>
    </row>
    <row r="9" spans="1:48" s="16" customFormat="1" ht="36.75" customHeight="1">
      <c r="A9" s="209"/>
      <c r="B9" s="521"/>
      <c r="C9" s="537"/>
      <c r="D9" s="545" t="s">
        <v>58</v>
      </c>
      <c r="E9" s="546"/>
      <c r="F9" s="547">
        <f>SUM(H9:U9)</f>
        <v>230</v>
      </c>
      <c r="G9" s="548"/>
      <c r="H9" s="315"/>
      <c r="I9" s="316">
        <v>21</v>
      </c>
      <c r="J9" s="315">
        <v>19</v>
      </c>
      <c r="K9" s="315">
        <v>23</v>
      </c>
      <c r="L9" s="318">
        <v>10</v>
      </c>
      <c r="M9" s="319">
        <v>16</v>
      </c>
      <c r="N9" s="318">
        <v>16</v>
      </c>
      <c r="O9" s="319">
        <v>18</v>
      </c>
      <c r="P9" s="315"/>
      <c r="Q9" s="319"/>
      <c r="R9" s="320">
        <v>91</v>
      </c>
      <c r="S9" s="320">
        <v>8</v>
      </c>
      <c r="T9" s="321">
        <v>8</v>
      </c>
      <c r="U9" s="321"/>
      <c r="Z9" s="209"/>
      <c r="AA9" s="209"/>
      <c r="AB9" s="209"/>
      <c r="AC9" s="209"/>
      <c r="AD9" s="209"/>
      <c r="AE9" s="209"/>
      <c r="AF9" s="448"/>
      <c r="AG9" s="431"/>
      <c r="AH9" s="209"/>
      <c r="AI9" s="209"/>
    </row>
    <row r="10" spans="1:48" s="16" customFormat="1" ht="37" customHeight="1">
      <c r="A10" s="209"/>
      <c r="B10" s="521"/>
      <c r="C10" s="537"/>
      <c r="D10" s="543" t="s">
        <v>59</v>
      </c>
      <c r="E10" s="544"/>
      <c r="F10" s="549">
        <f>F9/F8</f>
        <v>0.75907590759075905</v>
      </c>
      <c r="G10" s="550"/>
      <c r="H10" s="91">
        <f>IF(H8=0,0,H9/H8)</f>
        <v>0</v>
      </c>
      <c r="I10" s="89">
        <f>IF(I8=0,0,I9/I8)</f>
        <v>0.91304347826086951</v>
      </c>
      <c r="J10" s="565">
        <f>IF(J8=0,0,(J9+K9)/J8)</f>
        <v>0.73684210526315785</v>
      </c>
      <c r="K10" s="566"/>
      <c r="L10" s="296">
        <f>IF(L8=0,0,L9/L8)</f>
        <v>0.625</v>
      </c>
      <c r="M10" s="294">
        <f>IF(M8=0,0,M9/M8)</f>
        <v>0.8</v>
      </c>
      <c r="N10" s="296">
        <f>IF(N8=0,0,N9/N8)</f>
        <v>0.84210526315789469</v>
      </c>
      <c r="O10" s="294">
        <f>IF(O8=0,0,O9/O8)</f>
        <v>2.25</v>
      </c>
      <c r="P10" s="296">
        <f>IF(P8=0,0,P9/P8)</f>
        <v>0</v>
      </c>
      <c r="Q10" s="295"/>
      <c r="R10" s="398">
        <f t="shared" ref="R10:S10" si="0">IF(R8=0,0,R9/R8)</f>
        <v>0.72799999999999998</v>
      </c>
      <c r="S10" s="398">
        <f t="shared" si="0"/>
        <v>1.6</v>
      </c>
      <c r="T10" s="3">
        <f>IF(T8=0,0,T9/T8)</f>
        <v>0.5714285714285714</v>
      </c>
      <c r="U10" s="3">
        <f>IF(U8=0,0,U9/U8)</f>
        <v>0</v>
      </c>
      <c r="Z10" s="209"/>
      <c r="AA10" s="209"/>
      <c r="AB10" s="209"/>
      <c r="AC10" s="209"/>
      <c r="AD10" s="209"/>
      <c r="AE10" s="209"/>
      <c r="AF10" s="448"/>
      <c r="AG10" s="431"/>
      <c r="AH10" s="209"/>
      <c r="AI10" s="209"/>
    </row>
    <row r="11" spans="1:48" s="17" customFormat="1" ht="37" customHeight="1">
      <c r="A11" s="217"/>
      <c r="B11" s="521"/>
      <c r="C11" s="537"/>
      <c r="D11" s="702" t="s">
        <v>60</v>
      </c>
      <c r="E11" s="555"/>
      <c r="F11" s="541">
        <f>SUM(H11:U11)</f>
        <v>39774.799999999988</v>
      </c>
      <c r="G11" s="542"/>
      <c r="H11" s="322"/>
      <c r="I11" s="323">
        <v>2572.6000000000004</v>
      </c>
      <c r="J11" s="315">
        <v>1008.3000000000001</v>
      </c>
      <c r="K11" s="320">
        <v>1219.5</v>
      </c>
      <c r="L11" s="324"/>
      <c r="M11" s="328">
        <v>9326.8000000000029</v>
      </c>
      <c r="N11" s="325"/>
      <c r="O11" s="316">
        <v>2173.2000000000003</v>
      </c>
      <c r="P11" s="315"/>
      <c r="Q11" s="323"/>
      <c r="R11" s="320">
        <v>17722.299999999985</v>
      </c>
      <c r="S11" s="320">
        <v>4778.9000000000015</v>
      </c>
      <c r="T11" s="321">
        <v>973.19999999999982</v>
      </c>
      <c r="U11" s="321"/>
      <c r="V11" s="214"/>
      <c r="W11" s="214"/>
      <c r="X11" s="214"/>
      <c r="Y11" s="16"/>
      <c r="Z11" s="214" t="s">
        <v>174</v>
      </c>
      <c r="AA11" s="214"/>
      <c r="AB11" s="214"/>
      <c r="AC11" s="214"/>
      <c r="AD11" s="214"/>
      <c r="AE11" s="214"/>
      <c r="AF11" s="449"/>
      <c r="AG11" s="432"/>
      <c r="AH11" s="214"/>
      <c r="AI11" s="214"/>
    </row>
    <row r="12" spans="1:48" s="16" customFormat="1" ht="37" customHeight="1">
      <c r="A12" s="209"/>
      <c r="B12" s="521"/>
      <c r="C12" s="536" t="s">
        <v>61</v>
      </c>
      <c r="D12" s="538" t="s">
        <v>57</v>
      </c>
      <c r="E12" s="498"/>
      <c r="F12" s="539">
        <f>SUM(H12:U12)</f>
        <v>343</v>
      </c>
      <c r="G12" s="540"/>
      <c r="H12" s="132">
        <v>8</v>
      </c>
      <c r="I12" s="163">
        <v>23</v>
      </c>
      <c r="J12" s="551">
        <v>57</v>
      </c>
      <c r="K12" s="552"/>
      <c r="L12" s="132">
        <v>29</v>
      </c>
      <c r="M12" s="290">
        <v>28</v>
      </c>
      <c r="N12" s="132">
        <v>38</v>
      </c>
      <c r="O12" s="163">
        <v>8</v>
      </c>
      <c r="P12" s="132"/>
      <c r="Q12" s="163">
        <v>8</v>
      </c>
      <c r="R12" s="107">
        <v>125</v>
      </c>
      <c r="S12" s="107">
        <v>5</v>
      </c>
      <c r="T12" s="107">
        <v>14</v>
      </c>
      <c r="U12" s="107"/>
      <c r="AF12" s="50"/>
      <c r="AG12" s="433"/>
    </row>
    <row r="13" spans="1:48" s="16" customFormat="1" ht="37" customHeight="1">
      <c r="A13" s="209"/>
      <c r="B13" s="521"/>
      <c r="C13" s="537"/>
      <c r="D13" s="545" t="s">
        <v>58</v>
      </c>
      <c r="E13" s="546"/>
      <c r="F13" s="547">
        <f>SUM(H13:U13)</f>
        <v>220</v>
      </c>
      <c r="G13" s="548"/>
      <c r="H13" s="315"/>
      <c r="I13" s="316">
        <v>14</v>
      </c>
      <c r="J13" s="315">
        <v>20</v>
      </c>
      <c r="K13" s="317">
        <v>22</v>
      </c>
      <c r="L13" s="318">
        <v>10</v>
      </c>
      <c r="M13" s="319">
        <v>14</v>
      </c>
      <c r="N13" s="318">
        <v>16</v>
      </c>
      <c r="O13" s="319">
        <v>18</v>
      </c>
      <c r="P13" s="318"/>
      <c r="Q13" s="319"/>
      <c r="R13" s="320">
        <v>90</v>
      </c>
      <c r="S13" s="320">
        <v>8</v>
      </c>
      <c r="T13" s="321">
        <v>8</v>
      </c>
      <c r="U13" s="321"/>
      <c r="Z13" s="477"/>
      <c r="AF13" s="50"/>
      <c r="AG13" s="433"/>
    </row>
    <row r="14" spans="1:48" s="16" customFormat="1" ht="37" customHeight="1">
      <c r="A14" s="209"/>
      <c r="B14" s="521"/>
      <c r="C14" s="537"/>
      <c r="D14" s="543" t="s">
        <v>59</v>
      </c>
      <c r="E14" s="544"/>
      <c r="F14" s="549">
        <f>F13/F12</f>
        <v>0.64139941690962099</v>
      </c>
      <c r="G14" s="550"/>
      <c r="H14" s="91">
        <f>IF(H12=0,0,H13/H12)</f>
        <v>0</v>
      </c>
      <c r="I14" s="89">
        <f>IF(I12=0,0,I13/I12)</f>
        <v>0.60869565217391308</v>
      </c>
      <c r="J14" s="565">
        <f>IF(J12=0,0,(J13+K13)/J12)</f>
        <v>0.73684210526315785</v>
      </c>
      <c r="K14" s="566"/>
      <c r="L14" s="91">
        <f t="shared" ref="L14:U14" si="1">IF(L12=0,0,L13/L12)</f>
        <v>0.34482758620689657</v>
      </c>
      <c r="M14" s="294">
        <f t="shared" ref="M14:O14" si="2">IF(M12=0,0,M13/M12)</f>
        <v>0.5</v>
      </c>
      <c r="N14" s="91">
        <f t="shared" si="2"/>
        <v>0.42105263157894735</v>
      </c>
      <c r="O14" s="294">
        <f t="shared" si="2"/>
        <v>2.25</v>
      </c>
      <c r="P14" s="91">
        <f t="shared" si="1"/>
        <v>0</v>
      </c>
      <c r="Q14" s="294">
        <f t="shared" si="1"/>
        <v>0</v>
      </c>
      <c r="R14" s="3">
        <f>IF(R12=0,0,R13/R12)</f>
        <v>0.72</v>
      </c>
      <c r="S14" s="3">
        <f>IF(S12=0,0,S13/S12)</f>
        <v>1.6</v>
      </c>
      <c r="T14" s="3">
        <f t="shared" si="1"/>
        <v>0.5714285714285714</v>
      </c>
      <c r="U14" s="3">
        <f t="shared" si="1"/>
        <v>0</v>
      </c>
      <c r="AF14" s="50"/>
      <c r="AG14" s="433"/>
    </row>
    <row r="15" spans="1:48" s="16" customFormat="1" ht="36.75" customHeight="1">
      <c r="A15" s="209"/>
      <c r="B15" s="521"/>
      <c r="C15" s="537"/>
      <c r="D15" s="545" t="s">
        <v>60</v>
      </c>
      <c r="E15" s="546"/>
      <c r="F15" s="541">
        <f>(SUM(H15:U15))</f>
        <v>45675.000000000029</v>
      </c>
      <c r="G15" s="542"/>
      <c r="H15" s="322"/>
      <c r="I15" s="323">
        <v>1539.9999999999998</v>
      </c>
      <c r="J15" s="315">
        <v>3073.9</v>
      </c>
      <c r="K15" s="320">
        <v>1803.1999999999998</v>
      </c>
      <c r="L15" s="326"/>
      <c r="M15" s="329">
        <v>11020.400000000011</v>
      </c>
      <c r="N15" s="327"/>
      <c r="O15" s="316">
        <v>3342.0000000000014</v>
      </c>
      <c r="P15" s="315"/>
      <c r="Q15" s="316"/>
      <c r="R15" s="320">
        <v>18979.700000000012</v>
      </c>
      <c r="S15" s="320">
        <v>4737.0000000000009</v>
      </c>
      <c r="T15" s="321">
        <v>1178.8000000000006</v>
      </c>
      <c r="U15" s="321"/>
      <c r="AF15" s="50"/>
      <c r="AG15" s="433"/>
    </row>
    <row r="16" spans="1:48" s="16" customFormat="1" ht="37" customHeight="1">
      <c r="A16" s="209"/>
      <c r="B16" s="521"/>
      <c r="C16" s="498" t="s">
        <v>62</v>
      </c>
      <c r="D16" s="538" t="s">
        <v>57</v>
      </c>
      <c r="E16" s="498"/>
      <c r="F16" s="662">
        <f>SUM(H16:U16)</f>
        <v>330</v>
      </c>
      <c r="G16" s="663"/>
      <c r="H16" s="132">
        <v>15</v>
      </c>
      <c r="I16" s="163">
        <f t="shared" ref="I16:J16" si="3">IF(I8=0,I12,(I12+I8)/2)</f>
        <v>23</v>
      </c>
      <c r="J16" s="551">
        <f t="shared" si="3"/>
        <v>57</v>
      </c>
      <c r="K16" s="552"/>
      <c r="L16" s="132">
        <f>IF(L8=0,L12,(L12+L8)/2)</f>
        <v>22.5</v>
      </c>
      <c r="M16" s="290">
        <f>IF(M8=0,M12,(M12+M8)/2)</f>
        <v>24</v>
      </c>
      <c r="N16" s="132">
        <f>IF(N8=0,N12,(N12+N8)/2)</f>
        <v>28.5</v>
      </c>
      <c r="O16" s="290">
        <f>IF(O8=0,O12,(O12+O8)/2)</f>
        <v>8</v>
      </c>
      <c r="P16" s="132"/>
      <c r="Q16" s="290">
        <f t="shared" ref="Q16:U16" si="4">IF(Q8=0,Q12,(Q12+Q8)/2)</f>
        <v>8</v>
      </c>
      <c r="R16" s="107">
        <f t="shared" si="4"/>
        <v>125</v>
      </c>
      <c r="S16" s="107">
        <f t="shared" si="4"/>
        <v>5</v>
      </c>
      <c r="T16" s="107">
        <f t="shared" si="4"/>
        <v>14</v>
      </c>
      <c r="U16" s="107">
        <f t="shared" si="4"/>
        <v>0</v>
      </c>
      <c r="AF16" s="50"/>
      <c r="AG16" s="433"/>
    </row>
    <row r="17" spans="1:50" s="16" customFormat="1" ht="37" customHeight="1">
      <c r="A17" s="209"/>
      <c r="B17" s="521"/>
      <c r="C17" s="546"/>
      <c r="D17" s="545" t="s">
        <v>58</v>
      </c>
      <c r="E17" s="546"/>
      <c r="F17" s="575">
        <f>(F13+F9)/2</f>
        <v>225</v>
      </c>
      <c r="G17" s="576"/>
      <c r="H17" s="90">
        <f>SUM(H13,H9)</f>
        <v>0</v>
      </c>
      <c r="I17" s="401">
        <f t="shared" ref="I17:U17" si="5">SUM(I13,I9)</f>
        <v>35</v>
      </c>
      <c r="J17" s="90">
        <f t="shared" si="5"/>
        <v>39</v>
      </c>
      <c r="K17" s="400">
        <f t="shared" si="5"/>
        <v>45</v>
      </c>
      <c r="L17" s="297">
        <f t="shared" si="5"/>
        <v>20</v>
      </c>
      <c r="M17" s="289">
        <f t="shared" ref="M17:O17" si="6">SUM(M13,M9)</f>
        <v>30</v>
      </c>
      <c r="N17" s="297">
        <f t="shared" si="6"/>
        <v>32</v>
      </c>
      <c r="O17" s="297">
        <f t="shared" si="6"/>
        <v>36</v>
      </c>
      <c r="P17" s="297"/>
      <c r="Q17" s="289">
        <f t="shared" si="5"/>
        <v>0</v>
      </c>
      <c r="R17" s="400">
        <f>SUM(R13,R9)</f>
        <v>181</v>
      </c>
      <c r="S17" s="400">
        <f>SUM(S13,S9)</f>
        <v>16</v>
      </c>
      <c r="T17" s="400">
        <f t="shared" si="5"/>
        <v>16</v>
      </c>
      <c r="U17" s="90">
        <f t="shared" si="5"/>
        <v>0</v>
      </c>
      <c r="AF17" s="50"/>
      <c r="AG17" s="433"/>
    </row>
    <row r="18" spans="1:50" s="16" customFormat="1" ht="37" customHeight="1">
      <c r="A18" s="209"/>
      <c r="B18" s="521"/>
      <c r="C18" s="546"/>
      <c r="D18" s="543" t="s">
        <v>59</v>
      </c>
      <c r="E18" s="544"/>
      <c r="F18" s="549">
        <f>F17/F16</f>
        <v>0.68181818181818177</v>
      </c>
      <c r="G18" s="550"/>
      <c r="H18" s="47">
        <f>IF(H16=0,0,H17/H16)</f>
        <v>0</v>
      </c>
      <c r="I18" s="399">
        <f>IF(I16=0,0,I17/I16)</f>
        <v>1.5217391304347827</v>
      </c>
      <c r="J18" s="565">
        <f>IF(J16=0,0,(J17:K17)/J16)</f>
        <v>0.68421052631578949</v>
      </c>
      <c r="K18" s="566"/>
      <c r="L18" s="91">
        <f t="shared" ref="L18:U18" si="7">IF(L16=0,0,L17/L16)</f>
        <v>0.88888888888888884</v>
      </c>
      <c r="M18" s="294">
        <f t="shared" ref="M18:O18" si="8">IF(M16=0,0,M17/M16)</f>
        <v>1.25</v>
      </c>
      <c r="N18" s="91">
        <f t="shared" si="8"/>
        <v>1.1228070175438596</v>
      </c>
      <c r="O18" s="294">
        <f t="shared" si="8"/>
        <v>4.5</v>
      </c>
      <c r="P18" s="91">
        <f t="shared" si="7"/>
        <v>0</v>
      </c>
      <c r="Q18" s="294">
        <f t="shared" si="7"/>
        <v>0</v>
      </c>
      <c r="R18" s="47">
        <f t="shared" si="7"/>
        <v>1.448</v>
      </c>
      <c r="S18" s="47">
        <f t="shared" si="7"/>
        <v>3.2</v>
      </c>
      <c r="T18" s="47">
        <f t="shared" si="7"/>
        <v>1.1428571428571428</v>
      </c>
      <c r="U18" s="47">
        <f t="shared" si="7"/>
        <v>0</v>
      </c>
      <c r="AF18" s="50"/>
      <c r="AG18" s="433"/>
    </row>
    <row r="19" spans="1:50" s="16" customFormat="1" ht="37" customHeight="1">
      <c r="A19" s="209"/>
      <c r="B19" s="521"/>
      <c r="C19" s="546"/>
      <c r="D19" s="545" t="s">
        <v>63</v>
      </c>
      <c r="E19" s="546"/>
      <c r="F19" s="579">
        <f>SUM(H19:U19)</f>
        <v>90999.999999999985</v>
      </c>
      <c r="G19" s="580"/>
      <c r="H19" s="411">
        <f>W33/Jun!C42</f>
        <v>2333.3333333333335</v>
      </c>
      <c r="I19" s="411">
        <f>W36/Jun!C42</f>
        <v>5833.333333333333</v>
      </c>
      <c r="J19" s="411">
        <f>W34/Jun!C42</f>
        <v>6666.666666666667</v>
      </c>
      <c r="K19" s="270">
        <f>W35/Jun!C42</f>
        <v>2333.3333333333335</v>
      </c>
      <c r="L19" s="595">
        <f>W40/Jun!C42</f>
        <v>21666.666666666668</v>
      </c>
      <c r="M19" s="596"/>
      <c r="N19" s="597"/>
      <c r="O19" s="292">
        <f>W41/Jun!C42</f>
        <v>4333.333333333333</v>
      </c>
      <c r="P19" s="292"/>
      <c r="Q19" s="291">
        <f>W43/Jun!C42</f>
        <v>2833.333333333333</v>
      </c>
      <c r="R19" s="270">
        <f>W44/Jun!C42</f>
        <v>37666.666666666664</v>
      </c>
      <c r="S19" s="270">
        <f>W42/Jun!C42</f>
        <v>5000</v>
      </c>
      <c r="T19" s="270">
        <f>W38/Jun!C42</f>
        <v>2333.3333333333335</v>
      </c>
      <c r="U19" s="53"/>
      <c r="AF19" s="50"/>
      <c r="AG19" s="433"/>
    </row>
    <row r="20" spans="1:50" s="16" customFormat="1" ht="36.75" customHeight="1">
      <c r="A20" s="209"/>
      <c r="B20" s="521"/>
      <c r="C20" s="574"/>
      <c r="D20" s="545" t="s">
        <v>60</v>
      </c>
      <c r="E20" s="546"/>
      <c r="F20" s="598">
        <f>SUM(H20:U20)</f>
        <v>85449.800000000017</v>
      </c>
      <c r="G20" s="599"/>
      <c r="H20" s="277">
        <f>SUM(H11,H15)</f>
        <v>0</v>
      </c>
      <c r="I20" s="397">
        <f>SUM(I11,I15)</f>
        <v>4112.6000000000004</v>
      </c>
      <c r="J20" s="277">
        <f t="shared" ref="J20:S20" si="9">SUM(J11,J15)</f>
        <v>4082.2000000000003</v>
      </c>
      <c r="K20" s="277">
        <f t="shared" si="9"/>
        <v>3022.7</v>
      </c>
      <c r="L20" s="502">
        <f>SUM(M11,M15)</f>
        <v>20347.200000000012</v>
      </c>
      <c r="M20" s="503"/>
      <c r="N20" s="504"/>
      <c r="O20" s="277">
        <f t="shared" ref="O20" si="10">SUM(O11,O15)</f>
        <v>5515.2000000000016</v>
      </c>
      <c r="P20" s="277">
        <f t="shared" si="9"/>
        <v>0</v>
      </c>
      <c r="Q20" s="397">
        <f t="shared" si="9"/>
        <v>0</v>
      </c>
      <c r="R20" s="425">
        <f t="shared" si="9"/>
        <v>36702</v>
      </c>
      <c r="S20" s="425">
        <f t="shared" si="9"/>
        <v>9515.9000000000015</v>
      </c>
      <c r="T20" s="425">
        <f>SUM(T11,T15)</f>
        <v>2152.0000000000005</v>
      </c>
      <c r="U20" s="425">
        <f>SUM(U11,U15)</f>
        <v>0</v>
      </c>
      <c r="AF20" s="50"/>
      <c r="AG20" s="433"/>
    </row>
    <row r="21" spans="1:50" s="43" customFormat="1" ht="61.5" customHeight="1">
      <c r="A21" s="210"/>
      <c r="B21" s="521"/>
      <c r="C21" s="567" t="s">
        <v>64</v>
      </c>
      <c r="D21" s="600" t="s">
        <v>65</v>
      </c>
      <c r="E21" s="601"/>
      <c r="F21" s="600" t="s">
        <v>66</v>
      </c>
      <c r="G21" s="606"/>
      <c r="H21" s="601"/>
      <c r="I21" s="559" t="s">
        <v>30</v>
      </c>
      <c r="J21" s="560"/>
      <c r="K21" s="560"/>
      <c r="L21" s="560"/>
      <c r="M21" s="560"/>
      <c r="N21" s="560"/>
      <c r="O21" s="560"/>
      <c r="P21" s="560"/>
      <c r="Q21" s="561"/>
      <c r="R21" s="584" t="s">
        <v>203</v>
      </c>
      <c r="S21" s="585"/>
      <c r="T21" s="585"/>
      <c r="U21" s="585"/>
      <c r="V21" s="585"/>
      <c r="W21" s="585"/>
      <c r="X21" s="660" t="s">
        <v>202</v>
      </c>
      <c r="Y21" s="560"/>
      <c r="Z21" s="561"/>
      <c r="AA21" s="445"/>
      <c r="AB21" s="15"/>
      <c r="AC21" s="15"/>
      <c r="AD21" s="15"/>
      <c r="AE21" s="15"/>
      <c r="AF21" s="51"/>
      <c r="AG21" s="434"/>
      <c r="AH21" s="15"/>
      <c r="AI21" s="1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</row>
    <row r="22" spans="1:50" s="43" customFormat="1" ht="37" customHeight="1">
      <c r="A22" s="210"/>
      <c r="B22" s="521"/>
      <c r="C22" s="568"/>
      <c r="D22" s="602"/>
      <c r="E22" s="603"/>
      <c r="F22" s="604"/>
      <c r="G22" s="607"/>
      <c r="H22" s="605"/>
      <c r="I22" s="553" t="s">
        <v>192</v>
      </c>
      <c r="J22" s="553"/>
      <c r="K22" s="553"/>
      <c r="L22" s="553" t="s">
        <v>193</v>
      </c>
      <c r="M22" s="553"/>
      <c r="N22" s="553"/>
      <c r="O22" s="553" t="s">
        <v>194</v>
      </c>
      <c r="P22" s="553"/>
      <c r="Q22" s="553"/>
      <c r="R22" s="553" t="s">
        <v>119</v>
      </c>
      <c r="S22" s="407" t="s">
        <v>51</v>
      </c>
      <c r="T22" s="407" t="s">
        <v>120</v>
      </c>
      <c r="U22" s="407" t="s">
        <v>175</v>
      </c>
      <c r="V22" s="407" t="s">
        <v>55</v>
      </c>
      <c r="W22" s="407" t="s">
        <v>62</v>
      </c>
      <c r="X22" s="407" t="s">
        <v>124</v>
      </c>
      <c r="Y22" s="407" t="s">
        <v>125</v>
      </c>
      <c r="Z22" s="407" t="s">
        <v>62</v>
      </c>
      <c r="AA22" s="416"/>
      <c r="AB22" s="15"/>
      <c r="AC22" s="15"/>
      <c r="AD22" s="15"/>
      <c r="AE22" s="15"/>
      <c r="AF22" s="51"/>
      <c r="AG22" s="434"/>
      <c r="AH22" s="15"/>
      <c r="AI22" s="1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</row>
    <row r="23" spans="1:50" s="43" customFormat="1" ht="37" customHeight="1">
      <c r="A23" s="210"/>
      <c r="B23" s="521"/>
      <c r="C23" s="568"/>
      <c r="D23" s="604"/>
      <c r="E23" s="605"/>
      <c r="F23" s="531" t="s">
        <v>38</v>
      </c>
      <c r="G23" s="532"/>
      <c r="H23" s="533"/>
      <c r="I23" s="407" t="s">
        <v>68</v>
      </c>
      <c r="J23" s="407" t="s">
        <v>67</v>
      </c>
      <c r="K23" s="407" t="s">
        <v>53</v>
      </c>
      <c r="L23" s="407" t="s">
        <v>68</v>
      </c>
      <c r="M23" s="407" t="s">
        <v>67</v>
      </c>
      <c r="N23" s="407" t="s">
        <v>53</v>
      </c>
      <c r="O23" s="407" t="s">
        <v>68</v>
      </c>
      <c r="P23" s="407" t="s">
        <v>67</v>
      </c>
      <c r="Q23" s="407" t="s">
        <v>53</v>
      </c>
      <c r="R23" s="553"/>
      <c r="S23" s="407" t="s">
        <v>195</v>
      </c>
      <c r="T23" s="407" t="s">
        <v>195</v>
      </c>
      <c r="U23" s="407" t="s">
        <v>195</v>
      </c>
      <c r="V23" s="407" t="s">
        <v>195</v>
      </c>
      <c r="W23" s="407" t="s">
        <v>195</v>
      </c>
      <c r="X23" s="407" t="s">
        <v>195</v>
      </c>
      <c r="Y23" s="407" t="s">
        <v>195</v>
      </c>
      <c r="Z23" s="407" t="s">
        <v>195</v>
      </c>
      <c r="AA23" s="416"/>
      <c r="AB23" s="15"/>
      <c r="AC23" s="133"/>
      <c r="AD23" s="133"/>
      <c r="AE23" s="133"/>
      <c r="AF23" s="450"/>
      <c r="AG23" s="435"/>
      <c r="AH23" s="133"/>
      <c r="AI23" s="133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</row>
    <row r="24" spans="1:50" s="43" customFormat="1" ht="37" customHeight="1">
      <c r="A24" s="210"/>
      <c r="B24" s="521"/>
      <c r="C24" s="568"/>
      <c r="D24" s="497" t="s">
        <v>57</v>
      </c>
      <c r="E24" s="498"/>
      <c r="F24" s="499">
        <f>(SUM(L24:N24)+SUM(O24:Q24)+SUM(I24:K24))/3</f>
        <v>113</v>
      </c>
      <c r="G24" s="500"/>
      <c r="H24" s="501"/>
      <c r="I24" s="132">
        <v>44</v>
      </c>
      <c r="J24" s="132">
        <v>44</v>
      </c>
      <c r="K24" s="132">
        <v>25</v>
      </c>
      <c r="L24" s="132">
        <v>44</v>
      </c>
      <c r="M24" s="132">
        <v>44</v>
      </c>
      <c r="N24" s="132">
        <v>25</v>
      </c>
      <c r="O24" s="132">
        <v>44</v>
      </c>
      <c r="P24" s="132">
        <v>44</v>
      </c>
      <c r="Q24" s="132">
        <v>25</v>
      </c>
      <c r="R24" s="426" t="s">
        <v>121</v>
      </c>
      <c r="S24" s="472">
        <v>1560</v>
      </c>
      <c r="T24" s="472"/>
      <c r="U24" s="472"/>
      <c r="V24" s="472"/>
      <c r="W24" s="469">
        <f>SUM(S24:V24)</f>
        <v>1560</v>
      </c>
      <c r="X24" s="474">
        <v>43640.30000000001</v>
      </c>
      <c r="Y24" s="474">
        <v>44633.400000000009</v>
      </c>
      <c r="Z24" s="471">
        <f>SUM(X24:Y24)</f>
        <v>88273.700000000012</v>
      </c>
      <c r="AA24" s="423"/>
      <c r="AB24" s="15"/>
      <c r="AC24" s="422"/>
      <c r="AD24" s="422"/>
      <c r="AE24" s="422"/>
      <c r="AF24" s="451"/>
      <c r="AG24" s="436"/>
      <c r="AH24" s="422"/>
      <c r="AI24" s="422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</row>
    <row r="25" spans="1:50" s="43" customFormat="1" ht="37" customHeight="1">
      <c r="A25" s="210"/>
      <c r="B25" s="521"/>
      <c r="C25" s="568"/>
      <c r="D25" s="562" t="s">
        <v>58</v>
      </c>
      <c r="E25" s="546"/>
      <c r="F25" s="563">
        <f>(SUM(L25:N25)+SUM(O25:Q25)+SUM(I25:K25))/3</f>
        <v>100</v>
      </c>
      <c r="G25" s="564"/>
      <c r="H25" s="564"/>
      <c r="I25" s="465">
        <v>35</v>
      </c>
      <c r="J25" s="465">
        <v>35</v>
      </c>
      <c r="K25" s="465">
        <v>20</v>
      </c>
      <c r="L25" s="465">
        <v>41</v>
      </c>
      <c r="M25" s="465">
        <v>38</v>
      </c>
      <c r="N25" s="465">
        <v>25</v>
      </c>
      <c r="O25" s="465">
        <v>43</v>
      </c>
      <c r="P25" s="465">
        <v>38</v>
      </c>
      <c r="Q25" s="465">
        <v>25</v>
      </c>
      <c r="R25" s="427" t="s">
        <v>122</v>
      </c>
      <c r="S25" s="472">
        <v>15639</v>
      </c>
      <c r="T25" s="472"/>
      <c r="U25" s="472"/>
      <c r="V25" s="472">
        <v>3271</v>
      </c>
      <c r="W25" s="469">
        <f t="shared" ref="W25:W26" si="11">SUM(S25:V25)</f>
        <v>18910</v>
      </c>
      <c r="X25" s="474">
        <v>4150.6000000000568</v>
      </c>
      <c r="Y25" s="474">
        <v>176484.58700000003</v>
      </c>
      <c r="Z25" s="471">
        <f t="shared" ref="Z25:Z26" si="12">SUM(X25:Y25)</f>
        <v>180635.18700000009</v>
      </c>
      <c r="AA25" s="419"/>
      <c r="AB25" s="15"/>
      <c r="AC25" s="420"/>
      <c r="AD25" s="420"/>
      <c r="AE25" s="420"/>
      <c r="AF25" s="452"/>
      <c r="AG25" s="437"/>
      <c r="AH25" s="420"/>
      <c r="AI25" s="420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</row>
    <row r="26" spans="1:50" s="43" customFormat="1" ht="37" customHeight="1">
      <c r="A26" s="210"/>
      <c r="B26" s="521"/>
      <c r="C26" s="568"/>
      <c r="D26" s="652" t="s">
        <v>59</v>
      </c>
      <c r="E26" s="544"/>
      <c r="F26" s="577">
        <f>F25/F24</f>
        <v>0.88495575221238942</v>
      </c>
      <c r="G26" s="578"/>
      <c r="H26" s="578"/>
      <c r="I26" s="91">
        <f>IF(I24=0,0,((I25)/I24))</f>
        <v>0.79545454545454541</v>
      </c>
      <c r="J26" s="91">
        <f t="shared" ref="J26:Q26" si="13">IF(J24=0,0,((J25)/J24))</f>
        <v>0.79545454545454541</v>
      </c>
      <c r="K26" s="91">
        <f t="shared" si="13"/>
        <v>0.8</v>
      </c>
      <c r="L26" s="91">
        <f t="shared" si="13"/>
        <v>0.93181818181818177</v>
      </c>
      <c r="M26" s="91">
        <f t="shared" si="13"/>
        <v>0.86363636363636365</v>
      </c>
      <c r="N26" s="91">
        <f t="shared" si="13"/>
        <v>1</v>
      </c>
      <c r="O26" s="91">
        <f t="shared" si="13"/>
        <v>0.97727272727272729</v>
      </c>
      <c r="P26" s="91">
        <f t="shared" si="13"/>
        <v>0.86363636363636365</v>
      </c>
      <c r="Q26" s="91">
        <f t="shared" si="13"/>
        <v>1</v>
      </c>
      <c r="R26" s="428" t="s">
        <v>42</v>
      </c>
      <c r="S26" s="470">
        <v>11354.2</v>
      </c>
      <c r="T26" s="470">
        <v>33345</v>
      </c>
      <c r="U26" s="470">
        <v>57925.036</v>
      </c>
      <c r="V26" s="470"/>
      <c r="W26" s="473">
        <f t="shared" si="11"/>
        <v>102624.236</v>
      </c>
      <c r="X26" s="474">
        <v>34340.509999999966</v>
      </c>
      <c r="Y26" s="474">
        <v>133707</v>
      </c>
      <c r="Z26" s="471">
        <f t="shared" si="12"/>
        <v>168047.50999999995</v>
      </c>
      <c r="AA26" s="424"/>
      <c r="AB26" s="15"/>
      <c r="AC26" s="421"/>
      <c r="AD26" s="421"/>
      <c r="AE26" s="421"/>
      <c r="AF26" s="453"/>
      <c r="AG26" s="438"/>
      <c r="AH26" s="421"/>
      <c r="AI26" s="421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</row>
    <row r="27" spans="1:50" s="43" customFormat="1" ht="37" customHeight="1">
      <c r="A27" s="210"/>
      <c r="B27" s="521"/>
      <c r="C27" s="568"/>
      <c r="D27" s="545" t="s">
        <v>196</v>
      </c>
      <c r="E27" s="562"/>
      <c r="F27" s="505">
        <f>(SUM(L27:N27)+SUM(O27:Q27)+SUM(I27:K27))/3</f>
        <v>3.6666666666666665</v>
      </c>
      <c r="G27" s="506"/>
      <c r="H27" s="507"/>
      <c r="I27" s="569">
        <v>3</v>
      </c>
      <c r="J27" s="570"/>
      <c r="K27" s="571"/>
      <c r="L27" s="569">
        <v>4</v>
      </c>
      <c r="M27" s="570"/>
      <c r="N27" s="571"/>
      <c r="O27" s="569">
        <v>4</v>
      </c>
      <c r="P27" s="570"/>
      <c r="Q27" s="571"/>
      <c r="R27" s="608"/>
      <c r="S27" s="610"/>
      <c r="T27" s="610"/>
      <c r="U27" s="610"/>
      <c r="V27" s="610"/>
      <c r="W27" s="610"/>
      <c r="X27" s="610"/>
      <c r="Y27" s="610"/>
      <c r="Z27" s="664"/>
      <c r="AA27" s="414"/>
      <c r="AB27" s="15"/>
      <c r="AC27" s="415"/>
      <c r="AD27" s="415"/>
      <c r="AE27" s="415"/>
      <c r="AF27" s="454"/>
      <c r="AG27" s="439"/>
      <c r="AH27" s="415"/>
      <c r="AI27" s="415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  <c r="AX27" s="208"/>
    </row>
    <row r="28" spans="1:50" s="43" customFormat="1" ht="37" customHeight="1">
      <c r="A28" s="210"/>
      <c r="B28" s="521"/>
      <c r="C28" s="568"/>
      <c r="D28" s="545" t="s">
        <v>63</v>
      </c>
      <c r="E28" s="562"/>
      <c r="F28" s="485" t="s">
        <v>199</v>
      </c>
      <c r="G28" s="485" t="s">
        <v>200</v>
      </c>
      <c r="H28" s="485" t="s">
        <v>201</v>
      </c>
      <c r="I28" s="581">
        <f>$W$53/Jun!$D$42</f>
        <v>97500</v>
      </c>
      <c r="J28" s="582"/>
      <c r="K28" s="582"/>
      <c r="L28" s="582"/>
      <c r="M28" s="582"/>
      <c r="N28" s="582"/>
      <c r="O28" s="582"/>
      <c r="P28" s="582"/>
      <c r="Q28" s="583"/>
      <c r="R28" s="609"/>
      <c r="S28" s="611"/>
      <c r="T28" s="611"/>
      <c r="U28" s="611"/>
      <c r="V28" s="611"/>
      <c r="W28" s="611"/>
      <c r="X28" s="611"/>
      <c r="Y28" s="611"/>
      <c r="Z28" s="665"/>
      <c r="AA28" s="414"/>
      <c r="AB28" s="15"/>
      <c r="AC28" s="415"/>
      <c r="AD28" s="415"/>
      <c r="AE28" s="415"/>
      <c r="AF28" s="454"/>
      <c r="AG28" s="439"/>
      <c r="AH28" s="415"/>
      <c r="AI28" s="415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</row>
    <row r="29" spans="1:50" s="43" customFormat="1" ht="37" customHeight="1">
      <c r="A29" s="210"/>
      <c r="B29" s="521"/>
      <c r="C29" s="568"/>
      <c r="D29" s="554" t="s">
        <v>60</v>
      </c>
      <c r="E29" s="555"/>
      <c r="F29" s="484">
        <f>SUM(I29:K29)</f>
        <v>33665</v>
      </c>
      <c r="G29" s="484">
        <f>SUM(L29:N29)</f>
        <v>36520</v>
      </c>
      <c r="H29" s="484">
        <f>SUM(O29:Q29)</f>
        <v>36430</v>
      </c>
      <c r="I29" s="330">
        <v>14303</v>
      </c>
      <c r="J29" s="331">
        <v>12480</v>
      </c>
      <c r="K29" s="331">
        <v>6882</v>
      </c>
      <c r="L29" s="332">
        <v>14663</v>
      </c>
      <c r="M29" s="331">
        <v>13562</v>
      </c>
      <c r="N29" s="331">
        <v>8295</v>
      </c>
      <c r="O29" s="332">
        <v>14905</v>
      </c>
      <c r="P29" s="331">
        <v>13563</v>
      </c>
      <c r="Q29" s="331">
        <v>7962</v>
      </c>
      <c r="R29" s="612" t="s">
        <v>62</v>
      </c>
      <c r="S29" s="573">
        <f t="shared" ref="S29:Z29" si="14">SUM(S24:S26)</f>
        <v>28553.200000000001</v>
      </c>
      <c r="T29" s="573">
        <f t="shared" si="14"/>
        <v>33345</v>
      </c>
      <c r="U29" s="573">
        <f t="shared" si="14"/>
        <v>57925.036</v>
      </c>
      <c r="V29" s="573">
        <f t="shared" si="14"/>
        <v>3271</v>
      </c>
      <c r="W29" s="573">
        <f t="shared" si="14"/>
        <v>123094.236</v>
      </c>
      <c r="X29" s="573">
        <f t="shared" si="14"/>
        <v>82131.410000000033</v>
      </c>
      <c r="Y29" s="573">
        <f>SUM(Y24:Y26)</f>
        <v>354824.98700000002</v>
      </c>
      <c r="Z29" s="573">
        <f t="shared" si="14"/>
        <v>436956.39700000006</v>
      </c>
      <c r="AA29" s="415"/>
      <c r="AB29" s="15"/>
      <c r="AC29" s="417"/>
      <c r="AD29" s="417"/>
      <c r="AE29" s="417"/>
      <c r="AF29" s="455"/>
      <c r="AG29" s="440"/>
      <c r="AH29" s="417"/>
      <c r="AI29" s="417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</row>
    <row r="30" spans="1:50" s="43" customFormat="1" ht="37" customHeight="1">
      <c r="A30" s="210"/>
      <c r="B30" s="521"/>
      <c r="C30" s="568"/>
      <c r="D30" s="650" t="s">
        <v>62</v>
      </c>
      <c r="E30" s="651"/>
      <c r="F30" s="556">
        <f>SUM(F29:H29)</f>
        <v>106615</v>
      </c>
      <c r="G30" s="557"/>
      <c r="H30" s="558"/>
      <c r="I30" s="534">
        <f>SUM(I29:K29)</f>
        <v>33665</v>
      </c>
      <c r="J30" s="535"/>
      <c r="K30" s="535"/>
      <c r="L30" s="534">
        <f t="shared" ref="L30" si="15">SUM(L29:N29)</f>
        <v>36520</v>
      </c>
      <c r="M30" s="535"/>
      <c r="N30" s="535"/>
      <c r="O30" s="534">
        <f t="shared" ref="O30" si="16">SUM(O29:Q29)</f>
        <v>36430</v>
      </c>
      <c r="P30" s="535"/>
      <c r="Q30" s="572"/>
      <c r="R30" s="613"/>
      <c r="S30" s="573"/>
      <c r="T30" s="573"/>
      <c r="U30" s="573"/>
      <c r="V30" s="573"/>
      <c r="W30" s="573"/>
      <c r="X30" s="573"/>
      <c r="Y30" s="573"/>
      <c r="Z30" s="573"/>
      <c r="AA30" s="466"/>
      <c r="AB30" s="446"/>
      <c r="AC30" s="46"/>
      <c r="AD30" s="46"/>
      <c r="AE30" s="46"/>
      <c r="AF30" s="456" t="s">
        <v>70</v>
      </c>
      <c r="AG30" s="441"/>
      <c r="AH30" s="418"/>
      <c r="AI30" s="418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</row>
    <row r="31" spans="1:50" s="16" customFormat="1" ht="36.75" customHeight="1">
      <c r="A31" s="209"/>
      <c r="B31" s="521"/>
      <c r="C31" s="559" t="s">
        <v>71</v>
      </c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0"/>
      <c r="P31" s="560"/>
      <c r="Q31" s="560"/>
      <c r="R31" s="560"/>
      <c r="S31" s="560"/>
      <c r="T31" s="561"/>
      <c r="U31" s="559" t="s">
        <v>80</v>
      </c>
      <c r="V31" s="560"/>
      <c r="W31" s="560"/>
      <c r="X31" s="560"/>
      <c r="Y31" s="560"/>
      <c r="Z31" s="560"/>
      <c r="AA31" s="560"/>
      <c r="AB31" s="560"/>
      <c r="AC31" s="560"/>
      <c r="AD31" s="560"/>
      <c r="AE31" s="560"/>
      <c r="AF31" s="661"/>
      <c r="AG31" s="433"/>
      <c r="AJ31" s="209"/>
    </row>
    <row r="32" spans="1:50" s="16" customFormat="1" ht="37" customHeight="1">
      <c r="A32" s="209"/>
      <c r="B32" s="521"/>
      <c r="C32" s="523" t="s">
        <v>72</v>
      </c>
      <c r="D32" s="523"/>
      <c r="E32" s="524"/>
      <c r="F32" s="666" t="s">
        <v>72</v>
      </c>
      <c r="G32" s="667"/>
      <c r="H32" s="636" t="s">
        <v>73</v>
      </c>
      <c r="I32" s="637"/>
      <c r="J32" s="337" t="s">
        <v>74</v>
      </c>
      <c r="K32" s="338" t="s">
        <v>75</v>
      </c>
      <c r="L32" s="135" t="s">
        <v>76</v>
      </c>
      <c r="M32" s="413" t="s">
        <v>74</v>
      </c>
      <c r="N32" s="338" t="s">
        <v>75</v>
      </c>
      <c r="O32" s="135" t="s">
        <v>77</v>
      </c>
      <c r="P32" s="135" t="s">
        <v>78</v>
      </c>
      <c r="Q32" s="617" t="s">
        <v>79</v>
      </c>
      <c r="R32" s="618"/>
      <c r="S32" s="619"/>
      <c r="T32" s="136"/>
      <c r="U32" s="141" t="s">
        <v>81</v>
      </c>
      <c r="V32" s="410" t="s">
        <v>72</v>
      </c>
      <c r="W32" s="653" t="s">
        <v>82</v>
      </c>
      <c r="X32" s="654"/>
      <c r="Y32" s="653" t="s">
        <v>83</v>
      </c>
      <c r="Z32" s="654"/>
      <c r="AA32" s="655" t="s">
        <v>84</v>
      </c>
      <c r="AB32" s="656"/>
      <c r="AC32" s="657" t="s">
        <v>85</v>
      </c>
      <c r="AD32" s="658"/>
      <c r="AE32" s="657" t="s">
        <v>86</v>
      </c>
      <c r="AF32" s="659"/>
      <c r="AG32" s="433"/>
    </row>
    <row r="33" spans="1:33" s="16" customFormat="1" ht="37" customHeight="1">
      <c r="A33" s="209"/>
      <c r="B33" s="521"/>
      <c r="C33" s="525"/>
      <c r="D33" s="525"/>
      <c r="E33" s="526"/>
      <c r="F33" s="586" t="s">
        <v>39</v>
      </c>
      <c r="G33" s="587"/>
      <c r="H33" s="513" t="s">
        <v>73</v>
      </c>
      <c r="I33" s="514"/>
      <c r="J33" s="333">
        <v>0.56805555555555554</v>
      </c>
      <c r="K33" s="333">
        <v>0.85416666666666663</v>
      </c>
      <c r="L33" s="334" t="s">
        <v>76</v>
      </c>
      <c r="M33" s="333">
        <v>0.85416666666666663</v>
      </c>
      <c r="N33" s="333">
        <v>0.85972222222222217</v>
      </c>
      <c r="O33" s="335">
        <f t="shared" ref="O33:O96" si="17">(K33-J33+N33-M33)*24</f>
        <v>6.9999999999999991</v>
      </c>
      <c r="P33" s="336">
        <v>1.5</v>
      </c>
      <c r="Q33" s="515"/>
      <c r="R33" s="516"/>
      <c r="S33" s="517"/>
      <c r="T33" s="140" t="s">
        <v>62</v>
      </c>
      <c r="U33" s="467" t="s">
        <v>51</v>
      </c>
      <c r="V33" s="109" t="s">
        <v>39</v>
      </c>
      <c r="W33" s="626">
        <f>VLOOKUP($V33,Jun!$A$44:$C$59,2,)</f>
        <v>11666.666666666668</v>
      </c>
      <c r="X33" s="627"/>
      <c r="Y33" s="628">
        <f>VLOOKUP($V33,Jun!$A$44:$C$59,3,)</f>
        <v>2354.8000000000002</v>
      </c>
      <c r="Z33" s="629"/>
      <c r="AA33" s="646">
        <f>+Y33-W33</f>
        <v>-9311.8666666666686</v>
      </c>
      <c r="AB33" s="647"/>
      <c r="AC33" s="626">
        <f>IFERROR(IF(($AE33-$Y33)/(VLOOKUP("Remain day",Jun!$A$40:$D$43,3,0))&lt;0,0,($AE33-$Y33)/(VLOOKUP("Remain day",Jun!$A$40:$D$43,3,0))),0)</f>
        <v>2705.808</v>
      </c>
      <c r="AD33" s="627"/>
      <c r="AE33" s="648">
        <f>Jun!B38</f>
        <v>70000</v>
      </c>
      <c r="AF33" s="649"/>
      <c r="AG33" s="433"/>
    </row>
    <row r="34" spans="1:33" s="16" customFormat="1" ht="37" customHeight="1">
      <c r="A34" s="209"/>
      <c r="B34" s="521"/>
      <c r="C34" s="525"/>
      <c r="D34" s="525"/>
      <c r="E34" s="526"/>
      <c r="F34" s="588"/>
      <c r="G34" s="589"/>
      <c r="H34" s="508" t="s">
        <v>73</v>
      </c>
      <c r="I34" s="509"/>
      <c r="J34" s="333"/>
      <c r="K34" s="333"/>
      <c r="L34" s="110" t="s">
        <v>76</v>
      </c>
      <c r="M34" s="142"/>
      <c r="N34" s="142"/>
      <c r="O34" s="111">
        <f t="shared" si="17"/>
        <v>0</v>
      </c>
      <c r="P34" s="336"/>
      <c r="Q34" s="703"/>
      <c r="R34" s="704"/>
      <c r="S34" s="705"/>
      <c r="T34" s="144">
        <f>SUM(O33:O37)</f>
        <v>6.9999999999999991</v>
      </c>
      <c r="U34" s="468" t="s">
        <v>51</v>
      </c>
      <c r="V34" s="32" t="s">
        <v>150</v>
      </c>
      <c r="W34" s="622">
        <f>VLOOKUP($V34,Jun!$A$44:$C$59,2,)</f>
        <v>33333.333333333336</v>
      </c>
      <c r="X34" s="623"/>
      <c r="Y34" s="624">
        <f>VLOOKUP($V34,Jun!$A$44:$C$59,3,)</f>
        <v>47097.799999999996</v>
      </c>
      <c r="Z34" s="625"/>
      <c r="AA34" s="642">
        <f t="shared" ref="AA34:AA35" si="18">+Y34-W34</f>
        <v>13764.46666666666</v>
      </c>
      <c r="AB34" s="643"/>
      <c r="AC34" s="622">
        <f>IFERROR(IF(($AE34-$Y34)/(VLOOKUP("Remain day",Jun!$A$40:$D$43,3,0))&lt;0,0,($AE34-$Y34)/(VLOOKUP("Remain day",Jun!$A$40:$D$43,3,0))),0)</f>
        <v>6116.0880000000006</v>
      </c>
      <c r="AD34" s="623"/>
      <c r="AE34" s="644">
        <f>Jun!D38</f>
        <v>200000</v>
      </c>
      <c r="AF34" s="645"/>
      <c r="AG34" s="433"/>
    </row>
    <row r="35" spans="1:33" s="16" customFormat="1" ht="37" customHeight="1">
      <c r="A35" s="209"/>
      <c r="B35" s="521"/>
      <c r="C35" s="525"/>
      <c r="D35" s="525"/>
      <c r="E35" s="526"/>
      <c r="F35" s="588"/>
      <c r="G35" s="589"/>
      <c r="H35" s="508" t="s">
        <v>73</v>
      </c>
      <c r="I35" s="509"/>
      <c r="J35" s="142"/>
      <c r="K35" s="142"/>
      <c r="L35" s="110" t="s">
        <v>76</v>
      </c>
      <c r="M35" s="142"/>
      <c r="N35" s="142"/>
      <c r="O35" s="111">
        <f t="shared" si="17"/>
        <v>0</v>
      </c>
      <c r="P35" s="143"/>
      <c r="Q35" s="703"/>
      <c r="R35" s="704"/>
      <c r="S35" s="705"/>
      <c r="T35" s="48"/>
      <c r="U35" s="468" t="s">
        <v>51</v>
      </c>
      <c r="V35" s="32" t="s">
        <v>87</v>
      </c>
      <c r="W35" s="622">
        <f>VLOOKUP($V35,Jun!$A$44:$C$59,2,)</f>
        <v>11666.666666666668</v>
      </c>
      <c r="X35" s="623"/>
      <c r="Y35" s="624">
        <f>VLOOKUP($V35,Jun!$A$44:$C$59,3,)</f>
        <v>13135.2</v>
      </c>
      <c r="Z35" s="625"/>
      <c r="AA35" s="642">
        <f t="shared" si="18"/>
        <v>1468.5333333333328</v>
      </c>
      <c r="AB35" s="643"/>
      <c r="AC35" s="622">
        <f>IFERROR(IF(($AE35-$Y35)/(VLOOKUP("Remain day",Jun!$A$40:$D$43,3,0))&lt;0,0,($AE35-$Y35)/(VLOOKUP("Remain day",Jun!$A$40:$D$43,3,0))),0)</f>
        <v>2274.5920000000001</v>
      </c>
      <c r="AD35" s="623"/>
      <c r="AE35" s="644">
        <f>Jun!H38</f>
        <v>70000</v>
      </c>
      <c r="AF35" s="645"/>
      <c r="AG35" s="433"/>
    </row>
    <row r="36" spans="1:33" s="16" customFormat="1" ht="36.75" customHeight="1">
      <c r="A36" s="209"/>
      <c r="B36" s="521"/>
      <c r="C36" s="525"/>
      <c r="D36" s="525"/>
      <c r="E36" s="526"/>
      <c r="F36" s="588"/>
      <c r="G36" s="589"/>
      <c r="H36" s="508" t="s">
        <v>73</v>
      </c>
      <c r="I36" s="509"/>
      <c r="J36" s="142"/>
      <c r="K36" s="142"/>
      <c r="L36" s="110" t="s">
        <v>76</v>
      </c>
      <c r="M36" s="142"/>
      <c r="N36" s="142"/>
      <c r="O36" s="111">
        <f t="shared" si="17"/>
        <v>0</v>
      </c>
      <c r="P36" s="143"/>
      <c r="Q36" s="510"/>
      <c r="R36" s="511"/>
      <c r="S36" s="512"/>
      <c r="T36" s="48"/>
      <c r="U36" s="274" t="s">
        <v>51</v>
      </c>
      <c r="V36" s="88" t="s">
        <v>40</v>
      </c>
      <c r="W36" s="622">
        <f>VLOOKUP($V36,Jun!$A$44:$C$59,2,)</f>
        <v>29166.666666666664</v>
      </c>
      <c r="X36" s="623"/>
      <c r="Y36" s="624">
        <f>VLOOKUP($V36,Jun!$A$44:$C$59,3,)</f>
        <v>33987.4</v>
      </c>
      <c r="Z36" s="625"/>
      <c r="AA36" s="642">
        <f>+Y36-W36</f>
        <v>4820.7333333333372</v>
      </c>
      <c r="AB36" s="643"/>
      <c r="AC36" s="622">
        <f>IFERROR(IF(($AE36-$Y36)/(VLOOKUP("Remain day",Jun!$A$40:$D$43,3,0))&lt;0,0,($AE36-$Y36)/(VLOOKUP("Remain day",Jun!$A$40:$D$43,3,0))),0)</f>
        <v>5640.5039999999999</v>
      </c>
      <c r="AD36" s="623"/>
      <c r="AE36" s="644">
        <f>Jun!C38</f>
        <v>175000</v>
      </c>
      <c r="AF36" s="645"/>
      <c r="AG36" s="433"/>
    </row>
    <row r="37" spans="1:33" s="16" customFormat="1" ht="37" customHeight="1">
      <c r="A37" s="209"/>
      <c r="B37" s="521"/>
      <c r="C37" s="525"/>
      <c r="D37" s="525"/>
      <c r="E37" s="526"/>
      <c r="F37" s="590"/>
      <c r="G37" s="591"/>
      <c r="H37" s="518" t="s">
        <v>73</v>
      </c>
      <c r="I37" s="519"/>
      <c r="J37" s="145"/>
      <c r="K37" s="145"/>
      <c r="L37" s="146" t="s">
        <v>76</v>
      </c>
      <c r="M37" s="145"/>
      <c r="N37" s="145"/>
      <c r="O37" s="147">
        <f t="shared" si="17"/>
        <v>0</v>
      </c>
      <c r="P37" s="148"/>
      <c r="Q37" s="592"/>
      <c r="R37" s="593"/>
      <c r="S37" s="594"/>
      <c r="T37" s="149">
        <f>SUM(P33:P37)</f>
        <v>1.5</v>
      </c>
      <c r="U37" s="274"/>
      <c r="V37" s="88"/>
      <c r="W37" s="622"/>
      <c r="X37" s="623"/>
      <c r="Y37" s="624"/>
      <c r="Z37" s="625"/>
      <c r="AA37" s="642"/>
      <c r="AB37" s="643"/>
      <c r="AC37" s="622"/>
      <c r="AD37" s="623"/>
      <c r="AE37" s="644"/>
      <c r="AF37" s="645"/>
      <c r="AG37" s="433"/>
    </row>
    <row r="38" spans="1:33" s="16" customFormat="1" ht="37" customHeight="1">
      <c r="A38" s="209"/>
      <c r="B38" s="521"/>
      <c r="C38" s="525"/>
      <c r="D38" s="525"/>
      <c r="E38" s="526"/>
      <c r="F38" s="586" t="s">
        <v>89</v>
      </c>
      <c r="G38" s="587"/>
      <c r="H38" s="513" t="s">
        <v>73</v>
      </c>
      <c r="I38" s="514"/>
      <c r="J38" s="137">
        <v>0.54166666666666663</v>
      </c>
      <c r="K38" s="137">
        <v>0.68541666666666667</v>
      </c>
      <c r="L38" s="110" t="s">
        <v>76</v>
      </c>
      <c r="M38" s="137"/>
      <c r="N38" s="137"/>
      <c r="O38" s="138">
        <f t="shared" si="17"/>
        <v>3.4500000000000011</v>
      </c>
      <c r="P38" s="475">
        <v>4.5</v>
      </c>
      <c r="Q38" s="515"/>
      <c r="R38" s="516"/>
      <c r="S38" s="517"/>
      <c r="T38" s="140" t="s">
        <v>62</v>
      </c>
      <c r="U38" s="204" t="s">
        <v>55</v>
      </c>
      <c r="V38" s="150" t="s">
        <v>43</v>
      </c>
      <c r="W38" s="630">
        <f>VLOOKUP($V38,Jun!$A$44:$C$59,2,)</f>
        <v>11666.666666666668</v>
      </c>
      <c r="X38" s="631"/>
      <c r="Y38" s="632">
        <f>VLOOKUP($V38,Jun!$A$44:$C$59,3,)</f>
        <v>12045.400000000001</v>
      </c>
      <c r="Z38" s="633"/>
      <c r="AA38" s="714">
        <f t="shared" ref="AA38" si="19">+Y38-W38</f>
        <v>378.73333333333358</v>
      </c>
      <c r="AB38" s="715"/>
      <c r="AC38" s="630">
        <f>IFERROR(IF(($AE38-$Y38)/(VLOOKUP("Remain day",Jun!$A$40:$D$43,3,0))&lt;0,0,($AE38-$Y38)/(VLOOKUP("Remain day",Jun!$A$40:$D$43,3,0))),0)</f>
        <v>2318.1839999999997</v>
      </c>
      <c r="AD38" s="631"/>
      <c r="AE38" s="634">
        <f>Jun!X38</f>
        <v>70000</v>
      </c>
      <c r="AF38" s="635"/>
      <c r="AG38" s="433"/>
    </row>
    <row r="39" spans="1:33" s="16" customFormat="1" ht="37" customHeight="1">
      <c r="A39" s="209"/>
      <c r="B39" s="521"/>
      <c r="C39" s="525"/>
      <c r="D39" s="525"/>
      <c r="E39" s="526"/>
      <c r="F39" s="588"/>
      <c r="G39" s="589"/>
      <c r="H39" s="508" t="s">
        <v>73</v>
      </c>
      <c r="I39" s="509"/>
      <c r="J39" s="142"/>
      <c r="K39" s="142"/>
      <c r="L39" s="110" t="s">
        <v>76</v>
      </c>
      <c r="M39" s="142"/>
      <c r="N39" s="142"/>
      <c r="O39" s="111">
        <f t="shared" si="17"/>
        <v>0</v>
      </c>
      <c r="P39" s="476"/>
      <c r="Q39" s="510"/>
      <c r="R39" s="511"/>
      <c r="S39" s="512"/>
      <c r="T39" s="144">
        <f>SUM(O38:O42)</f>
        <v>3.4500000000000011</v>
      </c>
      <c r="U39" s="636" t="s">
        <v>90</v>
      </c>
      <c r="V39" s="637"/>
      <c r="W39" s="638">
        <f>SUM(W33:X38)</f>
        <v>97500.000000000015</v>
      </c>
      <c r="X39" s="639"/>
      <c r="Y39" s="638">
        <f>SUM(Y33:Z38)</f>
        <v>108620.6</v>
      </c>
      <c r="Z39" s="639"/>
      <c r="AA39" s="707">
        <f t="shared" ref="AA39:AA46" si="20">+Y39-W39</f>
        <v>11120.599999999991</v>
      </c>
      <c r="AB39" s="708"/>
      <c r="AC39" s="707">
        <f>SUM(AC33:AD38)</f>
        <v>19055.176000000003</v>
      </c>
      <c r="AD39" s="708"/>
      <c r="AE39" s="716">
        <f>SUM(AE33,AE34,AE35,AE36,AE38)</f>
        <v>585000</v>
      </c>
      <c r="AF39" s="717"/>
      <c r="AG39" s="433"/>
    </row>
    <row r="40" spans="1:33" s="16" customFormat="1" ht="37" customHeight="1">
      <c r="A40" s="209"/>
      <c r="B40" s="521"/>
      <c r="C40" s="525"/>
      <c r="D40" s="525"/>
      <c r="E40" s="526"/>
      <c r="F40" s="588"/>
      <c r="G40" s="589"/>
      <c r="H40" s="508" t="s">
        <v>73</v>
      </c>
      <c r="I40" s="509"/>
      <c r="J40" s="142"/>
      <c r="K40" s="142"/>
      <c r="L40" s="110" t="s">
        <v>76</v>
      </c>
      <c r="M40" s="142"/>
      <c r="N40" s="142"/>
      <c r="O40" s="111">
        <f t="shared" si="17"/>
        <v>0</v>
      </c>
      <c r="P40" s="143"/>
      <c r="Q40" s="510"/>
      <c r="R40" s="511"/>
      <c r="S40" s="512"/>
      <c r="T40" s="48"/>
      <c r="U40" s="151" t="s">
        <v>120</v>
      </c>
      <c r="V40" s="151" t="s">
        <v>91</v>
      </c>
      <c r="W40" s="640">
        <f>VLOOKUP($V40,Jun!$A$44:$C$59,2,)</f>
        <v>108333.33333333334</v>
      </c>
      <c r="X40" s="641"/>
      <c r="Y40" s="712">
        <f>VLOOKUP($V40,Jun!$A$44:$C$59,3,)</f>
        <v>94072.700000000012</v>
      </c>
      <c r="Z40" s="713"/>
      <c r="AA40" s="718">
        <f t="shared" si="20"/>
        <v>-14260.633333333331</v>
      </c>
      <c r="AB40" s="719"/>
      <c r="AC40" s="640">
        <f>IFERROR(IF(($AE40-$Y40)/(VLOOKUP("Remain day",Jun!$A$40:$D$43,3,0))&lt;0,0,($AE40-$Y40)/(VLOOKUP("Remain day",Jun!$A$40:$D$43,3,0))),0)</f>
        <v>22237.092000000001</v>
      </c>
      <c r="AD40" s="641"/>
      <c r="AE40" s="710">
        <f>Jun!J38</f>
        <v>650000</v>
      </c>
      <c r="AF40" s="711"/>
      <c r="AG40" s="433"/>
    </row>
    <row r="41" spans="1:33" s="16" customFormat="1" ht="37" customHeight="1">
      <c r="A41" s="209"/>
      <c r="B41" s="521"/>
      <c r="C41" s="525"/>
      <c r="D41" s="525"/>
      <c r="E41" s="526"/>
      <c r="F41" s="588"/>
      <c r="G41" s="589"/>
      <c r="H41" s="508" t="s">
        <v>73</v>
      </c>
      <c r="I41" s="509"/>
      <c r="J41" s="142"/>
      <c r="K41" s="142"/>
      <c r="L41" s="110" t="s">
        <v>76</v>
      </c>
      <c r="M41" s="142"/>
      <c r="N41" s="142"/>
      <c r="O41" s="111">
        <f t="shared" si="17"/>
        <v>0</v>
      </c>
      <c r="P41" s="143"/>
      <c r="Q41" s="510"/>
      <c r="R41" s="511"/>
      <c r="S41" s="512"/>
      <c r="T41" s="48"/>
      <c r="U41" s="467" t="s">
        <v>51</v>
      </c>
      <c r="V41" s="109" t="s">
        <v>182</v>
      </c>
      <c r="W41" s="626">
        <f>VLOOKUP($V41,Jun!$A$44:$C$59,2,)</f>
        <v>21666.666666666664</v>
      </c>
      <c r="X41" s="627"/>
      <c r="Y41" s="628">
        <f>VLOOKUP($V41,Jun!$A$44:$C$59,3,)</f>
        <v>26789.30000000001</v>
      </c>
      <c r="Z41" s="629"/>
      <c r="AA41" s="646">
        <f>+Y41-W41</f>
        <v>5122.6333333333459</v>
      </c>
      <c r="AB41" s="647"/>
      <c r="AC41" s="626">
        <f>IFERROR(IF(($AE41-$Y41)/(VLOOKUP("Remain day",Jun!$A$40:$D$43,3,0))&lt;0,0,($AE41-$Y41)/(VLOOKUP("Remain day",Jun!$A$40:$D$43,3,0))),0)</f>
        <v>4128.427999999999</v>
      </c>
      <c r="AD41" s="627"/>
      <c r="AE41" s="648">
        <f>Jun!I38</f>
        <v>130000</v>
      </c>
      <c r="AF41" s="649"/>
      <c r="AG41" s="433"/>
    </row>
    <row r="42" spans="1:33" s="16" customFormat="1" ht="37" customHeight="1">
      <c r="A42" s="209"/>
      <c r="B42" s="521"/>
      <c r="C42" s="525"/>
      <c r="D42" s="525"/>
      <c r="E42" s="526"/>
      <c r="F42" s="590"/>
      <c r="G42" s="591"/>
      <c r="H42" s="518" t="s">
        <v>73</v>
      </c>
      <c r="I42" s="519"/>
      <c r="J42" s="145"/>
      <c r="K42" s="145"/>
      <c r="L42" s="146" t="s">
        <v>76</v>
      </c>
      <c r="M42" s="145"/>
      <c r="N42" s="145"/>
      <c r="O42" s="147">
        <f t="shared" si="17"/>
        <v>0</v>
      </c>
      <c r="P42" s="148"/>
      <c r="Q42" s="592"/>
      <c r="R42" s="593"/>
      <c r="S42" s="594"/>
      <c r="T42" s="149">
        <f>SUM(P38:P42)</f>
        <v>4.5</v>
      </c>
      <c r="U42" s="274" t="s">
        <v>51</v>
      </c>
      <c r="V42" s="152" t="s">
        <v>92</v>
      </c>
      <c r="W42" s="622">
        <f>VLOOKUP($V42,Jun!$A$44:$C$59,2,)</f>
        <v>25000</v>
      </c>
      <c r="X42" s="623"/>
      <c r="Y42" s="624">
        <f>VLOOKUP($V42,Jun!$A$44:$C$59,3,)</f>
        <v>38649.699999999997</v>
      </c>
      <c r="Z42" s="625"/>
      <c r="AA42" s="642">
        <f t="shared" si="20"/>
        <v>13649.699999999997</v>
      </c>
      <c r="AB42" s="643"/>
      <c r="AC42" s="622">
        <f>IFERROR(IF(($AE42-$Y42)/(VLOOKUP("Remain day",Jun!$A$40:$D$43,3,0))&lt;0,0,($AE42-$Y42)/(VLOOKUP("Remain day",Jun!$A$40:$D$43,3,0))),0)</f>
        <v>4454.0119999999997</v>
      </c>
      <c r="AD42" s="623"/>
      <c r="AE42" s="644">
        <f>Jun!U38</f>
        <v>150000</v>
      </c>
      <c r="AF42" s="645"/>
      <c r="AG42" s="433"/>
    </row>
    <row r="43" spans="1:33" s="16" customFormat="1" ht="37" customHeight="1">
      <c r="A43" s="209"/>
      <c r="B43" s="521"/>
      <c r="C43" s="525"/>
      <c r="D43" s="525"/>
      <c r="E43" s="526"/>
      <c r="F43" s="491" t="s">
        <v>92</v>
      </c>
      <c r="G43" s="492"/>
      <c r="H43" s="513" t="s">
        <v>73</v>
      </c>
      <c r="I43" s="514"/>
      <c r="J43" s="137">
        <v>0.53611111111111109</v>
      </c>
      <c r="K43" s="137">
        <v>0.70624999999999993</v>
      </c>
      <c r="L43" s="110" t="s">
        <v>76</v>
      </c>
      <c r="M43" s="137">
        <v>0.70624999999999993</v>
      </c>
      <c r="N43" s="137">
        <v>0.81319444444444444</v>
      </c>
      <c r="O43" s="138">
        <f t="shared" si="17"/>
        <v>6.65</v>
      </c>
      <c r="P43" s="475">
        <v>3.5</v>
      </c>
      <c r="Q43" s="515"/>
      <c r="R43" s="516"/>
      <c r="S43" s="517"/>
      <c r="T43" s="409" t="s">
        <v>62</v>
      </c>
      <c r="U43" s="274" t="s">
        <v>51</v>
      </c>
      <c r="V43" s="152" t="s">
        <v>188</v>
      </c>
      <c r="W43" s="622">
        <f>VLOOKUP($V43,Jun!$A$44:$C$59,2,)</f>
        <v>14166.666666666664</v>
      </c>
      <c r="X43" s="623"/>
      <c r="Y43" s="624">
        <f>VLOOKUP($V43,Jun!$A$44:$C$59,3,)</f>
        <v>0</v>
      </c>
      <c r="Z43" s="625"/>
      <c r="AA43" s="642">
        <f t="shared" ref="AA43" si="21">+Y43-W43</f>
        <v>-14166.666666666664</v>
      </c>
      <c r="AB43" s="643"/>
      <c r="AC43" s="622">
        <f>IFERROR(IF(($AE43-$Y43)/(VLOOKUP("Remain day",Jun!$A$40:$D$43,3,0))&lt;0,0,($AE43-$Y43)/(VLOOKUP("Remain day",Jun!$A$40:$D$43,3,0))),0)</f>
        <v>3399.9999999999995</v>
      </c>
      <c r="AD43" s="623"/>
      <c r="AE43" s="644">
        <f>Jun!V38</f>
        <v>84999.999999999985</v>
      </c>
      <c r="AF43" s="645"/>
      <c r="AG43" s="433"/>
    </row>
    <row r="44" spans="1:33" s="16" customFormat="1" ht="37" customHeight="1">
      <c r="A44" s="209"/>
      <c r="B44" s="521"/>
      <c r="C44" s="525"/>
      <c r="D44" s="525"/>
      <c r="E44" s="526"/>
      <c r="F44" s="493"/>
      <c r="G44" s="494"/>
      <c r="H44" s="508" t="s">
        <v>73</v>
      </c>
      <c r="I44" s="509"/>
      <c r="J44" s="142"/>
      <c r="K44" s="142"/>
      <c r="L44" s="110" t="s">
        <v>76</v>
      </c>
      <c r="M44" s="142"/>
      <c r="N44" s="142"/>
      <c r="O44" s="111">
        <f t="shared" si="17"/>
        <v>0</v>
      </c>
      <c r="P44" s="476"/>
      <c r="Q44" s="510"/>
      <c r="R44" s="511"/>
      <c r="S44" s="512"/>
      <c r="T44" s="144">
        <f>SUM(O43:O47)</f>
        <v>6.65</v>
      </c>
      <c r="U44" s="274" t="s">
        <v>50</v>
      </c>
      <c r="V44" s="152" t="s">
        <v>93</v>
      </c>
      <c r="W44" s="622">
        <f>VLOOKUP($V44,Jun!$A$44:$C$59,2,)</f>
        <v>188333.33333333331</v>
      </c>
      <c r="X44" s="623"/>
      <c r="Y44" s="624">
        <f>VLOOKUP($V44,Jun!$A$44:$C$59,3,)</f>
        <v>222916.8</v>
      </c>
      <c r="Z44" s="625"/>
      <c r="AA44" s="642">
        <f t="shared" si="20"/>
        <v>34583.466666666674</v>
      </c>
      <c r="AB44" s="643"/>
      <c r="AC44" s="630">
        <f>IFERROR(IF(($AE44-$Y44)/(VLOOKUP("Remain day",Jun!$A$40:$D$43,3,0))&lt;0,0,($AE44-$Y44)/(VLOOKUP("Remain day",Jun!$A$40:$D$43,3,0))),0)</f>
        <v>36283.328000000001</v>
      </c>
      <c r="AD44" s="631"/>
      <c r="AE44" s="644">
        <f>Jun!W38</f>
        <v>1130000</v>
      </c>
      <c r="AF44" s="645"/>
      <c r="AG44" s="433"/>
    </row>
    <row r="45" spans="1:33" s="16" customFormat="1" ht="37" customHeight="1">
      <c r="A45" s="209"/>
      <c r="B45" s="521"/>
      <c r="C45" s="525"/>
      <c r="D45" s="525"/>
      <c r="E45" s="526"/>
      <c r="F45" s="493"/>
      <c r="G45" s="494"/>
      <c r="H45" s="508" t="s">
        <v>198</v>
      </c>
      <c r="I45" s="509"/>
      <c r="J45" s="142"/>
      <c r="K45" s="142"/>
      <c r="L45" s="110" t="s">
        <v>76</v>
      </c>
      <c r="M45" s="142"/>
      <c r="N45" s="142"/>
      <c r="O45" s="111">
        <f t="shared" si="17"/>
        <v>0</v>
      </c>
      <c r="P45" s="476"/>
      <c r="Q45" s="510"/>
      <c r="R45" s="511"/>
      <c r="S45" s="512"/>
      <c r="T45" s="144"/>
      <c r="U45" s="636" t="s">
        <v>90</v>
      </c>
      <c r="V45" s="637"/>
      <c r="W45" s="638">
        <f>SUM(W40:X44)</f>
        <v>357500</v>
      </c>
      <c r="X45" s="639"/>
      <c r="Y45" s="638">
        <f>SUM(Y40:Z44)</f>
        <v>382428.5</v>
      </c>
      <c r="Z45" s="639"/>
      <c r="AA45" s="707">
        <f t="shared" si="20"/>
        <v>24928.5</v>
      </c>
      <c r="AB45" s="708"/>
      <c r="AC45" s="638">
        <f>SUM(AC40:AD44)</f>
        <v>70502.86</v>
      </c>
      <c r="AD45" s="639"/>
      <c r="AE45" s="638">
        <f>SUM(AE40:AF44)</f>
        <v>2145000</v>
      </c>
      <c r="AF45" s="709"/>
      <c r="AG45" s="433"/>
    </row>
    <row r="46" spans="1:33" s="16" customFormat="1" ht="37" customHeight="1">
      <c r="A46" s="209"/>
      <c r="B46" s="521"/>
      <c r="C46" s="525"/>
      <c r="D46" s="525"/>
      <c r="E46" s="526"/>
      <c r="F46" s="493"/>
      <c r="G46" s="494"/>
      <c r="H46" s="508" t="s">
        <v>73</v>
      </c>
      <c r="I46" s="509"/>
      <c r="J46" s="142"/>
      <c r="K46" s="142"/>
      <c r="L46" s="110" t="s">
        <v>76</v>
      </c>
      <c r="M46" s="142"/>
      <c r="N46" s="142"/>
      <c r="O46" s="111">
        <f t="shared" si="17"/>
        <v>0</v>
      </c>
      <c r="P46" s="143"/>
      <c r="Q46" s="510"/>
      <c r="R46" s="511"/>
      <c r="S46" s="512"/>
      <c r="T46" s="48"/>
      <c r="U46" s="655" t="s">
        <v>94</v>
      </c>
      <c r="V46" s="656"/>
      <c r="W46" s="655">
        <f>SUM(W45,W39)</f>
        <v>455000</v>
      </c>
      <c r="X46" s="656"/>
      <c r="Y46" s="655">
        <f>SUM(Y45,Y39)</f>
        <v>491049.1</v>
      </c>
      <c r="Z46" s="656"/>
      <c r="AA46" s="707">
        <f t="shared" si="20"/>
        <v>36049.099999999977</v>
      </c>
      <c r="AB46" s="708"/>
      <c r="AC46" s="655">
        <f>SUM(AC39,AC45)</f>
        <v>89558.036000000007</v>
      </c>
      <c r="AD46" s="656"/>
      <c r="AE46" s="655">
        <f>SUM(AE45,AE39)</f>
        <v>2730000</v>
      </c>
      <c r="AF46" s="706"/>
      <c r="AG46" s="433"/>
    </row>
    <row r="47" spans="1:33" s="16" customFormat="1" ht="37" customHeight="1">
      <c r="A47" s="209"/>
      <c r="B47" s="521"/>
      <c r="C47" s="525"/>
      <c r="D47" s="525"/>
      <c r="E47" s="526"/>
      <c r="F47" s="495"/>
      <c r="G47" s="496"/>
      <c r="H47" s="518" t="s">
        <v>73</v>
      </c>
      <c r="I47" s="519"/>
      <c r="J47" s="145"/>
      <c r="K47" s="145"/>
      <c r="L47" s="146" t="s">
        <v>76</v>
      </c>
      <c r="M47" s="145"/>
      <c r="N47" s="145"/>
      <c r="O47" s="147">
        <f t="shared" si="17"/>
        <v>0</v>
      </c>
      <c r="P47" s="148"/>
      <c r="Q47" s="592"/>
      <c r="R47" s="593"/>
      <c r="S47" s="594"/>
      <c r="T47" s="149">
        <f>SUM(P43:P47)</f>
        <v>3.5</v>
      </c>
      <c r="U47" s="134"/>
      <c r="V47" s="134"/>
      <c r="W47" s="134"/>
      <c r="AE47" s="46"/>
      <c r="AF47" s="457" t="s">
        <v>70</v>
      </c>
      <c r="AG47" s="433"/>
    </row>
    <row r="48" spans="1:33" s="16" customFormat="1" ht="36.75" customHeight="1">
      <c r="A48" s="209"/>
      <c r="B48" s="521"/>
      <c r="C48" s="525"/>
      <c r="D48" s="525"/>
      <c r="E48" s="526"/>
      <c r="F48" s="586" t="s">
        <v>40</v>
      </c>
      <c r="G48" s="587"/>
      <c r="H48" s="513" t="s">
        <v>198</v>
      </c>
      <c r="I48" s="514"/>
      <c r="J48" s="137">
        <v>0.52500000000000002</v>
      </c>
      <c r="K48" s="137">
        <v>0.83333333333333337</v>
      </c>
      <c r="L48" s="110" t="s">
        <v>76</v>
      </c>
      <c r="M48" s="137">
        <v>0.83333333333333337</v>
      </c>
      <c r="N48" s="137">
        <v>0.86875000000000002</v>
      </c>
      <c r="O48" s="138">
        <f t="shared" si="17"/>
        <v>8.2500000000000036</v>
      </c>
      <c r="P48" s="475">
        <v>12</v>
      </c>
      <c r="Q48" s="515"/>
      <c r="R48" s="516"/>
      <c r="S48" s="517"/>
      <c r="T48" s="140" t="s">
        <v>62</v>
      </c>
      <c r="U48" s="559" t="s">
        <v>95</v>
      </c>
      <c r="V48" s="560"/>
      <c r="W48" s="560"/>
      <c r="X48" s="560"/>
      <c r="Y48" s="560"/>
      <c r="Z48" s="560"/>
      <c r="AA48" s="560"/>
      <c r="AB48" s="560"/>
      <c r="AC48" s="560"/>
      <c r="AD48" s="560"/>
      <c r="AE48" s="560"/>
      <c r="AF48" s="661"/>
      <c r="AG48" s="433"/>
    </row>
    <row r="49" spans="1:38" s="16" customFormat="1" ht="37" customHeight="1">
      <c r="A49" s="209"/>
      <c r="B49" s="521"/>
      <c r="C49" s="525"/>
      <c r="D49" s="525"/>
      <c r="E49" s="526"/>
      <c r="F49" s="588"/>
      <c r="G49" s="589"/>
      <c r="H49" s="508" t="s">
        <v>73</v>
      </c>
      <c r="I49" s="509"/>
      <c r="J49" s="142"/>
      <c r="K49" s="142"/>
      <c r="L49" s="110" t="s">
        <v>76</v>
      </c>
      <c r="M49" s="142"/>
      <c r="N49" s="142"/>
      <c r="O49" s="111">
        <f t="shared" si="17"/>
        <v>0</v>
      </c>
      <c r="P49" s="476"/>
      <c r="Q49" s="510"/>
      <c r="R49" s="511"/>
      <c r="S49" s="512"/>
      <c r="T49" s="144">
        <f>SUM(O48:O52)</f>
        <v>8.2500000000000036</v>
      </c>
      <c r="U49" s="655" t="s">
        <v>81</v>
      </c>
      <c r="V49" s="656"/>
      <c r="W49" s="653" t="s">
        <v>82</v>
      </c>
      <c r="X49" s="654"/>
      <c r="Y49" s="653" t="s">
        <v>83</v>
      </c>
      <c r="Z49" s="654"/>
      <c r="AA49" s="655" t="s">
        <v>84</v>
      </c>
      <c r="AB49" s="656"/>
      <c r="AC49" s="657" t="s">
        <v>85</v>
      </c>
      <c r="AD49" s="658"/>
      <c r="AE49" s="657" t="s">
        <v>86</v>
      </c>
      <c r="AF49" s="659"/>
      <c r="AG49" s="433"/>
    </row>
    <row r="50" spans="1:38" s="16" customFormat="1" ht="37" customHeight="1">
      <c r="A50" s="209"/>
      <c r="B50" s="521"/>
      <c r="C50" s="525"/>
      <c r="D50" s="525"/>
      <c r="E50" s="526"/>
      <c r="F50" s="588"/>
      <c r="G50" s="589"/>
      <c r="H50" s="508" t="s">
        <v>73</v>
      </c>
      <c r="I50" s="509"/>
      <c r="J50" s="142"/>
      <c r="K50" s="142"/>
      <c r="L50" s="110" t="s">
        <v>76</v>
      </c>
      <c r="M50" s="142"/>
      <c r="N50" s="142"/>
      <c r="O50" s="111">
        <f t="shared" si="17"/>
        <v>0</v>
      </c>
      <c r="P50" s="476"/>
      <c r="Q50" s="510"/>
      <c r="R50" s="511"/>
      <c r="S50" s="512"/>
      <c r="T50" s="153"/>
      <c r="U50" s="722" t="s">
        <v>136</v>
      </c>
      <c r="V50" s="723"/>
      <c r="W50" s="626">
        <f>VLOOKUP($U50,Jun!$A$43:$C$74,2,)</f>
        <v>173571.42857142858</v>
      </c>
      <c r="X50" s="627"/>
      <c r="Y50" s="628">
        <f>VLOOKUP($U50,Jun!$A$43:$C$74,3,)</f>
        <v>196388</v>
      </c>
      <c r="Z50" s="629"/>
      <c r="AA50" s="646">
        <f>+Y50-W50</f>
        <v>22816.57142857142</v>
      </c>
      <c r="AB50" s="647"/>
      <c r="AC50" s="640">
        <f>IFERROR(IF(($AE50-$Y50)/(VLOOKUP("Remain day",Jun!$A$40:$D$43,4,0))&lt;0,0,($AE50-$Y50)/(VLOOKUP("Remain day",Jun!$A$40:$D$43,4,0))),0)</f>
        <v>37600.51063829787</v>
      </c>
      <c r="AD50" s="641"/>
      <c r="AE50" s="648">
        <f>Jun!AB38</f>
        <v>1080000</v>
      </c>
      <c r="AF50" s="649"/>
      <c r="AG50" s="433"/>
    </row>
    <row r="51" spans="1:38" s="16" customFormat="1" ht="37" customHeight="1">
      <c r="A51" s="209"/>
      <c r="B51" s="521"/>
      <c r="C51" s="525"/>
      <c r="D51" s="525"/>
      <c r="E51" s="526"/>
      <c r="F51" s="588"/>
      <c r="G51" s="589"/>
      <c r="H51" s="508" t="s">
        <v>73</v>
      </c>
      <c r="I51" s="509"/>
      <c r="J51" s="142"/>
      <c r="K51" s="142"/>
      <c r="L51" s="110" t="s">
        <v>76</v>
      </c>
      <c r="M51" s="142"/>
      <c r="N51" s="142"/>
      <c r="O51" s="111">
        <f t="shared" si="17"/>
        <v>0</v>
      </c>
      <c r="P51" s="143"/>
      <c r="Q51" s="510"/>
      <c r="R51" s="511"/>
      <c r="S51" s="512"/>
      <c r="T51" s="154"/>
      <c r="U51" s="720" t="s">
        <v>137</v>
      </c>
      <c r="V51" s="721"/>
      <c r="W51" s="622">
        <f>VLOOKUP($U51,Jun!$A$43:$C$74,2,)</f>
        <v>165535.71428571426</v>
      </c>
      <c r="X51" s="623"/>
      <c r="Y51" s="624">
        <f>VLOOKUP($U51,Jun!$A$43:$C$74,3,)</f>
        <v>179185</v>
      </c>
      <c r="Z51" s="625"/>
      <c r="AA51" s="642">
        <f>+Y51-W51</f>
        <v>13649.285714285739</v>
      </c>
      <c r="AB51" s="643"/>
      <c r="AC51" s="622">
        <f>IFERROR(IF(($AE51-$Y51)/(VLOOKUP("Remain day",Jun!$A$40:$D$43,4,0))&lt;0,0,($AE51-$Y51)/(VLOOKUP("Remain day",Jun!$A$40:$D$43,4,0))),0)</f>
        <v>36204.893617021276</v>
      </c>
      <c r="AD51" s="623"/>
      <c r="AE51" s="644">
        <f>Jun!AC38</f>
        <v>1030000</v>
      </c>
      <c r="AF51" s="645"/>
      <c r="AG51" s="433"/>
    </row>
    <row r="52" spans="1:38" s="16" customFormat="1" ht="37" customHeight="1">
      <c r="A52" s="209"/>
      <c r="B52" s="521"/>
      <c r="C52" s="525"/>
      <c r="D52" s="525"/>
      <c r="E52" s="526"/>
      <c r="F52" s="590"/>
      <c r="G52" s="591"/>
      <c r="H52" s="518" t="s">
        <v>73</v>
      </c>
      <c r="I52" s="519"/>
      <c r="J52" s="145"/>
      <c r="K52" s="145"/>
      <c r="L52" s="146" t="s">
        <v>76</v>
      </c>
      <c r="M52" s="145"/>
      <c r="N52" s="145"/>
      <c r="O52" s="147">
        <f t="shared" si="17"/>
        <v>0</v>
      </c>
      <c r="P52" s="148"/>
      <c r="Q52" s="592"/>
      <c r="R52" s="593"/>
      <c r="S52" s="594"/>
      <c r="T52" s="149">
        <f>SUM(P48:P52)</f>
        <v>12</v>
      </c>
      <c r="U52" s="720" t="s">
        <v>53</v>
      </c>
      <c r="V52" s="721"/>
      <c r="W52" s="622">
        <f>VLOOKUP($U52,Jun!$A$43:$C$74,2,)</f>
        <v>99642.85714285713</v>
      </c>
      <c r="X52" s="623"/>
      <c r="Y52" s="624">
        <f>VLOOKUP($U52,Jun!$A$43:$C$74,3,)</f>
        <v>110845</v>
      </c>
      <c r="Z52" s="625"/>
      <c r="AA52" s="642">
        <f>+Y52-W52</f>
        <v>11202.14285714287</v>
      </c>
      <c r="AB52" s="643"/>
      <c r="AC52" s="630">
        <f>IFERROR(IF(($AE52-$Y52)/(VLOOKUP("Remain day",Jun!$A$40:$D$43,4,0))&lt;0,0,($AE52-$Y52)/(VLOOKUP("Remain day",Jun!$A$40:$D$43,4,0))),0)</f>
        <v>21666.170212765959</v>
      </c>
      <c r="AD52" s="631"/>
      <c r="AE52" s="644">
        <f>Jun!AD38</f>
        <v>620000</v>
      </c>
      <c r="AF52" s="645"/>
      <c r="AG52" s="433"/>
      <c r="AL52" s="215"/>
    </row>
    <row r="53" spans="1:38" s="16" customFormat="1" ht="36.75" customHeight="1">
      <c r="A53" s="209"/>
      <c r="B53" s="521"/>
      <c r="C53" s="525"/>
      <c r="D53" s="525"/>
      <c r="E53" s="526"/>
      <c r="F53" s="491" t="s">
        <v>96</v>
      </c>
      <c r="G53" s="492"/>
      <c r="H53" s="513" t="s">
        <v>73</v>
      </c>
      <c r="I53" s="514"/>
      <c r="J53" s="137">
        <v>0.4381944444444445</v>
      </c>
      <c r="K53" s="137">
        <v>0.6958333333333333</v>
      </c>
      <c r="L53" s="110" t="s">
        <v>76</v>
      </c>
      <c r="M53" s="137">
        <v>0.6958333333333333</v>
      </c>
      <c r="N53" s="137">
        <v>0.8208333333333333</v>
      </c>
      <c r="O53" s="138">
        <f t="shared" si="17"/>
        <v>9.18333333333333</v>
      </c>
      <c r="P53" s="475">
        <v>14</v>
      </c>
      <c r="Q53" s="515"/>
      <c r="R53" s="516"/>
      <c r="S53" s="517"/>
      <c r="T53" s="140" t="s">
        <v>62</v>
      </c>
      <c r="U53" s="655" t="s">
        <v>94</v>
      </c>
      <c r="V53" s="656"/>
      <c r="W53" s="638">
        <f>SUM(W50:X52)</f>
        <v>438750</v>
      </c>
      <c r="X53" s="639"/>
      <c r="Y53" s="638">
        <f>SUM(Y50:Z52)</f>
        <v>486418</v>
      </c>
      <c r="Z53" s="639"/>
      <c r="AA53" s="707">
        <f>+Y53-W53</f>
        <v>47668</v>
      </c>
      <c r="AB53" s="708"/>
      <c r="AC53" s="707">
        <f>SUM(AC50:AD52)</f>
        <v>95471.574468085106</v>
      </c>
      <c r="AD53" s="708"/>
      <c r="AE53" s="716">
        <f>SUM(AE50:AF52)</f>
        <v>2730000</v>
      </c>
      <c r="AF53" s="717"/>
      <c r="AG53" s="433"/>
    </row>
    <row r="54" spans="1:38" s="16" customFormat="1" ht="37" customHeight="1">
      <c r="A54" s="209"/>
      <c r="B54" s="521"/>
      <c r="C54" s="525"/>
      <c r="D54" s="525"/>
      <c r="E54" s="526"/>
      <c r="F54" s="493"/>
      <c r="G54" s="494"/>
      <c r="H54" s="508" t="s">
        <v>73</v>
      </c>
      <c r="I54" s="509"/>
      <c r="J54" s="142"/>
      <c r="K54" s="142"/>
      <c r="L54" s="110" t="s">
        <v>76</v>
      </c>
      <c r="M54" s="142"/>
      <c r="N54" s="142"/>
      <c r="O54" s="111">
        <f t="shared" si="17"/>
        <v>0</v>
      </c>
      <c r="P54" s="476"/>
      <c r="Q54" s="510"/>
      <c r="R54" s="511"/>
      <c r="S54" s="512"/>
      <c r="T54" s="144">
        <f>SUM(O53:O57)</f>
        <v>9.18333333333333</v>
      </c>
      <c r="U54" s="45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57" t="s">
        <v>70</v>
      </c>
      <c r="AG54" s="433"/>
    </row>
    <row r="55" spans="1:38" s="16" customFormat="1" ht="37" customHeight="1">
      <c r="A55" s="209"/>
      <c r="B55" s="521"/>
      <c r="C55" s="525"/>
      <c r="D55" s="525"/>
      <c r="E55" s="526"/>
      <c r="F55" s="493"/>
      <c r="G55" s="494"/>
      <c r="H55" s="508" t="s">
        <v>73</v>
      </c>
      <c r="I55" s="509"/>
      <c r="J55" s="142"/>
      <c r="K55" s="142"/>
      <c r="L55" s="110" t="s">
        <v>76</v>
      </c>
      <c r="M55" s="142"/>
      <c r="N55" s="142"/>
      <c r="O55" s="111">
        <f>(K55-J55+N55-M55)*24</f>
        <v>0</v>
      </c>
      <c r="P55" s="476"/>
      <c r="Q55" s="510"/>
      <c r="R55" s="511"/>
      <c r="S55" s="512"/>
      <c r="T55" s="144"/>
      <c r="U55" s="559" t="s">
        <v>180</v>
      </c>
      <c r="V55" s="560"/>
      <c r="W55" s="560"/>
      <c r="X55" s="560"/>
      <c r="Y55" s="560"/>
      <c r="Z55" s="560"/>
      <c r="AA55" s="560"/>
      <c r="AB55" s="560"/>
      <c r="AC55" s="560"/>
      <c r="AD55" s="560"/>
      <c r="AE55" s="560"/>
      <c r="AF55" s="661"/>
      <c r="AG55" s="442"/>
      <c r="AI55" s="443"/>
    </row>
    <row r="56" spans="1:38" s="16" customFormat="1" ht="37" customHeight="1">
      <c r="A56" s="209"/>
      <c r="B56" s="521"/>
      <c r="C56" s="525"/>
      <c r="D56" s="525"/>
      <c r="E56" s="526"/>
      <c r="F56" s="493"/>
      <c r="G56" s="494"/>
      <c r="H56" s="508" t="s">
        <v>73</v>
      </c>
      <c r="I56" s="509"/>
      <c r="J56" s="142"/>
      <c r="K56" s="142"/>
      <c r="L56" s="110" t="s">
        <v>76</v>
      </c>
      <c r="M56" s="142"/>
      <c r="N56" s="142"/>
      <c r="O56" s="111">
        <f t="shared" si="17"/>
        <v>0</v>
      </c>
      <c r="P56" s="143"/>
      <c r="Q56" s="510"/>
      <c r="R56" s="511"/>
      <c r="S56" s="512"/>
      <c r="T56" s="48"/>
      <c r="U56" s="655" t="s">
        <v>97</v>
      </c>
      <c r="V56" s="656"/>
      <c r="W56" s="655" t="s">
        <v>98</v>
      </c>
      <c r="X56" s="724"/>
      <c r="Y56" s="724"/>
      <c r="Z56" s="724"/>
      <c r="AA56" s="656"/>
      <c r="AB56" s="655" t="s">
        <v>99</v>
      </c>
      <c r="AC56" s="724"/>
      <c r="AD56" s="724"/>
      <c r="AE56" s="724"/>
      <c r="AF56" s="706"/>
      <c r="AG56" s="442"/>
      <c r="AI56" s="443"/>
    </row>
    <row r="57" spans="1:38" s="16" customFormat="1" ht="37" customHeight="1">
      <c r="A57" s="209"/>
      <c r="B57" s="521"/>
      <c r="C57" s="525"/>
      <c r="D57" s="525"/>
      <c r="E57" s="526"/>
      <c r="F57" s="495"/>
      <c r="G57" s="496"/>
      <c r="H57" s="518" t="s">
        <v>73</v>
      </c>
      <c r="I57" s="519"/>
      <c r="J57" s="145"/>
      <c r="K57" s="145"/>
      <c r="L57" s="146" t="s">
        <v>76</v>
      </c>
      <c r="M57" s="145"/>
      <c r="N57" s="145"/>
      <c r="O57" s="147">
        <f t="shared" si="17"/>
        <v>0</v>
      </c>
      <c r="P57" s="148"/>
      <c r="Q57" s="592"/>
      <c r="R57" s="593"/>
      <c r="S57" s="594"/>
      <c r="T57" s="149">
        <f>SUM(P53:P57)</f>
        <v>14</v>
      </c>
      <c r="U57" s="722" t="s">
        <v>100</v>
      </c>
      <c r="V57" s="723"/>
      <c r="W57" s="725">
        <f>+Yearly!AL8*(Jan!C42/Jan!C41)</f>
        <v>2580000</v>
      </c>
      <c r="X57" s="726"/>
      <c r="Y57" s="726"/>
      <c r="Z57" s="726"/>
      <c r="AA57" s="727"/>
      <c r="AB57" s="728">
        <f>Yearly!AM8</f>
        <v>2403325</v>
      </c>
      <c r="AC57" s="729"/>
      <c r="AD57" s="729"/>
      <c r="AE57" s="729"/>
      <c r="AF57" s="730"/>
      <c r="AG57" s="442"/>
      <c r="AI57" s="443"/>
    </row>
    <row r="58" spans="1:38" s="16" customFormat="1" ht="36.75" customHeight="1">
      <c r="A58" s="209"/>
      <c r="B58" s="521"/>
      <c r="C58" s="525"/>
      <c r="D58" s="525"/>
      <c r="E58" s="526"/>
      <c r="F58" s="491" t="s">
        <v>102</v>
      </c>
      <c r="G58" s="492"/>
      <c r="H58" s="513" t="s">
        <v>73</v>
      </c>
      <c r="I58" s="514"/>
      <c r="J58" s="137">
        <v>0.4381944444444445</v>
      </c>
      <c r="K58" s="137">
        <v>0.6958333333333333</v>
      </c>
      <c r="L58" s="110" t="s">
        <v>76</v>
      </c>
      <c r="M58" s="137">
        <v>0.6958333333333333</v>
      </c>
      <c r="N58" s="137">
        <v>1</v>
      </c>
      <c r="O58" s="138">
        <f t="shared" si="17"/>
        <v>13.483333333333331</v>
      </c>
      <c r="P58" s="475">
        <v>14</v>
      </c>
      <c r="Q58" s="515"/>
      <c r="R58" s="516"/>
      <c r="S58" s="517"/>
      <c r="T58" s="140" t="s">
        <v>62</v>
      </c>
      <c r="U58" s="720" t="s">
        <v>101</v>
      </c>
      <c r="V58" s="721"/>
      <c r="W58" s="741">
        <f>+Yearly!AL9*(Feb!C42/Feb!C41)</f>
        <v>2420000</v>
      </c>
      <c r="X58" s="742"/>
      <c r="Y58" s="742"/>
      <c r="Z58" s="742"/>
      <c r="AA58" s="743"/>
      <c r="AB58" s="752">
        <f>Yearly!AM9</f>
        <v>2289297</v>
      </c>
      <c r="AC58" s="753"/>
      <c r="AD58" s="753"/>
      <c r="AE58" s="753"/>
      <c r="AF58" s="754"/>
      <c r="AG58" s="442"/>
      <c r="AI58" s="443"/>
    </row>
    <row r="59" spans="1:38" s="16" customFormat="1" ht="37" customHeight="1">
      <c r="A59" s="209"/>
      <c r="B59" s="521"/>
      <c r="C59" s="525"/>
      <c r="D59" s="525"/>
      <c r="E59" s="526"/>
      <c r="F59" s="493"/>
      <c r="G59" s="494"/>
      <c r="H59" s="508" t="s">
        <v>73</v>
      </c>
      <c r="I59" s="509"/>
      <c r="J59" s="142"/>
      <c r="K59" s="142"/>
      <c r="L59" s="110" t="s">
        <v>76</v>
      </c>
      <c r="M59" s="142"/>
      <c r="N59" s="142"/>
      <c r="O59" s="111">
        <f t="shared" si="17"/>
        <v>0</v>
      </c>
      <c r="P59" s="476"/>
      <c r="Q59" s="510"/>
      <c r="R59" s="511"/>
      <c r="S59" s="512"/>
      <c r="T59" s="144">
        <f>SUM(O58:O62)</f>
        <v>13.483333333333331</v>
      </c>
      <c r="U59" s="720" t="s">
        <v>103</v>
      </c>
      <c r="V59" s="721"/>
      <c r="W59" s="741">
        <f>+Yearly!AL10*(Mar!C42/Mar!C41)</f>
        <v>2660000</v>
      </c>
      <c r="X59" s="742"/>
      <c r="Y59" s="742"/>
      <c r="Z59" s="742"/>
      <c r="AA59" s="743"/>
      <c r="AB59" s="752">
        <f>Yearly!AM10</f>
        <v>2226843.1</v>
      </c>
      <c r="AC59" s="753"/>
      <c r="AD59" s="753"/>
      <c r="AE59" s="753"/>
      <c r="AF59" s="754"/>
      <c r="AG59" s="442"/>
      <c r="AI59" s="443"/>
    </row>
    <row r="60" spans="1:38" s="16" customFormat="1" ht="37" customHeight="1">
      <c r="A60" s="209"/>
      <c r="B60" s="521"/>
      <c r="C60" s="525"/>
      <c r="D60" s="525"/>
      <c r="E60" s="526"/>
      <c r="F60" s="493"/>
      <c r="G60" s="494"/>
      <c r="H60" s="508" t="s">
        <v>73</v>
      </c>
      <c r="I60" s="509"/>
      <c r="J60" s="142"/>
      <c r="K60" s="142"/>
      <c r="L60" s="110" t="s">
        <v>76</v>
      </c>
      <c r="M60" s="142"/>
      <c r="N60" s="142"/>
      <c r="O60" s="111">
        <f t="shared" si="17"/>
        <v>0</v>
      </c>
      <c r="P60" s="476"/>
      <c r="Q60" s="510"/>
      <c r="R60" s="511"/>
      <c r="S60" s="512"/>
      <c r="T60" s="155"/>
      <c r="U60" s="720" t="s">
        <v>104</v>
      </c>
      <c r="V60" s="721"/>
      <c r="W60" s="741">
        <f>+Yearly!AL11*(Apr!C42/Apr!C41)</f>
        <v>2620000</v>
      </c>
      <c r="X60" s="742"/>
      <c r="Y60" s="742"/>
      <c r="Z60" s="742"/>
      <c r="AA60" s="743"/>
      <c r="AB60" s="752">
        <f>Yearly!AM11</f>
        <v>1803184</v>
      </c>
      <c r="AC60" s="753"/>
      <c r="AD60" s="753"/>
      <c r="AE60" s="753"/>
      <c r="AF60" s="754"/>
      <c r="AG60" s="442"/>
      <c r="AI60" s="443"/>
    </row>
    <row r="61" spans="1:38" s="16" customFormat="1" ht="37" customHeight="1">
      <c r="A61" s="209"/>
      <c r="B61" s="521"/>
      <c r="C61" s="525"/>
      <c r="D61" s="525"/>
      <c r="E61" s="526"/>
      <c r="F61" s="493"/>
      <c r="G61" s="494"/>
      <c r="H61" s="508" t="s">
        <v>73</v>
      </c>
      <c r="I61" s="509"/>
      <c r="J61" s="142"/>
      <c r="K61" s="142"/>
      <c r="L61" s="110" t="s">
        <v>76</v>
      </c>
      <c r="M61" s="142"/>
      <c r="N61" s="142"/>
      <c r="O61" s="111">
        <f t="shared" si="17"/>
        <v>0</v>
      </c>
      <c r="P61" s="476"/>
      <c r="Q61" s="510"/>
      <c r="R61" s="511"/>
      <c r="S61" s="512"/>
      <c r="T61" s="156"/>
      <c r="U61" s="720" t="s">
        <v>105</v>
      </c>
      <c r="V61" s="721"/>
      <c r="W61" s="744">
        <f>+Yearly!AL12*(May!C42/May!C41)</f>
        <v>2730000</v>
      </c>
      <c r="X61" s="745"/>
      <c r="Y61" s="745"/>
      <c r="Z61" s="745"/>
      <c r="AA61" s="746"/>
      <c r="AB61" s="752">
        <f>Yearly!AM12</f>
        <v>2728287.1100000003</v>
      </c>
      <c r="AC61" s="753"/>
      <c r="AD61" s="753"/>
      <c r="AE61" s="753"/>
      <c r="AF61" s="754"/>
      <c r="AG61" s="442"/>
      <c r="AI61" s="443"/>
    </row>
    <row r="62" spans="1:38" s="16" customFormat="1" ht="37" customHeight="1">
      <c r="A62" s="209"/>
      <c r="B62" s="521"/>
      <c r="C62" s="525"/>
      <c r="D62" s="525"/>
      <c r="E62" s="526"/>
      <c r="F62" s="495"/>
      <c r="G62" s="496"/>
      <c r="H62" s="518" t="s">
        <v>73</v>
      </c>
      <c r="I62" s="519"/>
      <c r="J62" s="145"/>
      <c r="K62" s="145"/>
      <c r="L62" s="146" t="s">
        <v>76</v>
      </c>
      <c r="M62" s="145"/>
      <c r="N62" s="145"/>
      <c r="O62" s="147">
        <f t="shared" si="17"/>
        <v>0</v>
      </c>
      <c r="P62" s="148"/>
      <c r="Q62" s="592"/>
      <c r="R62" s="593"/>
      <c r="S62" s="594"/>
      <c r="T62" s="149">
        <f>SUM(P58:P62)</f>
        <v>14</v>
      </c>
      <c r="U62" s="720" t="s">
        <v>106</v>
      </c>
      <c r="V62" s="721"/>
      <c r="W62" s="624">
        <f>+Yearly!AL13*(Jun!C42/Jun!C41)</f>
        <v>428333.33333333331</v>
      </c>
      <c r="X62" s="731"/>
      <c r="Y62" s="731"/>
      <c r="Z62" s="731"/>
      <c r="AA62" s="625"/>
      <c r="AB62" s="732">
        <f>Yearly!AM13</f>
        <v>491049.1</v>
      </c>
      <c r="AC62" s="733"/>
      <c r="AD62" s="733"/>
      <c r="AE62" s="733"/>
      <c r="AF62" s="734"/>
      <c r="AG62" s="442"/>
      <c r="AI62" s="443"/>
    </row>
    <row r="63" spans="1:38" s="16" customFormat="1" ht="37" customHeight="1">
      <c r="A63" s="209"/>
      <c r="B63" s="521"/>
      <c r="C63" s="525"/>
      <c r="D63" s="525"/>
      <c r="E63" s="526"/>
      <c r="F63" s="491" t="s">
        <v>108</v>
      </c>
      <c r="G63" s="492"/>
      <c r="H63" s="513" t="s">
        <v>73</v>
      </c>
      <c r="I63" s="514"/>
      <c r="J63" s="137">
        <v>0.40625</v>
      </c>
      <c r="K63" s="137">
        <v>0.75486111111111109</v>
      </c>
      <c r="L63" s="110" t="s">
        <v>76</v>
      </c>
      <c r="M63" s="137">
        <v>0.75486111111111109</v>
      </c>
      <c r="N63" s="137">
        <v>0.92291666666666661</v>
      </c>
      <c r="O63" s="138">
        <f t="shared" si="17"/>
        <v>12.399999999999995</v>
      </c>
      <c r="P63" s="475">
        <v>14.5</v>
      </c>
      <c r="Q63" s="515"/>
      <c r="R63" s="516"/>
      <c r="S63" s="517"/>
      <c r="T63" s="140" t="s">
        <v>62</v>
      </c>
      <c r="U63" s="720" t="s">
        <v>107</v>
      </c>
      <c r="V63" s="721"/>
      <c r="W63" s="624">
        <f>+Yearly!AL14*(Jul!C43/Jul!C42)</f>
        <v>0</v>
      </c>
      <c r="X63" s="731"/>
      <c r="Y63" s="731"/>
      <c r="Z63" s="731"/>
      <c r="AA63" s="625"/>
      <c r="AB63" s="732">
        <f>Yearly!AM14</f>
        <v>0</v>
      </c>
      <c r="AC63" s="733"/>
      <c r="AD63" s="733"/>
      <c r="AE63" s="733"/>
      <c r="AF63" s="734"/>
      <c r="AG63" s="442"/>
      <c r="AI63" s="443"/>
    </row>
    <row r="64" spans="1:38" s="16" customFormat="1" ht="37" customHeight="1">
      <c r="A64" s="209"/>
      <c r="B64" s="521"/>
      <c r="C64" s="525"/>
      <c r="D64" s="525"/>
      <c r="E64" s="526"/>
      <c r="F64" s="493"/>
      <c r="G64" s="494"/>
      <c r="H64" s="508" t="s">
        <v>73</v>
      </c>
      <c r="I64" s="509"/>
      <c r="J64" s="142"/>
      <c r="K64" s="142"/>
      <c r="L64" s="110" t="s">
        <v>76</v>
      </c>
      <c r="M64" s="142"/>
      <c r="N64" s="142"/>
      <c r="O64" s="111">
        <f t="shared" si="17"/>
        <v>0</v>
      </c>
      <c r="P64" s="476"/>
      <c r="Q64" s="510"/>
      <c r="R64" s="511"/>
      <c r="S64" s="512"/>
      <c r="T64" s="157">
        <f>SUM(O63:O67)</f>
        <v>12.399999999999995</v>
      </c>
      <c r="U64" s="720" t="s">
        <v>109</v>
      </c>
      <c r="V64" s="721"/>
      <c r="W64" s="624">
        <f>+Yearly!AL15*(Aug!C43/Aug!C42)</f>
        <v>0</v>
      </c>
      <c r="X64" s="731"/>
      <c r="Y64" s="731"/>
      <c r="Z64" s="731"/>
      <c r="AA64" s="625"/>
      <c r="AB64" s="732">
        <f>Yearly!AM15</f>
        <v>0</v>
      </c>
      <c r="AC64" s="733"/>
      <c r="AD64" s="733"/>
      <c r="AE64" s="733"/>
      <c r="AF64" s="734"/>
      <c r="AG64" s="442"/>
      <c r="AI64" s="443"/>
    </row>
    <row r="65" spans="1:35" s="16" customFormat="1" ht="37" customHeight="1">
      <c r="A65" s="209"/>
      <c r="B65" s="521"/>
      <c r="C65" s="525"/>
      <c r="D65" s="525"/>
      <c r="E65" s="526"/>
      <c r="F65" s="493"/>
      <c r="G65" s="494"/>
      <c r="H65" s="508" t="s">
        <v>73</v>
      </c>
      <c r="I65" s="509"/>
      <c r="J65" s="142"/>
      <c r="K65" s="142"/>
      <c r="L65" s="110" t="s">
        <v>76</v>
      </c>
      <c r="M65" s="142"/>
      <c r="N65" s="142"/>
      <c r="O65" s="111">
        <f t="shared" si="17"/>
        <v>0</v>
      </c>
      <c r="P65" s="476"/>
      <c r="Q65" s="510"/>
      <c r="R65" s="511"/>
      <c r="S65" s="512"/>
      <c r="T65" s="157"/>
      <c r="U65" s="720" t="s">
        <v>110</v>
      </c>
      <c r="V65" s="721"/>
      <c r="W65" s="624">
        <f>+Yearly!AL16*(Sep!C42/Sep!C41)</f>
        <v>0</v>
      </c>
      <c r="X65" s="731"/>
      <c r="Y65" s="731"/>
      <c r="Z65" s="731"/>
      <c r="AA65" s="625"/>
      <c r="AB65" s="732">
        <f>Yearly!AM16</f>
        <v>0</v>
      </c>
      <c r="AC65" s="733"/>
      <c r="AD65" s="733"/>
      <c r="AE65" s="733"/>
      <c r="AF65" s="734"/>
      <c r="AG65" s="442"/>
      <c r="AI65" s="443"/>
    </row>
    <row r="66" spans="1:35" s="16" customFormat="1" ht="36.75" customHeight="1">
      <c r="A66" s="209"/>
      <c r="B66" s="521"/>
      <c r="C66" s="525"/>
      <c r="D66" s="525"/>
      <c r="E66" s="526"/>
      <c r="F66" s="493"/>
      <c r="G66" s="494"/>
      <c r="H66" s="508" t="s">
        <v>73</v>
      </c>
      <c r="I66" s="509"/>
      <c r="J66" s="142"/>
      <c r="K66" s="142"/>
      <c r="L66" s="110" t="s">
        <v>76</v>
      </c>
      <c r="M66" s="142"/>
      <c r="N66" s="142"/>
      <c r="O66" s="111">
        <f t="shared" si="17"/>
        <v>0</v>
      </c>
      <c r="P66" s="143"/>
      <c r="Q66" s="510"/>
      <c r="R66" s="511"/>
      <c r="S66" s="512"/>
      <c r="T66" s="48"/>
      <c r="U66" s="720" t="s">
        <v>111</v>
      </c>
      <c r="V66" s="721"/>
      <c r="W66" s="624">
        <f>+Yearly!AL17*(Oct!C43/Oct!C42)</f>
        <v>0</v>
      </c>
      <c r="X66" s="731"/>
      <c r="Y66" s="731"/>
      <c r="Z66" s="731"/>
      <c r="AA66" s="625"/>
      <c r="AB66" s="732">
        <f>Yearly!AM17</f>
        <v>0</v>
      </c>
      <c r="AC66" s="733"/>
      <c r="AD66" s="733"/>
      <c r="AE66" s="733"/>
      <c r="AF66" s="734"/>
      <c r="AG66" s="442"/>
      <c r="AI66" s="443"/>
    </row>
    <row r="67" spans="1:35" s="16" customFormat="1" ht="36.75" customHeight="1">
      <c r="A67" s="209"/>
      <c r="B67" s="521"/>
      <c r="C67" s="525"/>
      <c r="D67" s="525"/>
      <c r="E67" s="526"/>
      <c r="F67" s="495"/>
      <c r="G67" s="496"/>
      <c r="H67" s="518" t="s">
        <v>73</v>
      </c>
      <c r="I67" s="519"/>
      <c r="J67" s="145"/>
      <c r="K67" s="145"/>
      <c r="L67" s="146" t="s">
        <v>76</v>
      </c>
      <c r="M67" s="145"/>
      <c r="N67" s="145"/>
      <c r="O67" s="147">
        <f t="shared" si="17"/>
        <v>0</v>
      </c>
      <c r="P67" s="148"/>
      <c r="Q67" s="592"/>
      <c r="R67" s="593"/>
      <c r="S67" s="594"/>
      <c r="T67" s="149">
        <f>SUM(P63:P67)</f>
        <v>14.5</v>
      </c>
      <c r="U67" s="720" t="s">
        <v>112</v>
      </c>
      <c r="V67" s="721"/>
      <c r="W67" s="624">
        <f>+Yearly!AL18*(Nov!C42/Nov!C41)</f>
        <v>0</v>
      </c>
      <c r="X67" s="731"/>
      <c r="Y67" s="731"/>
      <c r="Z67" s="731"/>
      <c r="AA67" s="625"/>
      <c r="AB67" s="732">
        <f>Yearly!AM18</f>
        <v>0</v>
      </c>
      <c r="AC67" s="733"/>
      <c r="AD67" s="733"/>
      <c r="AE67" s="733"/>
      <c r="AF67" s="734"/>
      <c r="AG67" s="433"/>
    </row>
    <row r="68" spans="1:35" s="16" customFormat="1" ht="37" customHeight="1">
      <c r="A68" s="209"/>
      <c r="B68" s="521"/>
      <c r="C68" s="525"/>
      <c r="D68" s="525"/>
      <c r="E68" s="526"/>
      <c r="F68" s="491" t="s">
        <v>114</v>
      </c>
      <c r="G68" s="492"/>
      <c r="H68" s="513" t="s">
        <v>198</v>
      </c>
      <c r="I68" s="514"/>
      <c r="J68" s="137">
        <v>0.40625</v>
      </c>
      <c r="K68" s="137">
        <v>0.75486111111111109</v>
      </c>
      <c r="L68" s="110" t="s">
        <v>76</v>
      </c>
      <c r="M68" s="137">
        <v>0.75486111111111109</v>
      </c>
      <c r="N68" s="137">
        <v>0.92291666666666661</v>
      </c>
      <c r="O68" s="138">
        <f t="shared" si="17"/>
        <v>12.399999999999995</v>
      </c>
      <c r="P68" s="475">
        <v>14.5</v>
      </c>
      <c r="Q68" s="515"/>
      <c r="R68" s="516"/>
      <c r="S68" s="517"/>
      <c r="T68" s="409" t="s">
        <v>62</v>
      </c>
      <c r="U68" s="735" t="s">
        <v>113</v>
      </c>
      <c r="V68" s="736"/>
      <c r="W68" s="624">
        <f>+Yearly!AL19*(Dec!C43/Dec!C42)</f>
        <v>0</v>
      </c>
      <c r="X68" s="731"/>
      <c r="Y68" s="731"/>
      <c r="Z68" s="731"/>
      <c r="AA68" s="625"/>
      <c r="AB68" s="732">
        <f>Yearly!AM19</f>
        <v>0</v>
      </c>
      <c r="AC68" s="733"/>
      <c r="AD68" s="733"/>
      <c r="AE68" s="733"/>
      <c r="AF68" s="734"/>
      <c r="AG68" s="433"/>
    </row>
    <row r="69" spans="1:35" s="16" customFormat="1" ht="37" customHeight="1">
      <c r="A69" s="209"/>
      <c r="B69" s="521"/>
      <c r="C69" s="525"/>
      <c r="D69" s="525"/>
      <c r="E69" s="526"/>
      <c r="F69" s="493"/>
      <c r="G69" s="494"/>
      <c r="H69" s="508" t="s">
        <v>73</v>
      </c>
      <c r="I69" s="509"/>
      <c r="J69" s="142"/>
      <c r="K69" s="142"/>
      <c r="L69" s="110" t="s">
        <v>76</v>
      </c>
      <c r="M69" s="142"/>
      <c r="N69" s="142"/>
      <c r="O69" s="111">
        <f t="shared" si="17"/>
        <v>0</v>
      </c>
      <c r="P69" s="476"/>
      <c r="Q69" s="510"/>
      <c r="R69" s="511"/>
      <c r="S69" s="512"/>
      <c r="T69" s="144">
        <f>SUM(O68:O72)</f>
        <v>12.399999999999995</v>
      </c>
      <c r="U69" s="655" t="s">
        <v>115</v>
      </c>
      <c r="V69" s="656"/>
      <c r="W69" s="655">
        <f>SUM(W57:AA68)</f>
        <v>13438333.333333334</v>
      </c>
      <c r="X69" s="724"/>
      <c r="Y69" s="724"/>
      <c r="Z69" s="724"/>
      <c r="AA69" s="656"/>
      <c r="AB69" s="655">
        <f>SUM(AB57:AF68)</f>
        <v>11941985.310000001</v>
      </c>
      <c r="AC69" s="724"/>
      <c r="AD69" s="724"/>
      <c r="AE69" s="724"/>
      <c r="AF69" s="706"/>
      <c r="AG69" s="433"/>
    </row>
    <row r="70" spans="1:35" s="16" customFormat="1" ht="37" customHeight="1">
      <c r="A70" s="209"/>
      <c r="B70" s="521"/>
      <c r="C70" s="525"/>
      <c r="D70" s="525"/>
      <c r="E70" s="526"/>
      <c r="F70" s="493"/>
      <c r="G70" s="494"/>
      <c r="H70" s="508" t="s">
        <v>73</v>
      </c>
      <c r="I70" s="509"/>
      <c r="J70" s="142"/>
      <c r="K70" s="142"/>
      <c r="L70" s="110" t="s">
        <v>76</v>
      </c>
      <c r="M70" s="142"/>
      <c r="N70" s="142"/>
      <c r="O70" s="111">
        <f t="shared" si="17"/>
        <v>0</v>
      </c>
      <c r="P70" s="476"/>
      <c r="Q70" s="510"/>
      <c r="R70" s="511"/>
      <c r="S70" s="512"/>
      <c r="T70" s="144"/>
      <c r="U70" s="655" t="s">
        <v>116</v>
      </c>
      <c r="V70" s="656"/>
      <c r="W70" s="655">
        <f>+AB69-W69</f>
        <v>-1496348.0233333334</v>
      </c>
      <c r="X70" s="724"/>
      <c r="Y70" s="724"/>
      <c r="Z70" s="724"/>
      <c r="AA70" s="724"/>
      <c r="AB70" s="724"/>
      <c r="AC70" s="724"/>
      <c r="AD70" s="724"/>
      <c r="AE70" s="724"/>
      <c r="AF70" s="706"/>
      <c r="AG70" s="433"/>
    </row>
    <row r="71" spans="1:35" s="16" customFormat="1" ht="36.75" customHeight="1">
      <c r="A71" s="209"/>
      <c r="B71" s="521"/>
      <c r="C71" s="525"/>
      <c r="D71" s="525"/>
      <c r="E71" s="526"/>
      <c r="F71" s="493"/>
      <c r="G71" s="494"/>
      <c r="H71" s="508" t="s">
        <v>73</v>
      </c>
      <c r="I71" s="509"/>
      <c r="J71" s="142"/>
      <c r="K71" s="142"/>
      <c r="L71" s="110" t="s">
        <v>76</v>
      </c>
      <c r="M71" s="142"/>
      <c r="N71" s="142"/>
      <c r="O71" s="111">
        <f t="shared" si="17"/>
        <v>0</v>
      </c>
      <c r="P71" s="143"/>
      <c r="Q71" s="510"/>
      <c r="R71" s="511"/>
      <c r="S71" s="512"/>
      <c r="T71" s="144"/>
      <c r="U71" s="655" t="s">
        <v>117</v>
      </c>
      <c r="V71" s="656"/>
      <c r="W71" s="747">
        <f>+AB69/W69</f>
        <v>0.88865077340940102</v>
      </c>
      <c r="X71" s="748"/>
      <c r="Y71" s="748"/>
      <c r="Z71" s="748"/>
      <c r="AA71" s="748"/>
      <c r="AB71" s="748"/>
      <c r="AC71" s="748"/>
      <c r="AD71" s="748"/>
      <c r="AE71" s="748"/>
      <c r="AF71" s="749"/>
      <c r="AG71" s="433"/>
    </row>
    <row r="72" spans="1:35" s="16" customFormat="1" ht="36.75" customHeight="1">
      <c r="A72" s="209"/>
      <c r="B72" s="521"/>
      <c r="C72" s="525"/>
      <c r="D72" s="525"/>
      <c r="E72" s="526"/>
      <c r="F72" s="495"/>
      <c r="G72" s="496"/>
      <c r="H72" s="518" t="s">
        <v>73</v>
      </c>
      <c r="I72" s="519"/>
      <c r="J72" s="145"/>
      <c r="K72" s="145"/>
      <c r="L72" s="146" t="s">
        <v>76</v>
      </c>
      <c r="M72" s="145"/>
      <c r="N72" s="145"/>
      <c r="O72" s="147">
        <f t="shared" si="17"/>
        <v>0</v>
      </c>
      <c r="P72" s="148"/>
      <c r="Q72" s="592"/>
      <c r="R72" s="593"/>
      <c r="S72" s="594"/>
      <c r="T72" s="158">
        <f>SUM(P68:P72)</f>
        <v>14.5</v>
      </c>
      <c r="U72" s="45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57" t="s">
        <v>70</v>
      </c>
      <c r="AG72" s="433"/>
    </row>
    <row r="73" spans="1:35" s="16" customFormat="1" ht="37" customHeight="1">
      <c r="A73" s="209"/>
      <c r="B73" s="521"/>
      <c r="C73" s="525"/>
      <c r="D73" s="525"/>
      <c r="E73" s="526"/>
      <c r="F73" s="737" t="s">
        <v>118</v>
      </c>
      <c r="G73" s="738"/>
      <c r="H73" s="513" t="s">
        <v>73</v>
      </c>
      <c r="I73" s="514"/>
      <c r="J73" s="137">
        <v>0.42638888888888887</v>
      </c>
      <c r="K73" s="137">
        <v>0.83472222222222225</v>
      </c>
      <c r="L73" s="110" t="s">
        <v>76</v>
      </c>
      <c r="M73" s="137">
        <v>0.83472222222222225</v>
      </c>
      <c r="N73" s="137">
        <v>0.96527777777777779</v>
      </c>
      <c r="O73" s="138">
        <f t="shared" si="17"/>
        <v>12.933333333333334</v>
      </c>
      <c r="P73" s="475">
        <v>15.5</v>
      </c>
      <c r="Q73" s="515"/>
      <c r="R73" s="516"/>
      <c r="S73" s="517"/>
      <c r="T73" s="409" t="s">
        <v>62</v>
      </c>
      <c r="U73" s="559" t="s">
        <v>181</v>
      </c>
      <c r="V73" s="560"/>
      <c r="W73" s="560"/>
      <c r="X73" s="560"/>
      <c r="Y73" s="560"/>
      <c r="Z73" s="560"/>
      <c r="AA73" s="560"/>
      <c r="AB73" s="560"/>
      <c r="AC73" s="560"/>
      <c r="AD73" s="560"/>
      <c r="AE73" s="560"/>
      <c r="AF73" s="661"/>
      <c r="AG73" s="433"/>
    </row>
    <row r="74" spans="1:35" s="16" customFormat="1" ht="37" customHeight="1">
      <c r="A74" s="209"/>
      <c r="B74" s="521"/>
      <c r="C74" s="525"/>
      <c r="D74" s="525"/>
      <c r="E74" s="526"/>
      <c r="F74" s="739"/>
      <c r="G74" s="740"/>
      <c r="H74" s="508" t="s">
        <v>198</v>
      </c>
      <c r="I74" s="509"/>
      <c r="J74" s="142"/>
      <c r="K74" s="142"/>
      <c r="L74" s="110" t="s">
        <v>76</v>
      </c>
      <c r="M74" s="142"/>
      <c r="N74" s="142"/>
      <c r="O74" s="111">
        <f t="shared" si="17"/>
        <v>0</v>
      </c>
      <c r="P74" s="476"/>
      <c r="Q74" s="510"/>
      <c r="R74" s="511"/>
      <c r="S74" s="512"/>
      <c r="T74" s="144">
        <f>SUM(O73:O77)</f>
        <v>12.933333333333334</v>
      </c>
      <c r="U74" s="655" t="s">
        <v>97</v>
      </c>
      <c r="V74" s="656"/>
      <c r="W74" s="655" t="s">
        <v>98</v>
      </c>
      <c r="X74" s="724"/>
      <c r="Y74" s="724"/>
      <c r="Z74" s="724"/>
      <c r="AA74" s="656"/>
      <c r="AB74" s="655" t="s">
        <v>99</v>
      </c>
      <c r="AC74" s="724"/>
      <c r="AD74" s="724"/>
      <c r="AE74" s="724"/>
      <c r="AF74" s="706"/>
      <c r="AG74" s="433"/>
    </row>
    <row r="75" spans="1:35" s="16" customFormat="1" ht="37" customHeight="1">
      <c r="A75" s="209"/>
      <c r="B75" s="521"/>
      <c r="C75" s="525"/>
      <c r="D75" s="525"/>
      <c r="E75" s="526"/>
      <c r="F75" s="739"/>
      <c r="G75" s="740"/>
      <c r="H75" s="508" t="s">
        <v>73</v>
      </c>
      <c r="I75" s="509"/>
      <c r="J75" s="142"/>
      <c r="K75" s="142"/>
      <c r="L75" s="110" t="s">
        <v>76</v>
      </c>
      <c r="M75" s="142"/>
      <c r="N75" s="142"/>
      <c r="O75" s="111">
        <f t="shared" si="17"/>
        <v>0</v>
      </c>
      <c r="P75" s="476"/>
      <c r="Q75" s="510"/>
      <c r="R75" s="511"/>
      <c r="S75" s="512"/>
      <c r="T75" s="144"/>
      <c r="U75" s="722" t="s">
        <v>100</v>
      </c>
      <c r="V75" s="723"/>
      <c r="W75" s="725">
        <f>Yearly!AC42*(Jan!D42/Jan!D41)</f>
        <v>2660000</v>
      </c>
      <c r="X75" s="726"/>
      <c r="Y75" s="726"/>
      <c r="Z75" s="726"/>
      <c r="AA75" s="727"/>
      <c r="AB75" s="728">
        <f>Yearly!AD42</f>
        <v>2661777</v>
      </c>
      <c r="AC75" s="729"/>
      <c r="AD75" s="729"/>
      <c r="AE75" s="729"/>
      <c r="AF75" s="730"/>
      <c r="AG75" s="433"/>
    </row>
    <row r="76" spans="1:35" s="16" customFormat="1" ht="37" customHeight="1">
      <c r="A76" s="209"/>
      <c r="B76" s="521"/>
      <c r="C76" s="525"/>
      <c r="D76" s="525"/>
      <c r="E76" s="526"/>
      <c r="F76" s="739"/>
      <c r="G76" s="740"/>
      <c r="H76" s="508" t="s">
        <v>73</v>
      </c>
      <c r="I76" s="509"/>
      <c r="J76" s="142"/>
      <c r="K76" s="142"/>
      <c r="L76" s="110" t="s">
        <v>76</v>
      </c>
      <c r="M76" s="142"/>
      <c r="N76" s="142"/>
      <c r="O76" s="111">
        <f t="shared" si="17"/>
        <v>0</v>
      </c>
      <c r="P76" s="143"/>
      <c r="Q76" s="510"/>
      <c r="R76" s="511"/>
      <c r="S76" s="512"/>
      <c r="T76" s="144"/>
      <c r="U76" s="720" t="s">
        <v>101</v>
      </c>
      <c r="V76" s="721"/>
      <c r="W76" s="741">
        <f>Yearly!AC43*(Feb!D42/Feb!D41)</f>
        <v>2360000</v>
      </c>
      <c r="X76" s="742"/>
      <c r="Y76" s="742"/>
      <c r="Z76" s="742"/>
      <c r="AA76" s="743"/>
      <c r="AB76" s="752">
        <f>Yearly!AD43</f>
        <v>2482839</v>
      </c>
      <c r="AC76" s="753"/>
      <c r="AD76" s="753"/>
      <c r="AE76" s="753"/>
      <c r="AF76" s="754"/>
      <c r="AG76" s="433"/>
    </row>
    <row r="77" spans="1:35" s="16" customFormat="1" ht="37" customHeight="1">
      <c r="A77" s="209"/>
      <c r="B77" s="521"/>
      <c r="C77" s="525"/>
      <c r="D77" s="525"/>
      <c r="E77" s="526"/>
      <c r="F77" s="739"/>
      <c r="G77" s="740"/>
      <c r="H77" s="518" t="s">
        <v>73</v>
      </c>
      <c r="I77" s="519"/>
      <c r="J77" s="145"/>
      <c r="K77" s="145"/>
      <c r="L77" s="146" t="s">
        <v>76</v>
      </c>
      <c r="M77" s="145"/>
      <c r="N77" s="145"/>
      <c r="O77" s="147">
        <f t="shared" si="17"/>
        <v>0</v>
      </c>
      <c r="P77" s="148"/>
      <c r="Q77" s="592"/>
      <c r="R77" s="593"/>
      <c r="S77" s="594"/>
      <c r="T77" s="158">
        <f>SUM(P73:P77)</f>
        <v>15.5</v>
      </c>
      <c r="U77" s="720" t="s">
        <v>103</v>
      </c>
      <c r="V77" s="721"/>
      <c r="W77" s="741">
        <f>Yearly!AC44*(Mar!D42/Mar!D41)</f>
        <v>2590000</v>
      </c>
      <c r="X77" s="742"/>
      <c r="Y77" s="742"/>
      <c r="Z77" s="742"/>
      <c r="AA77" s="743"/>
      <c r="AB77" s="752">
        <f>Yearly!AD44</f>
        <v>2332469</v>
      </c>
      <c r="AC77" s="753"/>
      <c r="AD77" s="753"/>
      <c r="AE77" s="753"/>
      <c r="AF77" s="754"/>
      <c r="AG77" s="433"/>
    </row>
    <row r="78" spans="1:35" s="16" customFormat="1" ht="37" customHeight="1">
      <c r="A78" s="209"/>
      <c r="B78" s="521"/>
      <c r="C78" s="525"/>
      <c r="D78" s="525"/>
      <c r="E78" s="526"/>
      <c r="F78" s="491" t="s">
        <v>87</v>
      </c>
      <c r="G78" s="492"/>
      <c r="H78" s="513" t="s">
        <v>73</v>
      </c>
      <c r="I78" s="514"/>
      <c r="J78" s="137">
        <v>0.42638888888888887</v>
      </c>
      <c r="K78" s="137">
        <v>0.83472222222222225</v>
      </c>
      <c r="L78" s="110" t="s">
        <v>76</v>
      </c>
      <c r="M78" s="137">
        <v>0.83472222222222225</v>
      </c>
      <c r="N78" s="137">
        <v>0.96527777777777779</v>
      </c>
      <c r="O78" s="138">
        <f t="shared" si="17"/>
        <v>12.933333333333334</v>
      </c>
      <c r="P78" s="139">
        <v>16</v>
      </c>
      <c r="Q78" s="515"/>
      <c r="R78" s="516"/>
      <c r="S78" s="517"/>
      <c r="T78" s="409" t="s">
        <v>62</v>
      </c>
      <c r="U78" s="720" t="s">
        <v>104</v>
      </c>
      <c r="V78" s="721"/>
      <c r="W78" s="741">
        <f>Yearly!AC45*(Apr!D42/Apr!D41)</f>
        <v>2510000</v>
      </c>
      <c r="X78" s="742"/>
      <c r="Y78" s="742"/>
      <c r="Z78" s="742"/>
      <c r="AA78" s="743"/>
      <c r="AB78" s="752">
        <f>Yearly!AD45</f>
        <v>1770443</v>
      </c>
      <c r="AC78" s="753"/>
      <c r="AD78" s="753"/>
      <c r="AE78" s="753"/>
      <c r="AF78" s="754"/>
      <c r="AG78" s="433"/>
    </row>
    <row r="79" spans="1:35" s="16" customFormat="1" ht="37" customHeight="1">
      <c r="A79" s="209"/>
      <c r="B79" s="521"/>
      <c r="C79" s="525"/>
      <c r="D79" s="525"/>
      <c r="E79" s="526"/>
      <c r="F79" s="493"/>
      <c r="G79" s="494"/>
      <c r="H79" s="508" t="s">
        <v>198</v>
      </c>
      <c r="I79" s="509"/>
      <c r="J79" s="142"/>
      <c r="K79" s="142"/>
      <c r="L79" s="110" t="s">
        <v>76</v>
      </c>
      <c r="M79" s="142"/>
      <c r="N79" s="142"/>
      <c r="O79" s="111">
        <f t="shared" si="17"/>
        <v>0</v>
      </c>
      <c r="P79" s="143"/>
      <c r="Q79" s="510"/>
      <c r="R79" s="511"/>
      <c r="S79" s="512"/>
      <c r="T79" s="144">
        <f>SUM(O78:O82)</f>
        <v>12.933333333333334</v>
      </c>
      <c r="U79" s="720" t="s">
        <v>105</v>
      </c>
      <c r="V79" s="721"/>
      <c r="W79" s="744">
        <f>Yearly!AC46*(May!D42/May!D41)</f>
        <v>2610000</v>
      </c>
      <c r="X79" s="745"/>
      <c r="Y79" s="745"/>
      <c r="Z79" s="745"/>
      <c r="AA79" s="746"/>
      <c r="AB79" s="752">
        <f>Yearly!AD46</f>
        <v>2794092</v>
      </c>
      <c r="AC79" s="753"/>
      <c r="AD79" s="753"/>
      <c r="AE79" s="753"/>
      <c r="AF79" s="754"/>
      <c r="AG79" s="433"/>
    </row>
    <row r="80" spans="1:35" s="16" customFormat="1" ht="37" customHeight="1">
      <c r="A80" s="209"/>
      <c r="B80" s="521"/>
      <c r="C80" s="525"/>
      <c r="D80" s="525"/>
      <c r="E80" s="526"/>
      <c r="F80" s="493"/>
      <c r="G80" s="494"/>
      <c r="H80" s="508" t="s">
        <v>73</v>
      </c>
      <c r="I80" s="509"/>
      <c r="J80" s="142"/>
      <c r="K80" s="142"/>
      <c r="L80" s="110" t="s">
        <v>76</v>
      </c>
      <c r="M80" s="142"/>
      <c r="N80" s="142"/>
      <c r="O80" s="111">
        <f t="shared" si="17"/>
        <v>0</v>
      </c>
      <c r="P80" s="143"/>
      <c r="Q80" s="510"/>
      <c r="R80" s="511"/>
      <c r="S80" s="512"/>
      <c r="T80" s="144"/>
      <c r="U80" s="720" t="s">
        <v>106</v>
      </c>
      <c r="V80" s="721"/>
      <c r="W80" s="624">
        <f>Yearly!AC47*(Jun!D42/Jun!D41)</f>
        <v>429107.1428571429</v>
      </c>
      <c r="X80" s="731"/>
      <c r="Y80" s="731"/>
      <c r="Z80" s="731"/>
      <c r="AA80" s="625"/>
      <c r="AB80" s="732">
        <f>Yearly!AD47</f>
        <v>486418</v>
      </c>
      <c r="AC80" s="733"/>
      <c r="AD80" s="733"/>
      <c r="AE80" s="733"/>
      <c r="AF80" s="734"/>
      <c r="AG80" s="433"/>
    </row>
    <row r="81" spans="1:47" s="16" customFormat="1" ht="37" customHeight="1">
      <c r="A81" s="209"/>
      <c r="B81" s="521"/>
      <c r="C81" s="525"/>
      <c r="D81" s="525"/>
      <c r="E81" s="526"/>
      <c r="F81" s="493"/>
      <c r="G81" s="494"/>
      <c r="H81" s="508" t="s">
        <v>73</v>
      </c>
      <c r="I81" s="509"/>
      <c r="J81" s="142"/>
      <c r="K81" s="142"/>
      <c r="L81" s="110" t="s">
        <v>76</v>
      </c>
      <c r="M81" s="142"/>
      <c r="N81" s="142"/>
      <c r="O81" s="111">
        <f t="shared" si="17"/>
        <v>0</v>
      </c>
      <c r="P81" s="143"/>
      <c r="Q81" s="510"/>
      <c r="R81" s="511"/>
      <c r="S81" s="512"/>
      <c r="T81" s="48"/>
      <c r="U81" s="720" t="s">
        <v>107</v>
      </c>
      <c r="V81" s="721"/>
      <c r="W81" s="624">
        <f>Yearly!AC48*(Jul!D43/Jul!D42)</f>
        <v>0</v>
      </c>
      <c r="X81" s="731"/>
      <c r="Y81" s="731"/>
      <c r="Z81" s="731"/>
      <c r="AA81" s="625"/>
      <c r="AB81" s="732">
        <f>Yearly!AD48</f>
        <v>0</v>
      </c>
      <c r="AC81" s="733"/>
      <c r="AD81" s="733"/>
      <c r="AE81" s="733"/>
      <c r="AF81" s="734"/>
      <c r="AG81" s="433"/>
    </row>
    <row r="82" spans="1:47" s="16" customFormat="1" ht="37" customHeight="1">
      <c r="A82" s="209"/>
      <c r="B82" s="521"/>
      <c r="C82" s="525"/>
      <c r="D82" s="525"/>
      <c r="E82" s="526"/>
      <c r="F82" s="495"/>
      <c r="G82" s="496"/>
      <c r="H82" s="518" t="s">
        <v>73</v>
      </c>
      <c r="I82" s="519"/>
      <c r="J82" s="145"/>
      <c r="K82" s="145"/>
      <c r="L82" s="146" t="s">
        <v>76</v>
      </c>
      <c r="M82" s="145"/>
      <c r="N82" s="145"/>
      <c r="O82" s="147">
        <f t="shared" si="17"/>
        <v>0</v>
      </c>
      <c r="P82" s="148"/>
      <c r="Q82" s="592"/>
      <c r="R82" s="593"/>
      <c r="S82" s="594"/>
      <c r="T82" s="149">
        <f>SUM(P78:P82)</f>
        <v>16</v>
      </c>
      <c r="U82" s="720" t="s">
        <v>109</v>
      </c>
      <c r="V82" s="721"/>
      <c r="W82" s="624">
        <f>Yearly!AC49*(Aug!D43/Aug!D42)</f>
        <v>0</v>
      </c>
      <c r="X82" s="731"/>
      <c r="Y82" s="731"/>
      <c r="Z82" s="731"/>
      <c r="AA82" s="625"/>
      <c r="AB82" s="732">
        <f>Yearly!AD49</f>
        <v>0</v>
      </c>
      <c r="AC82" s="733"/>
      <c r="AD82" s="733"/>
      <c r="AE82" s="733"/>
      <c r="AF82" s="734"/>
      <c r="AG82" s="433"/>
    </row>
    <row r="83" spans="1:47" s="16" customFormat="1" ht="37" customHeight="1">
      <c r="A83" s="209"/>
      <c r="B83" s="521"/>
      <c r="C83" s="525"/>
      <c r="D83" s="525"/>
      <c r="E83" s="526"/>
      <c r="F83" s="491" t="s">
        <v>93</v>
      </c>
      <c r="G83" s="492"/>
      <c r="H83" s="513" t="s">
        <v>73</v>
      </c>
      <c r="I83" s="514"/>
      <c r="J83" s="137">
        <v>0.54166666666666663</v>
      </c>
      <c r="K83" s="137">
        <v>0.66666666666666663</v>
      </c>
      <c r="L83" s="110" t="s">
        <v>76</v>
      </c>
      <c r="M83" s="137">
        <v>0.66666666666666663</v>
      </c>
      <c r="N83" s="137">
        <v>0.70833333333333337</v>
      </c>
      <c r="O83" s="138">
        <f t="shared" si="17"/>
        <v>4.0000000000000018</v>
      </c>
      <c r="P83" s="139">
        <v>7</v>
      </c>
      <c r="Q83" s="515"/>
      <c r="R83" s="516"/>
      <c r="S83" s="517"/>
      <c r="T83" s="409" t="s">
        <v>62</v>
      </c>
      <c r="U83" s="720" t="s">
        <v>110</v>
      </c>
      <c r="V83" s="721"/>
      <c r="W83" s="624">
        <f>Yearly!AC50*(Sep!D42/Sep!D41)</f>
        <v>0</v>
      </c>
      <c r="X83" s="731"/>
      <c r="Y83" s="731"/>
      <c r="Z83" s="731"/>
      <c r="AA83" s="625"/>
      <c r="AB83" s="732">
        <f>Yearly!AD50</f>
        <v>0</v>
      </c>
      <c r="AC83" s="733"/>
      <c r="AD83" s="733"/>
      <c r="AE83" s="733"/>
      <c r="AF83" s="734"/>
      <c r="AG83" s="433"/>
    </row>
    <row r="84" spans="1:47" s="16" customFormat="1" ht="37" customHeight="1">
      <c r="A84" s="209"/>
      <c r="B84" s="521"/>
      <c r="C84" s="525"/>
      <c r="D84" s="525"/>
      <c r="E84" s="526"/>
      <c r="F84" s="493"/>
      <c r="G84" s="494"/>
      <c r="H84" s="508" t="s">
        <v>73</v>
      </c>
      <c r="I84" s="509"/>
      <c r="J84" s="142"/>
      <c r="K84" s="142"/>
      <c r="L84" s="110" t="s">
        <v>76</v>
      </c>
      <c r="M84" s="142"/>
      <c r="N84" s="142"/>
      <c r="O84" s="111">
        <f t="shared" si="17"/>
        <v>0</v>
      </c>
      <c r="P84" s="143"/>
      <c r="Q84" s="510"/>
      <c r="R84" s="511"/>
      <c r="S84" s="512"/>
      <c r="T84" s="144">
        <f>SUM(O83:O87)</f>
        <v>4.0000000000000018</v>
      </c>
      <c r="U84" s="720" t="s">
        <v>111</v>
      </c>
      <c r="V84" s="721"/>
      <c r="W84" s="624">
        <f>Yearly!AC51*(Oct!D43/Oct!D42)</f>
        <v>0</v>
      </c>
      <c r="X84" s="731"/>
      <c r="Y84" s="731"/>
      <c r="Z84" s="731"/>
      <c r="AA84" s="625"/>
      <c r="AB84" s="732">
        <f>Yearly!AD51</f>
        <v>0</v>
      </c>
      <c r="AC84" s="733"/>
      <c r="AD84" s="733"/>
      <c r="AE84" s="733"/>
      <c r="AF84" s="734"/>
      <c r="AG84" s="433"/>
    </row>
    <row r="85" spans="1:47" s="16" customFormat="1" ht="37" customHeight="1">
      <c r="A85" s="209"/>
      <c r="B85" s="521"/>
      <c r="C85" s="525"/>
      <c r="D85" s="525"/>
      <c r="E85" s="526"/>
      <c r="F85" s="493"/>
      <c r="G85" s="494"/>
      <c r="H85" s="508" t="s">
        <v>73</v>
      </c>
      <c r="I85" s="509"/>
      <c r="J85" s="142"/>
      <c r="K85" s="142"/>
      <c r="L85" s="110" t="s">
        <v>76</v>
      </c>
      <c r="M85" s="142"/>
      <c r="N85" s="142"/>
      <c r="O85" s="111">
        <f t="shared" si="17"/>
        <v>0</v>
      </c>
      <c r="P85" s="143"/>
      <c r="Q85" s="510"/>
      <c r="R85" s="511"/>
      <c r="S85" s="512"/>
      <c r="T85" s="144"/>
      <c r="U85" s="720" t="s">
        <v>112</v>
      </c>
      <c r="V85" s="721"/>
      <c r="W85" s="624">
        <f>Yearly!AC52*(Nov!D42/Nov!D41)</f>
        <v>0</v>
      </c>
      <c r="X85" s="731"/>
      <c r="Y85" s="731"/>
      <c r="Z85" s="731"/>
      <c r="AA85" s="625"/>
      <c r="AB85" s="732">
        <f>Yearly!AD52</f>
        <v>0</v>
      </c>
      <c r="AC85" s="733"/>
      <c r="AD85" s="733"/>
      <c r="AE85" s="733"/>
      <c r="AF85" s="734"/>
      <c r="AG85" s="433"/>
    </row>
    <row r="86" spans="1:47" s="16" customFormat="1" ht="36.75" customHeight="1">
      <c r="A86" s="209"/>
      <c r="B86" s="521"/>
      <c r="C86" s="525"/>
      <c r="D86" s="525"/>
      <c r="E86" s="526"/>
      <c r="F86" s="493"/>
      <c r="G86" s="494"/>
      <c r="H86" s="508" t="s">
        <v>73</v>
      </c>
      <c r="I86" s="509"/>
      <c r="J86" s="142"/>
      <c r="K86" s="110"/>
      <c r="L86" s="110" t="s">
        <v>76</v>
      </c>
      <c r="M86" s="142"/>
      <c r="N86" s="142"/>
      <c r="O86" s="111">
        <f t="shared" si="17"/>
        <v>0</v>
      </c>
      <c r="P86" s="143"/>
      <c r="Q86" s="510"/>
      <c r="R86" s="511"/>
      <c r="S86" s="512"/>
      <c r="T86" s="48"/>
      <c r="U86" s="735" t="s">
        <v>113</v>
      </c>
      <c r="V86" s="736"/>
      <c r="W86" s="624">
        <f>Yearly!AC53*(Dec!D43/Dec!D42)</f>
        <v>0</v>
      </c>
      <c r="X86" s="731"/>
      <c r="Y86" s="731"/>
      <c r="Z86" s="731"/>
      <c r="AA86" s="625"/>
      <c r="AB86" s="732">
        <f>Yearly!AD53</f>
        <v>0</v>
      </c>
      <c r="AC86" s="733"/>
      <c r="AD86" s="733"/>
      <c r="AE86" s="733"/>
      <c r="AF86" s="734"/>
      <c r="AG86" s="433"/>
    </row>
    <row r="87" spans="1:47" s="16" customFormat="1" ht="36.75" customHeight="1">
      <c r="A87" s="209"/>
      <c r="B87" s="521"/>
      <c r="C87" s="525"/>
      <c r="D87" s="525"/>
      <c r="E87" s="526"/>
      <c r="F87" s="495"/>
      <c r="G87" s="496"/>
      <c r="H87" s="518" t="s">
        <v>73</v>
      </c>
      <c r="I87" s="519"/>
      <c r="J87" s="145"/>
      <c r="K87" s="145"/>
      <c r="L87" s="146" t="s">
        <v>76</v>
      </c>
      <c r="M87" s="145"/>
      <c r="N87" s="145"/>
      <c r="O87" s="147">
        <f t="shared" si="17"/>
        <v>0</v>
      </c>
      <c r="P87" s="148"/>
      <c r="Q87" s="592"/>
      <c r="R87" s="593"/>
      <c r="S87" s="594"/>
      <c r="T87" s="149">
        <f>SUM(P83:P87)</f>
        <v>7</v>
      </c>
      <c r="U87" s="655" t="s">
        <v>115</v>
      </c>
      <c r="V87" s="656"/>
      <c r="W87" s="655">
        <f>SUM(W75:AA86)</f>
        <v>13159107.142857144</v>
      </c>
      <c r="X87" s="724"/>
      <c r="Y87" s="724"/>
      <c r="Z87" s="724"/>
      <c r="AA87" s="656"/>
      <c r="AB87" s="655">
        <f>SUM(AB75:AF86)</f>
        <v>12528038</v>
      </c>
      <c r="AC87" s="724"/>
      <c r="AD87" s="724"/>
      <c r="AE87" s="724"/>
      <c r="AF87" s="706"/>
      <c r="AG87" s="433"/>
    </row>
    <row r="88" spans="1:47" s="16" customFormat="1" ht="37" customHeight="1">
      <c r="A88" s="209"/>
      <c r="B88" s="521"/>
      <c r="C88" s="525"/>
      <c r="D88" s="525"/>
      <c r="E88" s="526"/>
      <c r="F88" s="491" t="s">
        <v>43</v>
      </c>
      <c r="G88" s="492"/>
      <c r="H88" s="513" t="s">
        <v>73</v>
      </c>
      <c r="I88" s="514"/>
      <c r="J88" s="278">
        <v>0.42430555555555555</v>
      </c>
      <c r="K88" s="278">
        <v>0.46111111111111108</v>
      </c>
      <c r="L88" s="279" t="s">
        <v>76</v>
      </c>
      <c r="M88" s="278">
        <v>0.46111111111111108</v>
      </c>
      <c r="N88" s="278">
        <v>0.56666666666666665</v>
      </c>
      <c r="O88" s="138">
        <f t="shared" si="17"/>
        <v>3.4166666666666665</v>
      </c>
      <c r="P88" s="139">
        <v>1.5</v>
      </c>
      <c r="Q88" s="515"/>
      <c r="R88" s="516"/>
      <c r="S88" s="517"/>
      <c r="T88" s="409" t="s">
        <v>62</v>
      </c>
      <c r="U88" s="655" t="s">
        <v>116</v>
      </c>
      <c r="V88" s="656"/>
      <c r="W88" s="655">
        <f>+AB87-W87</f>
        <v>-631069.14285714366</v>
      </c>
      <c r="X88" s="724"/>
      <c r="Y88" s="724"/>
      <c r="Z88" s="724"/>
      <c r="AA88" s="724"/>
      <c r="AB88" s="724"/>
      <c r="AC88" s="724"/>
      <c r="AD88" s="724"/>
      <c r="AE88" s="724"/>
      <c r="AF88" s="706"/>
      <c r="AG88" s="433"/>
    </row>
    <row r="89" spans="1:47" s="16" customFormat="1" ht="37" customHeight="1">
      <c r="A89" s="209"/>
      <c r="B89" s="521"/>
      <c r="C89" s="525"/>
      <c r="D89" s="525"/>
      <c r="E89" s="526"/>
      <c r="F89" s="493"/>
      <c r="G89" s="494"/>
      <c r="H89" s="508" t="s">
        <v>73</v>
      </c>
      <c r="I89" s="509"/>
      <c r="J89" s="142">
        <v>0.61458333333333337</v>
      </c>
      <c r="K89" s="142">
        <v>0.68541666666666667</v>
      </c>
      <c r="L89" s="110" t="s">
        <v>76</v>
      </c>
      <c r="M89" s="142">
        <v>0.68541666666666667</v>
      </c>
      <c r="N89" s="110">
        <v>0.87361111111111101</v>
      </c>
      <c r="O89" s="111">
        <f t="shared" si="17"/>
        <v>6.2166666666666632</v>
      </c>
      <c r="P89" s="143">
        <v>2.5</v>
      </c>
      <c r="Q89" s="510"/>
      <c r="R89" s="511"/>
      <c r="S89" s="512"/>
      <c r="T89" s="144">
        <f>SUM(O88:O92)</f>
        <v>9.6333333333333293</v>
      </c>
      <c r="U89" s="655" t="s">
        <v>117</v>
      </c>
      <c r="V89" s="656"/>
      <c r="W89" s="747">
        <f>+AB87/W87</f>
        <v>0.95204316402274358</v>
      </c>
      <c r="X89" s="748"/>
      <c r="Y89" s="748"/>
      <c r="Z89" s="748"/>
      <c r="AA89" s="748"/>
      <c r="AB89" s="748"/>
      <c r="AC89" s="748"/>
      <c r="AD89" s="748"/>
      <c r="AE89" s="748"/>
      <c r="AF89" s="749"/>
      <c r="AG89" s="433"/>
    </row>
    <row r="90" spans="1:47" s="16" customFormat="1" ht="37" customHeight="1">
      <c r="A90" s="209"/>
      <c r="B90" s="521"/>
      <c r="C90" s="525"/>
      <c r="D90" s="525"/>
      <c r="E90" s="526"/>
      <c r="F90" s="493"/>
      <c r="G90" s="494"/>
      <c r="H90" s="508" t="s">
        <v>73</v>
      </c>
      <c r="I90" s="509"/>
      <c r="J90" s="142"/>
      <c r="K90" s="142"/>
      <c r="L90" s="110" t="s">
        <v>76</v>
      </c>
      <c r="M90" s="142"/>
      <c r="N90" s="142"/>
      <c r="O90" s="111">
        <f>(K90-J90+N90-M90)*24</f>
        <v>0</v>
      </c>
      <c r="P90" s="143"/>
      <c r="Q90" s="510"/>
      <c r="R90" s="511"/>
      <c r="S90" s="512"/>
      <c r="T90" s="144"/>
      <c r="AF90" s="50"/>
      <c r="AG90" s="433"/>
    </row>
    <row r="91" spans="1:47" s="16" customFormat="1" ht="36.75" customHeight="1">
      <c r="A91" s="209"/>
      <c r="B91" s="521"/>
      <c r="C91" s="525"/>
      <c r="D91" s="525"/>
      <c r="E91" s="526"/>
      <c r="F91" s="493"/>
      <c r="G91" s="494"/>
      <c r="H91" s="508" t="s">
        <v>73</v>
      </c>
      <c r="I91" s="509"/>
      <c r="J91" s="142"/>
      <c r="K91" s="142"/>
      <c r="L91" s="110" t="s">
        <v>76</v>
      </c>
      <c r="M91" s="142"/>
      <c r="N91" s="142"/>
      <c r="O91" s="111">
        <f t="shared" si="17"/>
        <v>0</v>
      </c>
      <c r="P91" s="143"/>
      <c r="Q91" s="510"/>
      <c r="R91" s="511"/>
      <c r="S91" s="512"/>
      <c r="T91" s="48"/>
      <c r="AF91" s="50"/>
      <c r="AG91" s="433"/>
    </row>
    <row r="92" spans="1:47" s="16" customFormat="1" ht="37" customHeight="1">
      <c r="A92" s="209"/>
      <c r="B92" s="521"/>
      <c r="C92" s="525"/>
      <c r="D92" s="525"/>
      <c r="E92" s="526"/>
      <c r="F92" s="495"/>
      <c r="G92" s="496"/>
      <c r="H92" s="750" t="s">
        <v>73</v>
      </c>
      <c r="I92" s="751"/>
      <c r="J92" s="145"/>
      <c r="K92" s="145"/>
      <c r="L92" s="146" t="s">
        <v>76</v>
      </c>
      <c r="M92" s="145"/>
      <c r="N92" s="145"/>
      <c r="O92" s="147">
        <f t="shared" si="17"/>
        <v>0</v>
      </c>
      <c r="P92" s="148"/>
      <c r="Q92" s="592"/>
      <c r="R92" s="593"/>
      <c r="S92" s="594"/>
      <c r="T92" s="158">
        <f>SUM(P88:P92)</f>
        <v>4</v>
      </c>
      <c r="AF92" s="50"/>
      <c r="AG92" s="433"/>
      <c r="AU92" s="15"/>
    </row>
    <row r="93" spans="1:47" ht="38.25" customHeight="1">
      <c r="B93" s="521"/>
      <c r="C93" s="525"/>
      <c r="D93" s="525"/>
      <c r="E93" s="526"/>
      <c r="F93" s="491" t="s">
        <v>182</v>
      </c>
      <c r="G93" s="492"/>
      <c r="H93" s="513" t="s">
        <v>73</v>
      </c>
      <c r="I93" s="514"/>
      <c r="J93" s="137">
        <v>0.56180555555555556</v>
      </c>
      <c r="K93" s="137">
        <v>0.83472222222222225</v>
      </c>
      <c r="L93" s="110" t="s">
        <v>76</v>
      </c>
      <c r="M93" s="137">
        <v>0.83472222222222225</v>
      </c>
      <c r="N93" s="137">
        <v>0.83611111111111114</v>
      </c>
      <c r="O93" s="138">
        <f t="shared" si="17"/>
        <v>6.5833333333333366</v>
      </c>
      <c r="P93" s="139">
        <v>3</v>
      </c>
      <c r="Q93" s="515"/>
      <c r="R93" s="516"/>
      <c r="S93" s="517"/>
      <c r="T93" s="409" t="s">
        <v>62</v>
      </c>
      <c r="AF93" s="108"/>
      <c r="AG93" s="433"/>
    </row>
    <row r="94" spans="1:47" ht="38.25" customHeight="1">
      <c r="B94" s="521"/>
      <c r="C94" s="525"/>
      <c r="D94" s="525"/>
      <c r="E94" s="526"/>
      <c r="F94" s="493"/>
      <c r="G94" s="494"/>
      <c r="H94" s="508" t="s">
        <v>73</v>
      </c>
      <c r="I94" s="509"/>
      <c r="J94" s="142"/>
      <c r="K94" s="142"/>
      <c r="L94" s="110" t="s">
        <v>76</v>
      </c>
      <c r="M94" s="142"/>
      <c r="N94" s="142"/>
      <c r="O94" s="111">
        <f t="shared" si="17"/>
        <v>0</v>
      </c>
      <c r="P94" s="143"/>
      <c r="Q94" s="510"/>
      <c r="R94" s="511"/>
      <c r="S94" s="512"/>
      <c r="T94" s="144">
        <f>SUM(O93:O97)</f>
        <v>6.5833333333333366</v>
      </c>
      <c r="AF94" s="108"/>
      <c r="AG94" s="433"/>
    </row>
    <row r="95" spans="1:47" ht="38.25" customHeight="1">
      <c r="B95" s="521"/>
      <c r="C95" s="525"/>
      <c r="D95" s="525"/>
      <c r="E95" s="526"/>
      <c r="F95" s="493"/>
      <c r="G95" s="494"/>
      <c r="H95" s="508" t="s">
        <v>73</v>
      </c>
      <c r="I95" s="509"/>
      <c r="J95" s="142"/>
      <c r="K95" s="142"/>
      <c r="L95" s="110" t="s">
        <v>76</v>
      </c>
      <c r="M95" s="142"/>
      <c r="N95" s="142"/>
      <c r="O95" s="111">
        <f t="shared" si="17"/>
        <v>0</v>
      </c>
      <c r="P95" s="143"/>
      <c r="Q95" s="510"/>
      <c r="R95" s="511"/>
      <c r="S95" s="512"/>
      <c r="T95" s="144"/>
      <c r="AF95" s="108"/>
      <c r="AG95" s="433"/>
    </row>
    <row r="96" spans="1:47" ht="38.25" customHeight="1">
      <c r="B96" s="521"/>
      <c r="C96" s="525"/>
      <c r="D96" s="525"/>
      <c r="E96" s="526"/>
      <c r="F96" s="493"/>
      <c r="G96" s="494"/>
      <c r="H96" s="508" t="s">
        <v>73</v>
      </c>
      <c r="I96" s="509"/>
      <c r="J96" s="142"/>
      <c r="K96" s="142"/>
      <c r="L96" s="110" t="s">
        <v>76</v>
      </c>
      <c r="M96" s="142"/>
      <c r="N96" s="142"/>
      <c r="O96" s="111">
        <f t="shared" si="17"/>
        <v>0</v>
      </c>
      <c r="P96" s="143"/>
      <c r="Q96" s="510"/>
      <c r="R96" s="511"/>
      <c r="S96" s="512"/>
      <c r="T96" s="48"/>
      <c r="AF96" s="108"/>
      <c r="AG96" s="433"/>
    </row>
    <row r="97" spans="1:54" ht="38.25" customHeight="1">
      <c r="B97" s="521"/>
      <c r="C97" s="525"/>
      <c r="D97" s="525"/>
      <c r="E97" s="526"/>
      <c r="F97" s="495"/>
      <c r="G97" s="496"/>
      <c r="H97" s="750" t="s">
        <v>73</v>
      </c>
      <c r="I97" s="751"/>
      <c r="J97" s="145"/>
      <c r="K97" s="145"/>
      <c r="L97" s="146" t="s">
        <v>76</v>
      </c>
      <c r="M97" s="145"/>
      <c r="N97" s="145"/>
      <c r="O97" s="147">
        <f t="shared" ref="O97:O101" si="22">(K97-J97+N97-M97)*24</f>
        <v>0</v>
      </c>
      <c r="P97" s="148"/>
      <c r="Q97" s="592"/>
      <c r="R97" s="593"/>
      <c r="S97" s="594"/>
      <c r="T97" s="158">
        <f>SUM(P93:P97)</f>
        <v>3</v>
      </c>
      <c r="AF97" s="108"/>
      <c r="AG97" s="433"/>
    </row>
    <row r="98" spans="1:54" ht="38.25" customHeight="1">
      <c r="B98" s="521"/>
      <c r="C98" s="525"/>
      <c r="D98" s="525"/>
      <c r="E98" s="526"/>
      <c r="F98" s="491" t="s">
        <v>183</v>
      </c>
      <c r="G98" s="492"/>
      <c r="H98" s="513" t="s">
        <v>73</v>
      </c>
      <c r="I98" s="514"/>
      <c r="J98" s="137"/>
      <c r="K98" s="137"/>
      <c r="L98" s="110" t="s">
        <v>76</v>
      </c>
      <c r="M98" s="137"/>
      <c r="N98" s="137"/>
      <c r="O98" s="138">
        <f t="shared" si="22"/>
        <v>0</v>
      </c>
      <c r="P98" s="139"/>
      <c r="Q98" s="515"/>
      <c r="R98" s="516"/>
      <c r="S98" s="517"/>
      <c r="T98" s="409" t="s">
        <v>62</v>
      </c>
      <c r="AF98" s="108"/>
      <c r="AG98" s="433"/>
    </row>
    <row r="99" spans="1:54" ht="38.25" customHeight="1">
      <c r="B99" s="521"/>
      <c r="C99" s="525"/>
      <c r="D99" s="525"/>
      <c r="E99" s="526"/>
      <c r="F99" s="493"/>
      <c r="G99" s="494"/>
      <c r="H99" s="508" t="s">
        <v>73</v>
      </c>
      <c r="I99" s="509"/>
      <c r="J99" s="142"/>
      <c r="K99" s="142"/>
      <c r="L99" s="110" t="s">
        <v>76</v>
      </c>
      <c r="M99" s="142"/>
      <c r="N99" s="142"/>
      <c r="O99" s="111">
        <f t="shared" si="22"/>
        <v>0</v>
      </c>
      <c r="P99" s="143"/>
      <c r="Q99" s="510"/>
      <c r="R99" s="511"/>
      <c r="S99" s="512"/>
      <c r="T99" s="144">
        <f>SUM(O98:O102)</f>
        <v>0</v>
      </c>
      <c r="AF99" s="108"/>
      <c r="AG99" s="433"/>
    </row>
    <row r="100" spans="1:54" ht="38.25" customHeight="1">
      <c r="B100" s="521"/>
      <c r="C100" s="525"/>
      <c r="D100" s="525"/>
      <c r="E100" s="526"/>
      <c r="F100" s="493"/>
      <c r="G100" s="494"/>
      <c r="H100" s="508" t="s">
        <v>73</v>
      </c>
      <c r="I100" s="509"/>
      <c r="J100" s="142"/>
      <c r="K100" s="142"/>
      <c r="L100" s="110" t="s">
        <v>76</v>
      </c>
      <c r="M100" s="142"/>
      <c r="N100" s="142"/>
      <c r="O100" s="111">
        <f t="shared" si="22"/>
        <v>0</v>
      </c>
      <c r="P100" s="143"/>
      <c r="Q100" s="510"/>
      <c r="R100" s="511"/>
      <c r="S100" s="512"/>
      <c r="T100" s="144"/>
      <c r="AF100" s="108"/>
      <c r="AG100" s="433"/>
    </row>
    <row r="101" spans="1:54" ht="38.25" customHeight="1">
      <c r="B101" s="521"/>
      <c r="C101" s="525"/>
      <c r="D101" s="525"/>
      <c r="E101" s="526"/>
      <c r="F101" s="493"/>
      <c r="G101" s="494"/>
      <c r="H101" s="508" t="s">
        <v>73</v>
      </c>
      <c r="I101" s="509"/>
      <c r="J101" s="142"/>
      <c r="K101" s="142"/>
      <c r="L101" s="110" t="s">
        <v>76</v>
      </c>
      <c r="M101" s="142"/>
      <c r="N101" s="142"/>
      <c r="O101" s="111">
        <f t="shared" si="22"/>
        <v>0</v>
      </c>
      <c r="P101" s="143"/>
      <c r="Q101" s="510"/>
      <c r="R101" s="511"/>
      <c r="S101" s="512"/>
      <c r="T101" s="48"/>
      <c r="AF101" s="108"/>
      <c r="AG101" s="433"/>
    </row>
    <row r="102" spans="1:54" ht="38.25" customHeight="1" thickBot="1">
      <c r="B102" s="522"/>
      <c r="C102" s="527"/>
      <c r="D102" s="527"/>
      <c r="E102" s="528"/>
      <c r="F102" s="529"/>
      <c r="G102" s="530"/>
      <c r="H102" s="620" t="s">
        <v>73</v>
      </c>
      <c r="I102" s="621"/>
      <c r="J102" s="458"/>
      <c r="K102" s="458"/>
      <c r="L102" s="459" t="s">
        <v>76</v>
      </c>
      <c r="M102" s="458"/>
      <c r="N102" s="458"/>
      <c r="O102" s="460">
        <f t="shared" ref="O102" si="23">(K102-J102+N102-M102)*24</f>
        <v>0</v>
      </c>
      <c r="P102" s="461"/>
      <c r="Q102" s="614"/>
      <c r="R102" s="615"/>
      <c r="S102" s="616"/>
      <c r="T102" s="462">
        <f>SUM(P98:P102)</f>
        <v>0</v>
      </c>
      <c r="U102" s="212"/>
      <c r="V102" s="212"/>
      <c r="W102" s="212"/>
      <c r="X102" s="52"/>
      <c r="Y102" s="52"/>
      <c r="Z102" s="52"/>
      <c r="AA102" s="52"/>
      <c r="AB102" s="52"/>
      <c r="AC102" s="52"/>
      <c r="AD102" s="52"/>
      <c r="AE102" s="52"/>
      <c r="AF102" s="463"/>
      <c r="AG102" s="433"/>
    </row>
    <row r="103" spans="1:54" ht="22.5" customHeight="1">
      <c r="AB103" s="33"/>
      <c r="AC103" s="33"/>
      <c r="AD103" s="33"/>
      <c r="AE103" s="33"/>
      <c r="AF103" s="16"/>
      <c r="AG103" s="16"/>
      <c r="AH103" s="160"/>
      <c r="AI103" s="133"/>
      <c r="AJ103" s="133"/>
      <c r="AK103" s="16"/>
      <c r="AW103" s="2"/>
      <c r="AX103" s="2"/>
      <c r="AY103" s="2"/>
      <c r="AZ103" s="2"/>
    </row>
    <row r="104" spans="1:54" ht="35.15" customHeight="1">
      <c r="AB104" s="33"/>
      <c r="AC104" s="33"/>
      <c r="AD104" s="33"/>
      <c r="AE104" s="33"/>
      <c r="AF104" s="16"/>
      <c r="AG104" s="16"/>
      <c r="AH104" s="160"/>
      <c r="AI104" s="160"/>
      <c r="AJ104" s="160"/>
      <c r="AK104" s="133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s="2" customFormat="1" ht="35.15" customHeight="1">
      <c r="A105" s="21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AB105" s="33"/>
      <c r="AF105" s="16"/>
      <c r="AG105" s="16"/>
      <c r="AH105" s="160"/>
      <c r="AI105" s="160"/>
      <c r="AJ105" s="160"/>
      <c r="AK105" s="160"/>
      <c r="AL105" s="160"/>
      <c r="AM105" s="133"/>
      <c r="AN105" s="159"/>
      <c r="AO105" s="1"/>
      <c r="AP105" s="1"/>
    </row>
    <row r="106" spans="1:54" s="2" customFormat="1" ht="35.15" customHeight="1">
      <c r="A106" s="21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AB106" s="33"/>
      <c r="AF106" s="16"/>
      <c r="AG106" s="16"/>
      <c r="AH106" s="160"/>
      <c r="AI106" s="160"/>
      <c r="AJ106" s="160"/>
      <c r="AK106" s="160"/>
      <c r="AL106" s="160"/>
      <c r="AM106" s="160"/>
      <c r="AN106" s="133"/>
      <c r="AO106" s="133"/>
    </row>
    <row r="107" spans="1:54" s="2" customFormat="1" ht="35.15" customHeight="1">
      <c r="A107" s="21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AB107" s="33"/>
      <c r="AF107" s="16"/>
      <c r="AG107" s="16"/>
      <c r="AH107" s="160"/>
      <c r="AI107" s="160"/>
      <c r="AJ107" s="160"/>
      <c r="AK107" s="160"/>
      <c r="AL107" s="160"/>
      <c r="AM107" s="160"/>
      <c r="AN107" s="133"/>
      <c r="AO107" s="133"/>
    </row>
    <row r="108" spans="1:54" s="2" customFormat="1" ht="35.15" customHeight="1">
      <c r="A108" s="21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9"/>
      <c r="Y108" s="20"/>
      <c r="AB108" s="33"/>
      <c r="AF108" s="16"/>
      <c r="AG108" s="16"/>
      <c r="AH108" s="160"/>
      <c r="AI108" s="160"/>
      <c r="AJ108" s="160"/>
      <c r="AK108" s="160"/>
      <c r="AL108" s="160"/>
      <c r="AM108" s="160"/>
      <c r="AN108" s="161"/>
      <c r="AO108" s="161"/>
    </row>
    <row r="109" spans="1:54" s="2" customFormat="1" ht="35.15" customHeight="1">
      <c r="A109" s="21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20"/>
      <c r="Y109" s="20"/>
      <c r="AF109" s="16"/>
      <c r="AG109" s="16"/>
      <c r="AH109" s="160"/>
      <c r="AI109" s="160"/>
      <c r="AJ109" s="160"/>
      <c r="AK109" s="160"/>
      <c r="AL109" s="160"/>
      <c r="AM109" s="161"/>
      <c r="AN109" s="161"/>
    </row>
    <row r="110" spans="1:54" s="2" customFormat="1" ht="35.15" customHeight="1">
      <c r="A110" s="21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8"/>
      <c r="Y110" s="18"/>
      <c r="AF110" s="16"/>
      <c r="AG110" s="16"/>
      <c r="AH110" s="160"/>
      <c r="AI110" s="160"/>
      <c r="AJ110" s="160"/>
      <c r="AK110" s="160"/>
      <c r="AL110" s="160"/>
      <c r="AM110" s="24"/>
      <c r="AN110" s="24"/>
    </row>
    <row r="111" spans="1:54" s="2" customFormat="1" ht="35.15" customHeight="1">
      <c r="A111" s="21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8"/>
      <c r="Y111" s="18"/>
      <c r="AF111" s="16"/>
      <c r="AG111" s="16"/>
      <c r="AH111" s="160"/>
      <c r="AI111" s="160"/>
      <c r="AJ111" s="160"/>
      <c r="AK111" s="160"/>
      <c r="AL111" s="160"/>
      <c r="AM111" s="24"/>
      <c r="AN111" s="24"/>
    </row>
    <row r="112" spans="1:54" s="2" customFormat="1" ht="35.15" customHeight="1">
      <c r="A112" s="21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8"/>
      <c r="W112" s="18"/>
      <c r="X112" s="18"/>
      <c r="Y112" s="18"/>
      <c r="AF112" s="16"/>
      <c r="AG112" s="16"/>
      <c r="AH112" s="160"/>
      <c r="AI112" s="160"/>
      <c r="AJ112" s="160"/>
      <c r="AK112" s="160"/>
      <c r="AL112" s="160"/>
      <c r="AM112" s="24"/>
      <c r="AN112" s="24"/>
    </row>
    <row r="113" spans="1:54" s="2" customFormat="1" ht="35.15" customHeight="1">
      <c r="A113" s="21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8"/>
      <c r="W113" s="18"/>
      <c r="X113" s="20"/>
      <c r="Y113" s="20"/>
      <c r="AF113" s="16"/>
      <c r="AG113" s="16"/>
      <c r="AH113" s="160"/>
      <c r="AI113" s="160"/>
      <c r="AJ113" s="160"/>
      <c r="AK113" s="160"/>
      <c r="AL113" s="160"/>
      <c r="AM113" s="24"/>
      <c r="AN113" s="24"/>
    </row>
    <row r="114" spans="1:54" s="2" customFormat="1" ht="35.15" customHeight="1">
      <c r="A114" s="21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8"/>
      <c r="W114" s="18"/>
      <c r="AF114" s="16"/>
      <c r="AG114" s="16"/>
      <c r="AI114" s="160"/>
      <c r="AJ114" s="160"/>
      <c r="AK114" s="160"/>
      <c r="AL114" s="160"/>
      <c r="AM114" s="160"/>
      <c r="AN114" s="162"/>
      <c r="AO114" s="162"/>
    </row>
    <row r="115" spans="1:54" s="2" customFormat="1" ht="35.15" customHeight="1">
      <c r="A115" s="21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8"/>
      <c r="W115" s="18"/>
      <c r="AF115" s="16"/>
      <c r="AG115" s="16"/>
      <c r="AH115" s="1"/>
      <c r="AI115" s="160"/>
      <c r="AJ115" s="160"/>
      <c r="AK115" s="160"/>
      <c r="AL115" s="160"/>
      <c r="AM115" s="133"/>
      <c r="AN115" s="133"/>
    </row>
    <row r="116" spans="1:54" s="2" customFormat="1" ht="35.15" customHeight="1">
      <c r="A116" s="21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AF116" s="16"/>
      <c r="AG116" s="16"/>
      <c r="AH116" s="34"/>
      <c r="AI116" s="160"/>
      <c r="AJ116" s="160"/>
      <c r="AK116" s="160"/>
      <c r="AL116" s="160"/>
      <c r="AM116" s="160"/>
      <c r="AN116" s="133"/>
      <c r="AO116" s="133"/>
    </row>
    <row r="117" spans="1:54" s="2" customFormat="1" ht="35.15" customHeight="1">
      <c r="A117" s="21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AF117" s="33"/>
      <c r="AG117" s="34"/>
      <c r="AH117" s="34"/>
      <c r="AI117" s="160"/>
      <c r="AJ117" s="160"/>
      <c r="AK117" s="160"/>
      <c r="AL117" s="160"/>
      <c r="AM117" s="160"/>
      <c r="AN117" s="6"/>
      <c r="AO117" s="6"/>
    </row>
    <row r="118" spans="1:54" ht="25">
      <c r="AF118" s="33"/>
      <c r="AG118" s="33"/>
      <c r="AH118" s="33"/>
      <c r="AI118" s="33"/>
      <c r="AJ118" s="34"/>
      <c r="AK118" s="34"/>
      <c r="AL118" s="34"/>
      <c r="AM118" s="34"/>
      <c r="AN118" s="34"/>
      <c r="AO118" s="34"/>
    </row>
    <row r="119" spans="1:54" ht="25">
      <c r="AF119" s="33"/>
      <c r="AG119" s="33"/>
      <c r="AH119" s="33"/>
      <c r="AI119" s="33"/>
      <c r="AJ119" s="34"/>
      <c r="AK119" s="34"/>
      <c r="AL119" s="34"/>
      <c r="AM119" s="34"/>
      <c r="AN119" s="34"/>
      <c r="AO119" s="34"/>
    </row>
    <row r="120" spans="1:54" ht="25">
      <c r="AJ120" s="34"/>
      <c r="AK120" s="34"/>
      <c r="AL120" s="34"/>
      <c r="AM120" s="34"/>
      <c r="AN120" s="34"/>
      <c r="AO120" s="34"/>
    </row>
    <row r="121" spans="1:54" ht="25">
      <c r="AJ121" s="34"/>
      <c r="AK121" s="34"/>
      <c r="AL121" s="34"/>
      <c r="AM121" s="34"/>
      <c r="AN121" s="34"/>
      <c r="AO121" s="34"/>
    </row>
    <row r="122" spans="1:54" ht="25">
      <c r="AJ122" s="34"/>
      <c r="AK122" s="34"/>
      <c r="AL122" s="34"/>
      <c r="AM122" s="34"/>
      <c r="AN122" s="34"/>
      <c r="AO122" s="34"/>
    </row>
    <row r="123" spans="1:54" ht="25">
      <c r="AJ123" s="34"/>
      <c r="AK123" s="34"/>
      <c r="AL123" s="34"/>
      <c r="AM123" s="34"/>
      <c r="AN123" s="34"/>
      <c r="AO123" s="34"/>
    </row>
    <row r="124" spans="1:54" ht="25">
      <c r="AJ124" s="34"/>
      <c r="AK124" s="34"/>
      <c r="AL124" s="34"/>
      <c r="AM124" s="34"/>
      <c r="AN124" s="34"/>
      <c r="AO124" s="34"/>
    </row>
    <row r="125" spans="1:54" ht="25">
      <c r="AJ125" s="34"/>
      <c r="AK125" s="34"/>
      <c r="AL125" s="34"/>
    </row>
    <row r="126" spans="1:54" ht="25">
      <c r="AL126" s="34"/>
    </row>
    <row r="128" spans="1:54" s="2" customFormat="1">
      <c r="A128" s="21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s="2" customFormat="1">
      <c r="A129" s="21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s="2" customFormat="1">
      <c r="A130" s="21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</sheetData>
  <mergeCells count="461">
    <mergeCell ref="U71:V71"/>
    <mergeCell ref="W71:AF71"/>
    <mergeCell ref="AB86:AF86"/>
    <mergeCell ref="U58:V58"/>
    <mergeCell ref="W58:AA58"/>
    <mergeCell ref="U65:V65"/>
    <mergeCell ref="W65:AA65"/>
    <mergeCell ref="AB58:AF58"/>
    <mergeCell ref="W77:AA77"/>
    <mergeCell ref="AB77:AF77"/>
    <mergeCell ref="W75:AA75"/>
    <mergeCell ref="AB75:AF75"/>
    <mergeCell ref="AB81:AF81"/>
    <mergeCell ref="U70:V70"/>
    <mergeCell ref="W70:AF70"/>
    <mergeCell ref="AB69:AF69"/>
    <mergeCell ref="AB64:AF64"/>
    <mergeCell ref="AB65:AF65"/>
    <mergeCell ref="AB68:AF68"/>
    <mergeCell ref="AB78:AF78"/>
    <mergeCell ref="AB76:AF76"/>
    <mergeCell ref="AB83:AF83"/>
    <mergeCell ref="AB79:AF79"/>
    <mergeCell ref="AB82:AF82"/>
    <mergeCell ref="W80:AA80"/>
    <mergeCell ref="AB80:AF80"/>
    <mergeCell ref="AB63:AF63"/>
    <mergeCell ref="U59:V59"/>
    <mergeCell ref="W59:AA59"/>
    <mergeCell ref="AB59:AF59"/>
    <mergeCell ref="U62:V62"/>
    <mergeCell ref="W62:AA62"/>
    <mergeCell ref="AB62:AF62"/>
    <mergeCell ref="AB61:AF61"/>
    <mergeCell ref="U60:V60"/>
    <mergeCell ref="W60:AA60"/>
    <mergeCell ref="AB60:AF60"/>
    <mergeCell ref="U61:V61"/>
    <mergeCell ref="W61:AA61"/>
    <mergeCell ref="H97:I97"/>
    <mergeCell ref="Q97:S97"/>
    <mergeCell ref="Q92:S92"/>
    <mergeCell ref="F93:G97"/>
    <mergeCell ref="H93:I93"/>
    <mergeCell ref="Q93:S93"/>
    <mergeCell ref="H94:I94"/>
    <mergeCell ref="Q94:S94"/>
    <mergeCell ref="H95:I95"/>
    <mergeCell ref="Q95:S95"/>
    <mergeCell ref="H96:I96"/>
    <mergeCell ref="Q96:S96"/>
    <mergeCell ref="H92:I92"/>
    <mergeCell ref="F88:G92"/>
    <mergeCell ref="H88:I88"/>
    <mergeCell ref="Q88:S88"/>
    <mergeCell ref="H89:I89"/>
    <mergeCell ref="Q89:S89"/>
    <mergeCell ref="H90:I90"/>
    <mergeCell ref="U85:V85"/>
    <mergeCell ref="W85:AA85"/>
    <mergeCell ref="U86:V86"/>
    <mergeCell ref="H91:I91"/>
    <mergeCell ref="Q91:S91"/>
    <mergeCell ref="Q90:S90"/>
    <mergeCell ref="W88:AF88"/>
    <mergeCell ref="W89:AF89"/>
    <mergeCell ref="W86:AA86"/>
    <mergeCell ref="W87:AA87"/>
    <mergeCell ref="U88:V88"/>
    <mergeCell ref="H87:I87"/>
    <mergeCell ref="Q87:S87"/>
    <mergeCell ref="U89:V89"/>
    <mergeCell ref="H86:I86"/>
    <mergeCell ref="AB87:AF87"/>
    <mergeCell ref="U87:V87"/>
    <mergeCell ref="AB85:AF85"/>
    <mergeCell ref="W76:AA76"/>
    <mergeCell ref="U74:V74"/>
    <mergeCell ref="U73:AF73"/>
    <mergeCell ref="U77:V77"/>
    <mergeCell ref="U79:V79"/>
    <mergeCell ref="Q75:S75"/>
    <mergeCell ref="H78:I78"/>
    <mergeCell ref="Q78:S78"/>
    <mergeCell ref="F83:G87"/>
    <mergeCell ref="H84:I84"/>
    <mergeCell ref="Q84:S84"/>
    <mergeCell ref="Q86:S86"/>
    <mergeCell ref="W78:AA78"/>
    <mergeCell ref="U83:V83"/>
    <mergeCell ref="W83:AA83"/>
    <mergeCell ref="W79:AA79"/>
    <mergeCell ref="U82:V82"/>
    <mergeCell ref="W82:AA82"/>
    <mergeCell ref="U80:V80"/>
    <mergeCell ref="Q82:S82"/>
    <mergeCell ref="F78:G82"/>
    <mergeCell ref="U84:V84"/>
    <mergeCell ref="W84:AA84"/>
    <mergeCell ref="U81:V81"/>
    <mergeCell ref="Q68:S68"/>
    <mergeCell ref="F73:G77"/>
    <mergeCell ref="AB84:AF84"/>
    <mergeCell ref="Q66:S66"/>
    <mergeCell ref="H72:I72"/>
    <mergeCell ref="Q72:S72"/>
    <mergeCell ref="H67:I67"/>
    <mergeCell ref="Q67:S67"/>
    <mergeCell ref="H75:I75"/>
    <mergeCell ref="H73:I73"/>
    <mergeCell ref="H76:I76"/>
    <mergeCell ref="Q76:S76"/>
    <mergeCell ref="W74:AA74"/>
    <mergeCell ref="AB74:AF74"/>
    <mergeCell ref="U75:V75"/>
    <mergeCell ref="H70:I70"/>
    <mergeCell ref="H69:I69"/>
    <mergeCell ref="Q69:S69"/>
    <mergeCell ref="Q70:S70"/>
    <mergeCell ref="W68:AA68"/>
    <mergeCell ref="Q73:S73"/>
    <mergeCell ref="H74:I74"/>
    <mergeCell ref="Q74:S74"/>
    <mergeCell ref="U76:V76"/>
    <mergeCell ref="U67:V67"/>
    <mergeCell ref="W67:AA67"/>
    <mergeCell ref="AB67:AF67"/>
    <mergeCell ref="AB66:AF66"/>
    <mergeCell ref="H85:I85"/>
    <mergeCell ref="Q85:S85"/>
    <mergeCell ref="H77:I77"/>
    <mergeCell ref="H82:I82"/>
    <mergeCell ref="Q77:S77"/>
    <mergeCell ref="H80:I80"/>
    <mergeCell ref="Q80:S80"/>
    <mergeCell ref="H79:I79"/>
    <mergeCell ref="Q79:S79"/>
    <mergeCell ref="H81:I81"/>
    <mergeCell ref="Q81:S81"/>
    <mergeCell ref="W81:AA81"/>
    <mergeCell ref="U69:V69"/>
    <mergeCell ref="W69:AA69"/>
    <mergeCell ref="H83:I83"/>
    <mergeCell ref="Q83:S83"/>
    <mergeCell ref="U78:V78"/>
    <mergeCell ref="U68:V68"/>
    <mergeCell ref="H71:I71"/>
    <mergeCell ref="Q71:S71"/>
    <mergeCell ref="H64:I64"/>
    <mergeCell ref="Q64:S64"/>
    <mergeCell ref="U66:V66"/>
    <mergeCell ref="W66:AA66"/>
    <mergeCell ref="H62:I62"/>
    <mergeCell ref="H60:I60"/>
    <mergeCell ref="Q60:S60"/>
    <mergeCell ref="H59:I59"/>
    <mergeCell ref="Q59:S59"/>
    <mergeCell ref="H61:I61"/>
    <mergeCell ref="Q61:S61"/>
    <mergeCell ref="U63:V63"/>
    <mergeCell ref="W63:AA63"/>
    <mergeCell ref="H63:I63"/>
    <mergeCell ref="Q63:S63"/>
    <mergeCell ref="Q62:S62"/>
    <mergeCell ref="U64:V64"/>
    <mergeCell ref="W64:AA64"/>
    <mergeCell ref="H65:I65"/>
    <mergeCell ref="Q65:S65"/>
    <mergeCell ref="U57:V57"/>
    <mergeCell ref="W57:AA57"/>
    <mergeCell ref="AB57:AF57"/>
    <mergeCell ref="AC53:AD53"/>
    <mergeCell ref="AE53:AF53"/>
    <mergeCell ref="H56:I56"/>
    <mergeCell ref="Q56:S56"/>
    <mergeCell ref="U55:AF55"/>
    <mergeCell ref="H54:I54"/>
    <mergeCell ref="Q54:S54"/>
    <mergeCell ref="U53:V53"/>
    <mergeCell ref="W53:X53"/>
    <mergeCell ref="Y53:Z53"/>
    <mergeCell ref="AA53:AB53"/>
    <mergeCell ref="H53:I53"/>
    <mergeCell ref="Q53:S53"/>
    <mergeCell ref="Q57:S57"/>
    <mergeCell ref="U52:V52"/>
    <mergeCell ref="W52:X52"/>
    <mergeCell ref="Y52:Z52"/>
    <mergeCell ref="AA52:AB52"/>
    <mergeCell ref="AC52:AD52"/>
    <mergeCell ref="AE52:AF52"/>
    <mergeCell ref="U56:V56"/>
    <mergeCell ref="W56:AA56"/>
    <mergeCell ref="AB56:AF56"/>
    <mergeCell ref="U51:V51"/>
    <mergeCell ref="W51:X51"/>
    <mergeCell ref="Y51:Z51"/>
    <mergeCell ref="AA51:AB51"/>
    <mergeCell ref="AC51:AD51"/>
    <mergeCell ref="AE51:AF51"/>
    <mergeCell ref="H50:I50"/>
    <mergeCell ref="Q50:S50"/>
    <mergeCell ref="AA49:AB49"/>
    <mergeCell ref="AC49:AD49"/>
    <mergeCell ref="U49:V49"/>
    <mergeCell ref="W49:X49"/>
    <mergeCell ref="Y49:Z49"/>
    <mergeCell ref="U50:V50"/>
    <mergeCell ref="W50:X50"/>
    <mergeCell ref="Y50:Z50"/>
    <mergeCell ref="AA50:AB50"/>
    <mergeCell ref="AC50:AD50"/>
    <mergeCell ref="H51:I51"/>
    <mergeCell ref="Q51:S51"/>
    <mergeCell ref="AE50:AF50"/>
    <mergeCell ref="Q49:S49"/>
    <mergeCell ref="AA38:AB38"/>
    <mergeCell ref="AC38:AD38"/>
    <mergeCell ref="Q42:S42"/>
    <mergeCell ref="U39:V39"/>
    <mergeCell ref="AE44:AF44"/>
    <mergeCell ref="W42:X42"/>
    <mergeCell ref="Y42:Z42"/>
    <mergeCell ref="AA42:AB42"/>
    <mergeCell ref="AC42:AD42"/>
    <mergeCell ref="Q43:S43"/>
    <mergeCell ref="W44:X44"/>
    <mergeCell ref="Y44:Z44"/>
    <mergeCell ref="AE42:AF42"/>
    <mergeCell ref="Q44:S44"/>
    <mergeCell ref="W43:X43"/>
    <mergeCell ref="Y43:Z43"/>
    <mergeCell ref="AA43:AB43"/>
    <mergeCell ref="AE39:AF39"/>
    <mergeCell ref="W39:X39"/>
    <mergeCell ref="Y39:Z39"/>
    <mergeCell ref="AA39:AB39"/>
    <mergeCell ref="AC39:AD39"/>
    <mergeCell ref="AA40:AB40"/>
    <mergeCell ref="U48:AF48"/>
    <mergeCell ref="AE49:AF49"/>
    <mergeCell ref="H48:I48"/>
    <mergeCell ref="Q48:S48"/>
    <mergeCell ref="H43:I43"/>
    <mergeCell ref="H42:I42"/>
    <mergeCell ref="H40:I40"/>
    <mergeCell ref="AE46:AF46"/>
    <mergeCell ref="H45:I45"/>
    <mergeCell ref="Q45:S45"/>
    <mergeCell ref="AA45:AB45"/>
    <mergeCell ref="AC45:AD45"/>
    <mergeCell ref="AE45:AF45"/>
    <mergeCell ref="H44:I44"/>
    <mergeCell ref="U46:V46"/>
    <mergeCell ref="W46:X46"/>
    <mergeCell ref="Y46:Z46"/>
    <mergeCell ref="AA46:AB46"/>
    <mergeCell ref="AC46:AD46"/>
    <mergeCell ref="AE40:AF40"/>
    <mergeCell ref="H41:I41"/>
    <mergeCell ref="Q41:S41"/>
    <mergeCell ref="W40:X40"/>
    <mergeCell ref="Y40:Z40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AC33:AD33"/>
    <mergeCell ref="AE33:AF33"/>
    <mergeCell ref="AE34:AF34"/>
    <mergeCell ref="AC34:AD34"/>
    <mergeCell ref="AA34:AB34"/>
    <mergeCell ref="AA33:AB33"/>
    <mergeCell ref="AD1:AF1"/>
    <mergeCell ref="AD2:AF2"/>
    <mergeCell ref="AD3:AF3"/>
    <mergeCell ref="T5:T6"/>
    <mergeCell ref="U5:U6"/>
    <mergeCell ref="AD4:AF4"/>
    <mergeCell ref="J10:K10"/>
    <mergeCell ref="B5:E7"/>
    <mergeCell ref="F5:G7"/>
    <mergeCell ref="L5:S5"/>
    <mergeCell ref="L6:N6"/>
    <mergeCell ref="B1:Z3"/>
    <mergeCell ref="AA1:AB1"/>
    <mergeCell ref="AA2:AB2"/>
    <mergeCell ref="AA3:AB3"/>
    <mergeCell ref="AA4:AB4"/>
    <mergeCell ref="H5:H6"/>
    <mergeCell ref="I5:I6"/>
    <mergeCell ref="J5:K5"/>
    <mergeCell ref="C8:C11"/>
    <mergeCell ref="D8:E8"/>
    <mergeCell ref="F8:G8"/>
    <mergeCell ref="D11:E11"/>
    <mergeCell ref="D9:E9"/>
    <mergeCell ref="F9:G9"/>
    <mergeCell ref="J14:K14"/>
    <mergeCell ref="D27:E27"/>
    <mergeCell ref="D30:E30"/>
    <mergeCell ref="D26:E26"/>
    <mergeCell ref="Y32:Z32"/>
    <mergeCell ref="AA32:AB32"/>
    <mergeCell ref="AC32:AD32"/>
    <mergeCell ref="AE32:AF32"/>
    <mergeCell ref="F10:G10"/>
    <mergeCell ref="I21:Q21"/>
    <mergeCell ref="X21:Z21"/>
    <mergeCell ref="U31:AF31"/>
    <mergeCell ref="W32:X32"/>
    <mergeCell ref="D16:E16"/>
    <mergeCell ref="F16:G16"/>
    <mergeCell ref="J12:K12"/>
    <mergeCell ref="X27:Z28"/>
    <mergeCell ref="Z29:Z30"/>
    <mergeCell ref="Y29:Y30"/>
    <mergeCell ref="X29:X30"/>
    <mergeCell ref="F32:G32"/>
    <mergeCell ref="H32:I32"/>
    <mergeCell ref="F15:G15"/>
    <mergeCell ref="Y37:Z37"/>
    <mergeCell ref="AE38:AF38"/>
    <mergeCell ref="U45:V45"/>
    <mergeCell ref="W45:X45"/>
    <mergeCell ref="Y45:Z45"/>
    <mergeCell ref="H46:I46"/>
    <mergeCell ref="Q46:S46"/>
    <mergeCell ref="H49:I49"/>
    <mergeCell ref="Q101:S101"/>
    <mergeCell ref="AC40:AD40"/>
    <mergeCell ref="AA44:AB44"/>
    <mergeCell ref="AC44:AD44"/>
    <mergeCell ref="AC43:AD43"/>
    <mergeCell ref="AE43:AF43"/>
    <mergeCell ref="W41:X41"/>
    <mergeCell ref="Y41:Z41"/>
    <mergeCell ref="AA41:AB41"/>
    <mergeCell ref="AC41:AD41"/>
    <mergeCell ref="AE41:AF41"/>
    <mergeCell ref="AE37:AF37"/>
    <mergeCell ref="AC37:AD37"/>
    <mergeCell ref="AA37:AB37"/>
    <mergeCell ref="Q37:S37"/>
    <mergeCell ref="W37:X37"/>
    <mergeCell ref="Q102:S102"/>
    <mergeCell ref="Q32:S32"/>
    <mergeCell ref="H101:I101"/>
    <mergeCell ref="H102:I102"/>
    <mergeCell ref="H99:I99"/>
    <mergeCell ref="H100:I100"/>
    <mergeCell ref="W35:X35"/>
    <mergeCell ref="Y35:Z35"/>
    <mergeCell ref="W33:X33"/>
    <mergeCell ref="Y33:Z33"/>
    <mergeCell ref="Q98:S98"/>
    <mergeCell ref="Q99:S99"/>
    <mergeCell ref="Q100:S100"/>
    <mergeCell ref="W38:X38"/>
    <mergeCell ref="Y38:Z38"/>
    <mergeCell ref="W34:X34"/>
    <mergeCell ref="Y34:Z34"/>
    <mergeCell ref="H52:I52"/>
    <mergeCell ref="Q52:S52"/>
    <mergeCell ref="H57:I57"/>
    <mergeCell ref="H55:I55"/>
    <mergeCell ref="Q55:S55"/>
    <mergeCell ref="H47:I47"/>
    <mergeCell ref="Q58:S58"/>
    <mergeCell ref="D15:E15"/>
    <mergeCell ref="I28:Q28"/>
    <mergeCell ref="R22:R23"/>
    <mergeCell ref="R21:W21"/>
    <mergeCell ref="F38:G42"/>
    <mergeCell ref="H38:I38"/>
    <mergeCell ref="F48:G52"/>
    <mergeCell ref="Q38:S38"/>
    <mergeCell ref="H39:I39"/>
    <mergeCell ref="Q40:S40"/>
    <mergeCell ref="Q47:S47"/>
    <mergeCell ref="L19:N19"/>
    <mergeCell ref="D20:E20"/>
    <mergeCell ref="F20:G20"/>
    <mergeCell ref="D21:E23"/>
    <mergeCell ref="F21:H22"/>
    <mergeCell ref="I22:K22"/>
    <mergeCell ref="L22:N22"/>
    <mergeCell ref="R27:R28"/>
    <mergeCell ref="S27:W28"/>
    <mergeCell ref="R29:R30"/>
    <mergeCell ref="W29:W30"/>
    <mergeCell ref="V29:V30"/>
    <mergeCell ref="U29:U30"/>
    <mergeCell ref="J18:K18"/>
    <mergeCell ref="J16:K16"/>
    <mergeCell ref="C21:C30"/>
    <mergeCell ref="L27:N27"/>
    <mergeCell ref="O27:Q27"/>
    <mergeCell ref="L30:N30"/>
    <mergeCell ref="O30:Q30"/>
    <mergeCell ref="D28:E28"/>
    <mergeCell ref="T29:T30"/>
    <mergeCell ref="S29:S30"/>
    <mergeCell ref="I27:K27"/>
    <mergeCell ref="C16:C20"/>
    <mergeCell ref="F17:G17"/>
    <mergeCell ref="F26:H26"/>
    <mergeCell ref="D19:E19"/>
    <mergeCell ref="F19:G19"/>
    <mergeCell ref="D18:E18"/>
    <mergeCell ref="D17:E17"/>
    <mergeCell ref="B8:B102"/>
    <mergeCell ref="C32:E102"/>
    <mergeCell ref="F98:G102"/>
    <mergeCell ref="H98:I98"/>
    <mergeCell ref="F23:H23"/>
    <mergeCell ref="I30:K30"/>
    <mergeCell ref="C12:C15"/>
    <mergeCell ref="D12:E12"/>
    <mergeCell ref="F12:G12"/>
    <mergeCell ref="F11:G11"/>
    <mergeCell ref="D10:E10"/>
    <mergeCell ref="F63:G67"/>
    <mergeCell ref="H66:I66"/>
    <mergeCell ref="F68:G72"/>
    <mergeCell ref="H68:I68"/>
    <mergeCell ref="D13:E13"/>
    <mergeCell ref="F13:G13"/>
    <mergeCell ref="D14:E14"/>
    <mergeCell ref="F14:G14"/>
    <mergeCell ref="F43:G47"/>
    <mergeCell ref="F58:G62"/>
    <mergeCell ref="H58:I58"/>
    <mergeCell ref="J8:K8"/>
    <mergeCell ref="F18:G18"/>
    <mergeCell ref="F53:G57"/>
    <mergeCell ref="D24:E24"/>
    <mergeCell ref="F24:H24"/>
    <mergeCell ref="L20:N20"/>
    <mergeCell ref="F27:H27"/>
    <mergeCell ref="H36:I36"/>
    <mergeCell ref="Q36:S36"/>
    <mergeCell ref="H33:I33"/>
    <mergeCell ref="Q33:S33"/>
    <mergeCell ref="H37:I37"/>
    <mergeCell ref="O22:Q22"/>
    <mergeCell ref="D29:E29"/>
    <mergeCell ref="F30:H30"/>
    <mergeCell ref="C31:T31"/>
    <mergeCell ref="D25:E25"/>
    <mergeCell ref="F25:H25"/>
    <mergeCell ref="H34:I34"/>
    <mergeCell ref="Q34:S34"/>
    <mergeCell ref="F33:G37"/>
    <mergeCell ref="H35:I35"/>
    <mergeCell ref="Q35:S35"/>
    <mergeCell ref="Q39:S39"/>
  </mergeCells>
  <conditionalFormatting sqref="X25">
    <cfRule type="cellIs" dxfId="7" priority="1" operator="between">
      <formula>15000</formula>
      <formula>28000</formula>
    </cfRule>
    <cfRule type="cellIs" dxfId="6" priority="2" operator="lessThan">
      <formula>15000</formula>
    </cfRule>
  </conditionalFormatting>
  <conditionalFormatting sqref="X26">
    <cfRule type="cellIs" dxfId="5" priority="3" operator="between">
      <formula>35000</formula>
      <formula>75000</formula>
    </cfRule>
    <cfRule type="cellIs" dxfId="4" priority="4" operator="lessThan">
      <formula>30000</formula>
    </cfRule>
  </conditionalFormatting>
  <conditionalFormatting sqref="X24:Y24">
    <cfRule type="cellIs" dxfId="3" priority="11" operator="lessThan">
      <formula>2000</formula>
    </cfRule>
  </conditionalFormatting>
  <conditionalFormatting sqref="Y25">
    <cfRule type="cellIs" dxfId="2" priority="9" operator="lessThan">
      <formula>10000</formula>
    </cfRule>
  </conditionalFormatting>
  <conditionalFormatting sqref="Y26">
    <cfRule type="cellIs" dxfId="1" priority="13" operator="lessThan">
      <formula>35000</formula>
    </cfRule>
  </conditionalFormatting>
  <conditionalFormatting sqref="Z24:Z26">
    <cfRule type="cellIs" dxfId="0" priority="10" operator="lessThan">
      <formula>5000</formula>
    </cfRule>
  </conditionalFormatting>
  <printOptions horizontalCentered="1"/>
  <pageMargins left="0" right="0" top="0" bottom="0" header="0" footer="0"/>
  <pageSetup paperSize="9" scale="19" orientation="portrait" r:id="rId1"/>
  <headerFooter alignWithMargins="0"/>
  <ignoredErrors>
    <ignoredError sqref="U39:X39 U53:AF53 V50 AF50 U52:V52 AF52 U46:AF46 V40 AF40 V42 AF42 U44:V44 AF44 AF51 V51 AA40:AB40 AA42:AB42 AA44:AB44 AA50:AB50 AA51:AB51 AA52:AB52 Z39:AD39 AF39 U45:AB45 AF45 U48:AF49 U47:AA47 AD47:AF47 AD45 F26" formula="1"/>
    <ignoredError sqref="F29:H29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0525-23A5-4903-9711-7C3BDE12B5B2}">
  <sheetPr>
    <tabColor rgb="FF92D050"/>
    <pageSetUpPr fitToPage="1"/>
  </sheetPr>
  <dimension ref="A1:AU84"/>
  <sheetViews>
    <sheetView showGridLines="0" view="pageBreakPreview" zoomScale="70" zoomScaleSheetLayoutView="70" workbookViewId="0">
      <pane xSplit="1" ySplit="5" topLeftCell="B6" activePane="bottomRight" state="frozen"/>
      <selection sqref="A1:AG1"/>
      <selection pane="topRight" sqref="A1:AG1"/>
      <selection pane="bottomLeft" sqref="A1:AG1"/>
      <selection pane="bottomRight" sqref="A1:AG1"/>
    </sheetView>
  </sheetViews>
  <sheetFormatPr defaultColWidth="8.81640625" defaultRowHeight="12.5"/>
  <cols>
    <col min="1" max="1" width="10.1796875" style="8" customWidth="1"/>
    <col min="2" max="2" width="13.54296875" style="7" bestFit="1" customWidth="1"/>
    <col min="3" max="3" width="14.81640625" style="7" bestFit="1" customWidth="1"/>
    <col min="4" max="4" width="11.1796875" style="7" bestFit="1" customWidth="1"/>
    <col min="5" max="9" width="10.453125" style="7" customWidth="1"/>
    <col min="10" max="10" width="12" style="7" bestFit="1" customWidth="1"/>
    <col min="11" max="15" width="10.453125" style="7" customWidth="1"/>
    <col min="16" max="19" width="10.453125" style="7" hidden="1" customWidth="1"/>
    <col min="20" max="22" width="10.453125" style="7" customWidth="1"/>
    <col min="23" max="23" width="13" style="7" bestFit="1" customWidth="1"/>
    <col min="24" max="24" width="10.453125" style="7" customWidth="1"/>
    <col min="25" max="25" width="12.81640625" style="7" bestFit="1" customWidth="1"/>
    <col min="26" max="26" width="13.1796875" style="7" bestFit="1" customWidth="1"/>
    <col min="27" max="28" width="13" style="7" bestFit="1" customWidth="1"/>
    <col min="29" max="29" width="13.453125" style="7" bestFit="1" customWidth="1"/>
    <col min="30" max="30" width="11.26953125" style="7" customWidth="1"/>
    <col min="31" max="31" width="14.54296875" style="7" customWidth="1"/>
    <col min="32" max="33" width="0.81640625" style="7" customWidth="1"/>
    <col min="34" max="34" width="11.7265625" style="7" customWidth="1"/>
    <col min="35" max="36" width="8.81640625" style="7"/>
    <col min="37" max="45" width="11.81640625" style="7" customWidth="1"/>
    <col min="46" max="16384" width="8.81640625" style="7"/>
  </cols>
  <sheetData>
    <row r="1" spans="1:33" ht="35.15" customHeight="1">
      <c r="A1" s="761">
        <f>+A6</f>
        <v>44562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3"/>
    </row>
    <row r="2" spans="1:33" ht="25" customHeight="1" thickBot="1">
      <c r="A2" s="40"/>
      <c r="AG2" s="220" t="s">
        <v>127</v>
      </c>
    </row>
    <row r="3" spans="1:33" ht="17.149999999999999" customHeight="1">
      <c r="A3" s="764" t="s">
        <v>128</v>
      </c>
      <c r="B3" s="114" t="s">
        <v>129</v>
      </c>
      <c r="C3" s="114" t="s">
        <v>130</v>
      </c>
      <c r="D3" s="796" t="s">
        <v>131</v>
      </c>
      <c r="E3" s="797"/>
      <c r="F3" s="797"/>
      <c r="G3" s="797"/>
      <c r="H3" s="798"/>
      <c r="I3" s="799" t="s">
        <v>42</v>
      </c>
      <c r="J3" s="800"/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178</v>
      </c>
      <c r="Z3" s="769" t="s">
        <v>179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3" s="9" customFormat="1" ht="17.149999999999999" customHeight="1">
      <c r="A4" s="765"/>
      <c r="B4" s="115" t="s">
        <v>139</v>
      </c>
      <c r="C4" s="115" t="s">
        <v>69</v>
      </c>
      <c r="D4" s="115" t="s">
        <v>189</v>
      </c>
      <c r="E4" s="64"/>
      <c r="F4" s="62"/>
      <c r="G4" s="62"/>
      <c r="H4" s="116" t="s">
        <v>46</v>
      </c>
      <c r="I4" s="115" t="s">
        <v>177</v>
      </c>
      <c r="J4" s="777" t="s">
        <v>184</v>
      </c>
      <c r="K4" s="782"/>
      <c r="L4" s="782"/>
      <c r="M4" s="782"/>
      <c r="N4" s="782"/>
      <c r="O4" s="778"/>
      <c r="P4" s="285"/>
      <c r="Q4" s="286"/>
      <c r="R4" s="777"/>
      <c r="S4" s="778"/>
      <c r="T4" s="284"/>
      <c r="U4" s="254" t="s">
        <v>48</v>
      </c>
      <c r="V4" s="254" t="s">
        <v>140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3" ht="30" customHeight="1" thickBot="1">
      <c r="A5" s="766"/>
      <c r="B5" s="783" t="s">
        <v>51</v>
      </c>
      <c r="C5" s="784"/>
      <c r="D5" s="784"/>
      <c r="E5" s="784"/>
      <c r="F5" s="784"/>
      <c r="G5" s="784"/>
      <c r="H5" s="785"/>
      <c r="I5" s="298" t="s">
        <v>51</v>
      </c>
      <c r="J5" s="310" t="s">
        <v>120</v>
      </c>
      <c r="K5" s="311"/>
      <c r="L5" s="312"/>
      <c r="M5" s="312"/>
      <c r="N5" s="313"/>
      <c r="O5" s="313"/>
      <c r="P5" s="775"/>
      <c r="Q5" s="776"/>
      <c r="R5" s="775"/>
      <c r="S5" s="776"/>
      <c r="T5" s="779" t="s">
        <v>175</v>
      </c>
      <c r="U5" s="780"/>
      <c r="V5" s="780"/>
      <c r="W5" s="781"/>
      <c r="X5" s="299" t="s">
        <v>55</v>
      </c>
      <c r="Y5" s="793"/>
      <c r="Z5" s="771"/>
      <c r="AA5" s="774"/>
      <c r="AB5" s="757"/>
      <c r="AC5" s="757"/>
      <c r="AD5" s="757"/>
      <c r="AE5" s="760"/>
      <c r="AG5" s="219"/>
    </row>
    <row r="6" spans="1:33" ht="17.149999999999999" customHeight="1">
      <c r="A6" s="124">
        <v>44562</v>
      </c>
      <c r="B6" s="280">
        <v>0</v>
      </c>
      <c r="C6" s="281">
        <v>0</v>
      </c>
      <c r="D6" s="281">
        <v>0</v>
      </c>
      <c r="E6" s="280"/>
      <c r="F6" s="281"/>
      <c r="G6" s="221"/>
      <c r="H6" s="221">
        <v>0</v>
      </c>
      <c r="I6" s="281">
        <v>0</v>
      </c>
      <c r="J6" s="282">
        <v>0</v>
      </c>
      <c r="K6" s="106"/>
      <c r="L6" s="281"/>
      <c r="M6" s="282"/>
      <c r="N6" s="221"/>
      <c r="O6" s="221"/>
      <c r="P6" s="281"/>
      <c r="Q6" s="282"/>
      <c r="R6" s="281"/>
      <c r="S6" s="281"/>
      <c r="T6" s="281"/>
      <c r="U6" s="281">
        <v>0</v>
      </c>
      <c r="V6" s="281"/>
      <c r="W6" s="282">
        <v>0</v>
      </c>
      <c r="X6" s="106">
        <v>0</v>
      </c>
      <c r="Y6" s="28">
        <f t="shared" ref="Y6:Y36" si="0">SUM(B6:H6,X6)</f>
        <v>0</v>
      </c>
      <c r="Z6" s="28">
        <f>SUM(I6:W6)</f>
        <v>0</v>
      </c>
      <c r="AA6" s="222">
        <f t="shared" ref="AA6:AA36" si="1">SUM(B6:X6)</f>
        <v>0</v>
      </c>
      <c r="AB6" s="221">
        <v>0</v>
      </c>
      <c r="AC6" s="106">
        <v>0</v>
      </c>
      <c r="AD6" s="106">
        <v>0</v>
      </c>
      <c r="AE6" s="222">
        <f>SUM(AB6:AD6)</f>
        <v>0</v>
      </c>
      <c r="AG6" s="219"/>
    </row>
    <row r="7" spans="1:33" ht="17.149999999999999" customHeight="1">
      <c r="A7" s="60">
        <f t="shared" ref="A7:A36" si="2">+A6+1</f>
        <v>44563</v>
      </c>
      <c r="B7" s="10">
        <v>0</v>
      </c>
      <c r="C7" s="13">
        <v>0</v>
      </c>
      <c r="D7" s="13">
        <v>0</v>
      </c>
      <c r="E7" s="10"/>
      <c r="F7" s="13"/>
      <c r="G7" s="12"/>
      <c r="H7" s="12">
        <v>0</v>
      </c>
      <c r="I7" s="13">
        <v>0</v>
      </c>
      <c r="J7" s="11">
        <v>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>
        <v>0</v>
      </c>
      <c r="V7" s="13"/>
      <c r="W7" s="13">
        <v>0</v>
      </c>
      <c r="X7" s="25">
        <v>0</v>
      </c>
      <c r="Y7" s="28">
        <f t="shared" si="0"/>
        <v>0</v>
      </c>
      <c r="Z7" s="22">
        <f t="shared" ref="Z7:Z36" si="3">SUM(I7:W7)</f>
        <v>0</v>
      </c>
      <c r="AA7" s="21">
        <f t="shared" si="1"/>
        <v>0</v>
      </c>
      <c r="AB7" s="12">
        <v>0</v>
      </c>
      <c r="AC7" s="25">
        <v>0</v>
      </c>
      <c r="AD7" s="25">
        <v>0</v>
      </c>
      <c r="AE7" s="21">
        <f t="shared" ref="AE7:AE36" si="4">SUM(AB7:AD7)</f>
        <v>0</v>
      </c>
      <c r="AG7" s="219"/>
    </row>
    <row r="8" spans="1:33" ht="17.149999999999999" customHeight="1">
      <c r="A8" s="60">
        <f t="shared" si="2"/>
        <v>44564</v>
      </c>
      <c r="B8" s="10">
        <v>0</v>
      </c>
      <c r="C8" s="13">
        <v>0</v>
      </c>
      <c r="D8" s="13">
        <v>0</v>
      </c>
      <c r="E8" s="10"/>
      <c r="F8" s="13"/>
      <c r="G8" s="12"/>
      <c r="H8" s="12">
        <v>0</v>
      </c>
      <c r="I8" s="13">
        <v>0</v>
      </c>
      <c r="J8" s="11">
        <v>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>
        <v>0</v>
      </c>
      <c r="V8" s="13"/>
      <c r="W8" s="13">
        <v>0</v>
      </c>
      <c r="X8" s="26">
        <v>0</v>
      </c>
      <c r="Y8" s="28">
        <f t="shared" si="0"/>
        <v>0</v>
      </c>
      <c r="Z8" s="22">
        <f t="shared" si="3"/>
        <v>0</v>
      </c>
      <c r="AA8" s="21">
        <f t="shared" si="1"/>
        <v>0</v>
      </c>
      <c r="AB8" s="12">
        <v>0</v>
      </c>
      <c r="AC8" s="26">
        <v>0</v>
      </c>
      <c r="AD8" s="26">
        <v>0</v>
      </c>
      <c r="AE8" s="21">
        <f t="shared" si="4"/>
        <v>0</v>
      </c>
      <c r="AG8" s="219"/>
    </row>
    <row r="9" spans="1:33" ht="17.149999999999999" customHeight="1">
      <c r="A9" s="60">
        <f t="shared" si="2"/>
        <v>44565</v>
      </c>
      <c r="B9" s="10">
        <v>581</v>
      </c>
      <c r="C9" s="13">
        <v>696</v>
      </c>
      <c r="D9" s="13">
        <v>10397</v>
      </c>
      <c r="E9" s="10"/>
      <c r="F9" s="13"/>
      <c r="G9" s="12"/>
      <c r="H9" s="12">
        <v>0</v>
      </c>
      <c r="I9" s="13">
        <v>0</v>
      </c>
      <c r="J9" s="11">
        <v>18484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>
        <v>2063</v>
      </c>
      <c r="V9" s="13"/>
      <c r="W9" s="13">
        <v>18493</v>
      </c>
      <c r="X9" s="26">
        <v>2041</v>
      </c>
      <c r="Y9" s="28">
        <f t="shared" si="0"/>
        <v>13715</v>
      </c>
      <c r="Z9" s="22">
        <f t="shared" si="3"/>
        <v>39040</v>
      </c>
      <c r="AA9" s="21">
        <f t="shared" si="1"/>
        <v>52755</v>
      </c>
      <c r="AB9" s="12">
        <v>25477</v>
      </c>
      <c r="AC9" s="26">
        <v>26286</v>
      </c>
      <c r="AD9" s="26">
        <v>14475</v>
      </c>
      <c r="AE9" s="21">
        <f t="shared" si="4"/>
        <v>66238</v>
      </c>
      <c r="AG9" s="219"/>
    </row>
    <row r="10" spans="1:33" ht="17.149999999999999" customHeight="1">
      <c r="A10" s="60">
        <f t="shared" si="2"/>
        <v>44566</v>
      </c>
      <c r="B10" s="10">
        <v>1930</v>
      </c>
      <c r="C10" s="13">
        <v>8833</v>
      </c>
      <c r="D10" s="13">
        <v>12265</v>
      </c>
      <c r="E10" s="10"/>
      <c r="F10" s="13"/>
      <c r="G10" s="12"/>
      <c r="H10" s="12">
        <v>2279</v>
      </c>
      <c r="I10" s="13">
        <v>0</v>
      </c>
      <c r="J10" s="11">
        <v>30514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>
        <v>4499</v>
      </c>
      <c r="V10" s="13"/>
      <c r="W10" s="13">
        <v>44422</v>
      </c>
      <c r="X10" s="26">
        <v>2147</v>
      </c>
      <c r="Y10" s="28">
        <f t="shared" si="0"/>
        <v>27454</v>
      </c>
      <c r="Z10" s="22">
        <f t="shared" si="3"/>
        <v>79435</v>
      </c>
      <c r="AA10" s="21">
        <f t="shared" si="1"/>
        <v>106889</v>
      </c>
      <c r="AB10" s="12">
        <v>36423</v>
      </c>
      <c r="AC10" s="26">
        <v>36968</v>
      </c>
      <c r="AD10" s="26">
        <v>19564</v>
      </c>
      <c r="AE10" s="21">
        <f t="shared" si="4"/>
        <v>92955</v>
      </c>
      <c r="AG10" s="219"/>
    </row>
    <row r="11" spans="1:33" ht="17.149999999999999" customHeight="1">
      <c r="A11" s="60">
        <f t="shared" si="2"/>
        <v>44567</v>
      </c>
      <c r="B11" s="10">
        <v>1824</v>
      </c>
      <c r="C11" s="13">
        <v>8012</v>
      </c>
      <c r="D11" s="13">
        <v>8866</v>
      </c>
      <c r="E11" s="10"/>
      <c r="F11" s="13"/>
      <c r="G11" s="12"/>
      <c r="H11" s="12">
        <v>2837</v>
      </c>
      <c r="I11" s="13">
        <v>0</v>
      </c>
      <c r="J11" s="11">
        <v>23594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v>3038</v>
      </c>
      <c r="V11" s="13"/>
      <c r="W11" s="13">
        <v>34473</v>
      </c>
      <c r="X11" s="26">
        <v>2621</v>
      </c>
      <c r="Y11" s="28">
        <f t="shared" si="0"/>
        <v>24160</v>
      </c>
      <c r="Z11" s="22">
        <f t="shared" si="3"/>
        <v>61105</v>
      </c>
      <c r="AA11" s="21">
        <f t="shared" si="1"/>
        <v>85265</v>
      </c>
      <c r="AB11" s="12">
        <v>30281</v>
      </c>
      <c r="AC11" s="26">
        <v>32287</v>
      </c>
      <c r="AD11" s="26">
        <v>17305</v>
      </c>
      <c r="AE11" s="21">
        <f t="shared" si="4"/>
        <v>79873</v>
      </c>
      <c r="AG11" s="219"/>
    </row>
    <row r="12" spans="1:33" ht="17.149999999999999" customHeight="1">
      <c r="A12" s="60">
        <f t="shared" si="2"/>
        <v>44568</v>
      </c>
      <c r="B12" s="10">
        <v>2537</v>
      </c>
      <c r="C12" s="13">
        <v>10307</v>
      </c>
      <c r="D12" s="13">
        <v>6979</v>
      </c>
      <c r="E12" s="10"/>
      <c r="F12" s="13"/>
      <c r="G12" s="12"/>
      <c r="H12" s="12">
        <v>2359</v>
      </c>
      <c r="I12" s="13">
        <v>0</v>
      </c>
      <c r="J12" s="11">
        <v>28969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>
        <v>3339</v>
      </c>
      <c r="V12" s="13"/>
      <c r="W12" s="13">
        <v>36848</v>
      </c>
      <c r="X12" s="26">
        <v>2565</v>
      </c>
      <c r="Y12" s="28">
        <f t="shared" si="0"/>
        <v>24747</v>
      </c>
      <c r="Z12" s="22">
        <f t="shared" si="3"/>
        <v>69156</v>
      </c>
      <c r="AA12" s="21">
        <f t="shared" si="1"/>
        <v>93903</v>
      </c>
      <c r="AB12" s="12">
        <v>40861</v>
      </c>
      <c r="AC12" s="26">
        <v>38527</v>
      </c>
      <c r="AD12" s="26">
        <v>22949</v>
      </c>
      <c r="AE12" s="21">
        <f t="shared" si="4"/>
        <v>102337</v>
      </c>
      <c r="AG12" s="219"/>
    </row>
    <row r="13" spans="1:33" ht="17.149999999999999" customHeight="1">
      <c r="A13" s="60">
        <f t="shared" si="2"/>
        <v>44569</v>
      </c>
      <c r="B13" s="10">
        <v>2429</v>
      </c>
      <c r="C13" s="13">
        <v>7125</v>
      </c>
      <c r="D13" s="13">
        <v>5486</v>
      </c>
      <c r="E13" s="10"/>
      <c r="F13" s="13"/>
      <c r="G13" s="12"/>
      <c r="H13" s="12">
        <v>2678</v>
      </c>
      <c r="I13" s="13">
        <v>1732</v>
      </c>
      <c r="J13" s="11">
        <v>28577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v>3785</v>
      </c>
      <c r="V13" s="13"/>
      <c r="W13" s="13">
        <v>49475</v>
      </c>
      <c r="X13" s="26">
        <v>2583</v>
      </c>
      <c r="Y13" s="28">
        <f t="shared" si="0"/>
        <v>20301</v>
      </c>
      <c r="Z13" s="22">
        <f t="shared" si="3"/>
        <v>83569</v>
      </c>
      <c r="AA13" s="21">
        <f t="shared" si="1"/>
        <v>103870</v>
      </c>
      <c r="AB13" s="12">
        <v>23069</v>
      </c>
      <c r="AC13" s="25">
        <v>20764</v>
      </c>
      <c r="AD13" s="25">
        <v>13205</v>
      </c>
      <c r="AE13" s="21">
        <f t="shared" si="4"/>
        <v>57038</v>
      </c>
      <c r="AG13" s="219"/>
    </row>
    <row r="14" spans="1:33" ht="17.149999999999999" customHeight="1">
      <c r="A14" s="60">
        <f t="shared" si="2"/>
        <v>44570</v>
      </c>
      <c r="B14" s="10">
        <v>1426</v>
      </c>
      <c r="C14" s="13">
        <v>4068</v>
      </c>
      <c r="D14" s="13">
        <v>3600</v>
      </c>
      <c r="E14" s="10"/>
      <c r="F14" s="13"/>
      <c r="G14" s="12"/>
      <c r="H14" s="12">
        <v>557</v>
      </c>
      <c r="I14" s="13">
        <v>133</v>
      </c>
      <c r="J14" s="11">
        <v>18609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>
        <v>2221</v>
      </c>
      <c r="V14" s="13"/>
      <c r="W14" s="13">
        <v>33868</v>
      </c>
      <c r="X14" s="26">
        <v>2166</v>
      </c>
      <c r="Y14" s="28">
        <f t="shared" si="0"/>
        <v>11817</v>
      </c>
      <c r="Z14" s="22">
        <f t="shared" si="3"/>
        <v>54831</v>
      </c>
      <c r="AA14" s="21">
        <f t="shared" si="1"/>
        <v>66648</v>
      </c>
      <c r="AB14" s="12">
        <v>37511</v>
      </c>
      <c r="AC14" s="26">
        <v>36725</v>
      </c>
      <c r="AD14" s="26">
        <v>18420</v>
      </c>
      <c r="AE14" s="21">
        <f t="shared" si="4"/>
        <v>92656</v>
      </c>
      <c r="AG14" s="219"/>
    </row>
    <row r="15" spans="1:33" ht="17.149999999999999" customHeight="1">
      <c r="A15" s="60">
        <f t="shared" si="2"/>
        <v>44571</v>
      </c>
      <c r="B15" s="10">
        <v>1690</v>
      </c>
      <c r="C15" s="13">
        <v>9256</v>
      </c>
      <c r="D15" s="13">
        <v>5614</v>
      </c>
      <c r="E15" s="10"/>
      <c r="F15" s="13"/>
      <c r="G15" s="12"/>
      <c r="H15" s="12">
        <v>2440</v>
      </c>
      <c r="I15" s="13">
        <v>2289</v>
      </c>
      <c r="J15" s="11">
        <v>31051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>
        <v>3870</v>
      </c>
      <c r="V15" s="13"/>
      <c r="W15" s="13">
        <v>50777</v>
      </c>
      <c r="X15" s="26">
        <v>2268</v>
      </c>
      <c r="Y15" s="28">
        <f t="shared" si="0"/>
        <v>21268</v>
      </c>
      <c r="Z15" s="22">
        <f t="shared" si="3"/>
        <v>87987</v>
      </c>
      <c r="AA15" s="21">
        <f t="shared" si="1"/>
        <v>109255</v>
      </c>
      <c r="AB15" s="12">
        <v>40501</v>
      </c>
      <c r="AC15" s="26">
        <v>38888</v>
      </c>
      <c r="AD15" s="26">
        <v>19300</v>
      </c>
      <c r="AE15" s="21">
        <f t="shared" si="4"/>
        <v>98689</v>
      </c>
      <c r="AG15" s="219"/>
    </row>
    <row r="16" spans="1:33" ht="17.149999999999999" customHeight="1">
      <c r="A16" s="60">
        <f t="shared" si="2"/>
        <v>44572</v>
      </c>
      <c r="B16" s="10">
        <v>2829</v>
      </c>
      <c r="C16" s="13">
        <v>10322</v>
      </c>
      <c r="D16" s="13">
        <v>9153</v>
      </c>
      <c r="E16" s="10"/>
      <c r="F16" s="13"/>
      <c r="G16" s="12"/>
      <c r="H16" s="12">
        <v>1220</v>
      </c>
      <c r="I16" s="13">
        <v>849</v>
      </c>
      <c r="J16" s="11">
        <v>28991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>
        <v>3932</v>
      </c>
      <c r="V16" s="13"/>
      <c r="W16" s="13">
        <v>50670</v>
      </c>
      <c r="X16" s="26">
        <v>2507</v>
      </c>
      <c r="Y16" s="28">
        <f t="shared" si="0"/>
        <v>26031</v>
      </c>
      <c r="Z16" s="22">
        <f t="shared" si="3"/>
        <v>84442</v>
      </c>
      <c r="AA16" s="21">
        <f t="shared" si="1"/>
        <v>110473</v>
      </c>
      <c r="AB16" s="12">
        <v>43028</v>
      </c>
      <c r="AC16" s="26">
        <v>41048</v>
      </c>
      <c r="AD16" s="26">
        <v>21415</v>
      </c>
      <c r="AE16" s="21">
        <f t="shared" si="4"/>
        <v>105491</v>
      </c>
      <c r="AG16" s="219"/>
    </row>
    <row r="17" spans="1:33" ht="17.149999999999999" customHeight="1">
      <c r="A17" s="60">
        <f t="shared" si="2"/>
        <v>44573</v>
      </c>
      <c r="B17" s="10">
        <v>2168</v>
      </c>
      <c r="C17" s="13">
        <v>7255</v>
      </c>
      <c r="D17" s="13">
        <v>10051</v>
      </c>
      <c r="E17" s="10"/>
      <c r="F17" s="13"/>
      <c r="G17" s="12"/>
      <c r="H17" s="12">
        <v>397</v>
      </c>
      <c r="I17" s="13">
        <v>1753</v>
      </c>
      <c r="J17" s="11">
        <v>24637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>
        <v>4096</v>
      </c>
      <c r="V17" s="13"/>
      <c r="W17" s="13">
        <v>41192</v>
      </c>
      <c r="X17" s="26">
        <v>2342</v>
      </c>
      <c r="Y17" s="28">
        <f t="shared" si="0"/>
        <v>22213</v>
      </c>
      <c r="Z17" s="22">
        <f t="shared" si="3"/>
        <v>71678</v>
      </c>
      <c r="AA17" s="21">
        <f t="shared" si="1"/>
        <v>93891</v>
      </c>
      <c r="AB17" s="12">
        <v>43266</v>
      </c>
      <c r="AC17" s="26">
        <v>43928</v>
      </c>
      <c r="AD17" s="26">
        <v>21731</v>
      </c>
      <c r="AE17" s="21">
        <f t="shared" si="4"/>
        <v>108925</v>
      </c>
      <c r="AG17" s="219"/>
    </row>
    <row r="18" spans="1:33" ht="17.149999999999999" customHeight="1">
      <c r="A18" s="60">
        <f t="shared" si="2"/>
        <v>44574</v>
      </c>
      <c r="B18" s="10">
        <v>2169</v>
      </c>
      <c r="C18" s="13">
        <v>8759</v>
      </c>
      <c r="D18" s="13">
        <v>11990</v>
      </c>
      <c r="E18" s="10"/>
      <c r="F18" s="13"/>
      <c r="G18" s="12"/>
      <c r="H18" s="12">
        <v>902</v>
      </c>
      <c r="I18" s="13">
        <v>27</v>
      </c>
      <c r="J18" s="11">
        <v>28061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>
        <v>3872</v>
      </c>
      <c r="V18" s="13"/>
      <c r="W18" s="13">
        <v>42331</v>
      </c>
      <c r="X18" s="25">
        <v>2130</v>
      </c>
      <c r="Y18" s="28">
        <f t="shared" si="0"/>
        <v>25950</v>
      </c>
      <c r="Z18" s="22">
        <f t="shared" si="3"/>
        <v>74291</v>
      </c>
      <c r="AA18" s="21">
        <f t="shared" si="1"/>
        <v>100241</v>
      </c>
      <c r="AB18" s="12">
        <v>42194</v>
      </c>
      <c r="AC18" s="25">
        <v>40203</v>
      </c>
      <c r="AD18" s="25">
        <v>22464</v>
      </c>
      <c r="AE18" s="21">
        <f t="shared" si="4"/>
        <v>104861</v>
      </c>
      <c r="AG18" s="219"/>
    </row>
    <row r="19" spans="1:33" ht="17.149999999999999" customHeight="1">
      <c r="A19" s="60">
        <f t="shared" si="2"/>
        <v>44575</v>
      </c>
      <c r="B19" s="10">
        <v>3542</v>
      </c>
      <c r="C19" s="13">
        <v>10670</v>
      </c>
      <c r="D19" s="13">
        <v>12283</v>
      </c>
      <c r="E19" s="10"/>
      <c r="F19" s="13"/>
      <c r="G19" s="12"/>
      <c r="H19" s="12">
        <v>900</v>
      </c>
      <c r="I19" s="13">
        <v>0</v>
      </c>
      <c r="J19" s="11">
        <v>28203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>
        <v>4007</v>
      </c>
      <c r="V19" s="13"/>
      <c r="W19" s="13">
        <v>49582</v>
      </c>
      <c r="X19" s="27">
        <v>2673</v>
      </c>
      <c r="Y19" s="28">
        <f t="shared" si="0"/>
        <v>30068</v>
      </c>
      <c r="Z19" s="22">
        <f t="shared" si="3"/>
        <v>81792</v>
      </c>
      <c r="AA19" s="21">
        <f t="shared" si="1"/>
        <v>111860</v>
      </c>
      <c r="AB19" s="12">
        <v>41588</v>
      </c>
      <c r="AC19" s="27">
        <v>42127</v>
      </c>
      <c r="AD19" s="27">
        <v>22368</v>
      </c>
      <c r="AE19" s="21">
        <f t="shared" si="4"/>
        <v>106083</v>
      </c>
      <c r="AG19" s="219"/>
    </row>
    <row r="20" spans="1:33" ht="17.149999999999999" customHeight="1">
      <c r="A20" s="60">
        <f t="shared" si="2"/>
        <v>44576</v>
      </c>
      <c r="B20" s="10">
        <v>2174</v>
      </c>
      <c r="C20" s="13">
        <v>5488</v>
      </c>
      <c r="D20" s="13">
        <v>9619</v>
      </c>
      <c r="E20" s="13"/>
      <c r="F20" s="13"/>
      <c r="G20" s="12"/>
      <c r="H20" s="12">
        <v>455</v>
      </c>
      <c r="I20" s="13">
        <v>0</v>
      </c>
      <c r="J20" s="11">
        <v>12437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>
        <v>643</v>
      </c>
      <c r="V20" s="13"/>
      <c r="W20" s="13">
        <v>16871</v>
      </c>
      <c r="X20" s="27">
        <v>1416</v>
      </c>
      <c r="Y20" s="28">
        <f t="shared" si="0"/>
        <v>19152</v>
      </c>
      <c r="Z20" s="22">
        <f t="shared" si="3"/>
        <v>29951</v>
      </c>
      <c r="AA20" s="21">
        <f t="shared" si="1"/>
        <v>49103</v>
      </c>
      <c r="AB20" s="12">
        <v>24880</v>
      </c>
      <c r="AC20" s="27">
        <v>25803</v>
      </c>
      <c r="AD20" s="27">
        <v>14246</v>
      </c>
      <c r="AE20" s="21">
        <f t="shared" si="4"/>
        <v>64929</v>
      </c>
      <c r="AG20" s="219"/>
    </row>
    <row r="21" spans="1:33" ht="17.149999999999999" customHeight="1">
      <c r="A21" s="60">
        <f t="shared" si="2"/>
        <v>44577</v>
      </c>
      <c r="B21" s="10">
        <v>1777</v>
      </c>
      <c r="C21" s="13">
        <v>8177</v>
      </c>
      <c r="D21" s="13">
        <v>14527</v>
      </c>
      <c r="E21" s="10"/>
      <c r="F21" s="13"/>
      <c r="G21" s="12"/>
      <c r="H21" s="12">
        <v>0</v>
      </c>
      <c r="I21" s="13">
        <v>344</v>
      </c>
      <c r="J21" s="11">
        <v>15160</v>
      </c>
      <c r="K21" s="13"/>
      <c r="L21" s="13"/>
      <c r="M21" s="266"/>
      <c r="N21" s="266"/>
      <c r="O21" s="13"/>
      <c r="P21" s="13"/>
      <c r="Q21" s="266"/>
      <c r="R21" s="13"/>
      <c r="S21" s="13"/>
      <c r="T21" s="13"/>
      <c r="U21" s="13">
        <v>2033</v>
      </c>
      <c r="V21" s="13"/>
      <c r="W21" s="266">
        <v>29290</v>
      </c>
      <c r="X21" s="267">
        <v>2535</v>
      </c>
      <c r="Y21" s="28">
        <f t="shared" si="0"/>
        <v>27016</v>
      </c>
      <c r="Z21" s="22">
        <f t="shared" si="3"/>
        <v>46827</v>
      </c>
      <c r="AA21" s="21">
        <f t="shared" si="1"/>
        <v>73843</v>
      </c>
      <c r="AB21" s="12">
        <v>41454</v>
      </c>
      <c r="AC21" s="25">
        <v>42247</v>
      </c>
      <c r="AD21" s="25">
        <v>23192</v>
      </c>
      <c r="AE21" s="21">
        <f t="shared" si="4"/>
        <v>106893</v>
      </c>
      <c r="AG21" s="219"/>
    </row>
    <row r="22" spans="1:33" ht="17.149999999999999" customHeight="1">
      <c r="A22" s="60">
        <f t="shared" si="2"/>
        <v>44578</v>
      </c>
      <c r="B22" s="10">
        <v>428</v>
      </c>
      <c r="C22" s="13">
        <v>7126</v>
      </c>
      <c r="D22" s="13">
        <v>7012</v>
      </c>
      <c r="E22" s="10"/>
      <c r="F22" s="13"/>
      <c r="G22" s="12"/>
      <c r="H22" s="12">
        <v>112</v>
      </c>
      <c r="I22" s="13">
        <v>0</v>
      </c>
      <c r="J22" s="11">
        <v>13235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>
        <v>1612</v>
      </c>
      <c r="V22" s="13"/>
      <c r="W22" s="13">
        <v>18583</v>
      </c>
      <c r="X22" s="26">
        <v>2356</v>
      </c>
      <c r="Y22" s="28">
        <f t="shared" si="0"/>
        <v>17034</v>
      </c>
      <c r="Z22" s="22">
        <f t="shared" si="3"/>
        <v>33430</v>
      </c>
      <c r="AA22" s="21">
        <f t="shared" si="1"/>
        <v>50464</v>
      </c>
      <c r="AB22" s="12">
        <v>41991</v>
      </c>
      <c r="AC22" s="26">
        <v>39067</v>
      </c>
      <c r="AD22" s="26">
        <v>20645</v>
      </c>
      <c r="AE22" s="21">
        <f t="shared" si="4"/>
        <v>101703</v>
      </c>
      <c r="AG22" s="219"/>
    </row>
    <row r="23" spans="1:33" ht="17.149999999999999" customHeight="1">
      <c r="A23" s="60">
        <f t="shared" si="2"/>
        <v>44579</v>
      </c>
      <c r="B23" s="10">
        <v>2225</v>
      </c>
      <c r="C23" s="13">
        <v>10809</v>
      </c>
      <c r="D23" s="13">
        <v>12913</v>
      </c>
      <c r="E23" s="10"/>
      <c r="F23" s="13"/>
      <c r="G23" s="12"/>
      <c r="H23" s="12">
        <v>0</v>
      </c>
      <c r="I23" s="13">
        <v>0</v>
      </c>
      <c r="J23" s="11">
        <v>25830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>
        <v>2824</v>
      </c>
      <c r="V23" s="13"/>
      <c r="W23" s="13">
        <v>32343</v>
      </c>
      <c r="X23" s="26">
        <v>3230</v>
      </c>
      <c r="Y23" s="28">
        <f t="shared" si="0"/>
        <v>29177</v>
      </c>
      <c r="Z23" s="22">
        <f t="shared" si="3"/>
        <v>60997</v>
      </c>
      <c r="AA23" s="21">
        <f t="shared" si="1"/>
        <v>90174</v>
      </c>
      <c r="AB23" s="12">
        <v>38513</v>
      </c>
      <c r="AC23" s="26">
        <v>37507</v>
      </c>
      <c r="AD23" s="26">
        <v>19207</v>
      </c>
      <c r="AE23" s="21">
        <f t="shared" si="4"/>
        <v>95227</v>
      </c>
      <c r="AG23" s="219"/>
    </row>
    <row r="24" spans="1:33" ht="17.149999999999999" customHeight="1">
      <c r="A24" s="60">
        <f t="shared" si="2"/>
        <v>44580</v>
      </c>
      <c r="B24" s="10">
        <v>2015</v>
      </c>
      <c r="C24" s="13">
        <v>8488</v>
      </c>
      <c r="D24" s="13">
        <v>14051</v>
      </c>
      <c r="E24" s="10"/>
      <c r="F24" s="13"/>
      <c r="G24" s="12"/>
      <c r="H24" s="12">
        <v>2287</v>
      </c>
      <c r="I24" s="13">
        <v>0</v>
      </c>
      <c r="J24" s="11">
        <v>24991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>
        <v>4350</v>
      </c>
      <c r="V24" s="13"/>
      <c r="W24" s="13">
        <v>48315</v>
      </c>
      <c r="X24" s="26">
        <v>3334</v>
      </c>
      <c r="Y24" s="28">
        <f t="shared" si="0"/>
        <v>30175</v>
      </c>
      <c r="Z24" s="22">
        <f>SUM(X24:Y24)</f>
        <v>33509</v>
      </c>
      <c r="AA24" s="21">
        <f t="shared" si="1"/>
        <v>107831</v>
      </c>
      <c r="AB24" s="12">
        <v>42595</v>
      </c>
      <c r="AC24" s="26">
        <v>41107</v>
      </c>
      <c r="AD24" s="26">
        <v>22911</v>
      </c>
      <c r="AE24" s="21">
        <f t="shared" si="4"/>
        <v>106613</v>
      </c>
      <c r="AG24" s="219"/>
    </row>
    <row r="25" spans="1:33" ht="17.149999999999999" customHeight="1">
      <c r="A25" s="60">
        <f t="shared" si="2"/>
        <v>44581</v>
      </c>
      <c r="B25" s="10">
        <v>2196</v>
      </c>
      <c r="C25" s="13">
        <v>8767</v>
      </c>
      <c r="D25" s="13">
        <v>6893</v>
      </c>
      <c r="E25" s="10"/>
      <c r="F25" s="13"/>
      <c r="G25" s="12"/>
      <c r="H25" s="12">
        <v>3239</v>
      </c>
      <c r="I25" s="13">
        <v>0</v>
      </c>
      <c r="J25" s="11">
        <v>28247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>
        <v>4205</v>
      </c>
      <c r="V25" s="13"/>
      <c r="W25" s="13">
        <v>41005</v>
      </c>
      <c r="X25" s="26">
        <v>3214</v>
      </c>
      <c r="Y25" s="28">
        <f t="shared" si="0"/>
        <v>24309</v>
      </c>
      <c r="Z25" s="22">
        <f>SUM(X25:Y25)</f>
        <v>27523</v>
      </c>
      <c r="AA25" s="21">
        <f t="shared" si="1"/>
        <v>97766</v>
      </c>
      <c r="AB25" s="12">
        <v>43140</v>
      </c>
      <c r="AC25" s="26">
        <v>42728</v>
      </c>
      <c r="AD25" s="26">
        <v>21454</v>
      </c>
      <c r="AE25" s="21">
        <f t="shared" si="4"/>
        <v>107322</v>
      </c>
      <c r="AG25" s="219"/>
    </row>
    <row r="26" spans="1:33" ht="17.149999999999999" customHeight="1">
      <c r="A26" s="60">
        <f t="shared" si="2"/>
        <v>44582</v>
      </c>
      <c r="B26" s="10">
        <v>2194</v>
      </c>
      <c r="C26" s="13">
        <v>8180</v>
      </c>
      <c r="D26" s="58">
        <v>3478</v>
      </c>
      <c r="E26" s="13"/>
      <c r="F26" s="13"/>
      <c r="G26" s="12"/>
      <c r="H26" s="12">
        <v>2467</v>
      </c>
      <c r="I26" s="13">
        <v>0</v>
      </c>
      <c r="J26" s="11">
        <v>30296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>
        <v>3652</v>
      </c>
      <c r="V26" s="13"/>
      <c r="W26" s="13">
        <v>29331</v>
      </c>
      <c r="X26" s="13">
        <v>3703</v>
      </c>
      <c r="Y26" s="28">
        <f t="shared" si="0"/>
        <v>20022</v>
      </c>
      <c r="Z26" s="22">
        <f>SUM(X26:Y26)</f>
        <v>23725</v>
      </c>
      <c r="AA26" s="21">
        <f t="shared" si="1"/>
        <v>83301</v>
      </c>
      <c r="AB26" s="12">
        <v>40734</v>
      </c>
      <c r="AC26" s="26">
        <v>39728</v>
      </c>
      <c r="AD26" s="26">
        <v>23575</v>
      </c>
      <c r="AE26" s="21">
        <f t="shared" si="4"/>
        <v>104037</v>
      </c>
      <c r="AG26" s="219"/>
    </row>
    <row r="27" spans="1:33" ht="17.149999999999999" customHeight="1">
      <c r="A27" s="60">
        <f t="shared" si="2"/>
        <v>44583</v>
      </c>
      <c r="B27" s="10">
        <v>0</v>
      </c>
      <c r="C27" s="13">
        <v>0</v>
      </c>
      <c r="D27" s="13">
        <v>0</v>
      </c>
      <c r="E27" s="10"/>
      <c r="F27" s="13"/>
      <c r="G27" s="12"/>
      <c r="H27" s="12">
        <v>0</v>
      </c>
      <c r="I27" s="13">
        <v>0</v>
      </c>
      <c r="J27" s="11">
        <v>14866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>
        <v>1208</v>
      </c>
      <c r="V27" s="13"/>
      <c r="W27" s="13">
        <v>21437</v>
      </c>
      <c r="X27" s="26">
        <v>0</v>
      </c>
      <c r="Y27" s="28">
        <f t="shared" si="0"/>
        <v>0</v>
      </c>
      <c r="Z27" s="22">
        <f t="shared" si="3"/>
        <v>37511</v>
      </c>
      <c r="AA27" s="21">
        <f t="shared" si="1"/>
        <v>37511</v>
      </c>
      <c r="AB27" s="12">
        <v>22345</v>
      </c>
      <c r="AC27" s="26">
        <v>20524</v>
      </c>
      <c r="AD27" s="26">
        <v>12091</v>
      </c>
      <c r="AE27" s="21">
        <f t="shared" si="4"/>
        <v>54960</v>
      </c>
      <c r="AG27" s="219"/>
    </row>
    <row r="28" spans="1:33" ht="17.149999999999999" customHeight="1">
      <c r="A28" s="60">
        <f t="shared" si="2"/>
        <v>44584</v>
      </c>
      <c r="B28" s="10">
        <v>3337</v>
      </c>
      <c r="C28" s="13">
        <v>11116</v>
      </c>
      <c r="D28" s="13">
        <v>13419</v>
      </c>
      <c r="E28" s="13"/>
      <c r="F28" s="12"/>
      <c r="G28" s="12"/>
      <c r="H28" s="12">
        <v>1644</v>
      </c>
      <c r="I28" s="13">
        <v>0</v>
      </c>
      <c r="J28" s="11">
        <v>29157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>
        <v>4813</v>
      </c>
      <c r="V28" s="13"/>
      <c r="W28" s="13">
        <v>55609</v>
      </c>
      <c r="X28" s="26">
        <v>3164</v>
      </c>
      <c r="Y28" s="28">
        <f t="shared" si="0"/>
        <v>32680</v>
      </c>
      <c r="Z28" s="22">
        <f t="shared" si="3"/>
        <v>89579</v>
      </c>
      <c r="AA28" s="21">
        <f t="shared" si="1"/>
        <v>122259</v>
      </c>
      <c r="AB28" s="12">
        <v>41938</v>
      </c>
      <c r="AC28" s="26">
        <v>41288</v>
      </c>
      <c r="AD28" s="26">
        <v>22282</v>
      </c>
      <c r="AE28" s="21">
        <f t="shared" si="4"/>
        <v>105508</v>
      </c>
      <c r="AG28" s="219"/>
    </row>
    <row r="29" spans="1:33" ht="17.149999999999999" customHeight="1">
      <c r="A29" s="60">
        <f t="shared" si="2"/>
        <v>44585</v>
      </c>
      <c r="B29" s="10">
        <v>1059</v>
      </c>
      <c r="C29" s="13">
        <v>4892</v>
      </c>
      <c r="D29" s="13">
        <v>9196</v>
      </c>
      <c r="E29" s="10"/>
      <c r="F29" s="13"/>
      <c r="G29" s="12"/>
      <c r="H29" s="12">
        <v>851</v>
      </c>
      <c r="I29" s="13">
        <v>0</v>
      </c>
      <c r="J29" s="11">
        <v>16408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>
        <v>1883</v>
      </c>
      <c r="V29" s="13"/>
      <c r="W29" s="13">
        <v>36688</v>
      </c>
      <c r="X29" s="26">
        <v>1994</v>
      </c>
      <c r="Y29" s="28">
        <f t="shared" si="0"/>
        <v>17992</v>
      </c>
      <c r="Z29" s="22">
        <f t="shared" si="3"/>
        <v>54979</v>
      </c>
      <c r="AA29" s="21">
        <f t="shared" si="1"/>
        <v>72971</v>
      </c>
      <c r="AB29" s="12">
        <v>40266</v>
      </c>
      <c r="AC29" s="26">
        <v>39128</v>
      </c>
      <c r="AD29" s="26">
        <v>24148</v>
      </c>
      <c r="AE29" s="21">
        <f t="shared" si="4"/>
        <v>103542</v>
      </c>
      <c r="AG29" s="219"/>
    </row>
    <row r="30" spans="1:33" ht="17.149999999999999" customHeight="1">
      <c r="A30" s="60">
        <f t="shared" si="2"/>
        <v>44586</v>
      </c>
      <c r="B30" s="10">
        <v>3047</v>
      </c>
      <c r="C30" s="13">
        <v>3466</v>
      </c>
      <c r="D30" s="10">
        <v>15969</v>
      </c>
      <c r="E30" s="10"/>
      <c r="F30" s="10"/>
      <c r="G30" s="10"/>
      <c r="H30" s="10">
        <v>371</v>
      </c>
      <c r="I30" s="13">
        <v>0</v>
      </c>
      <c r="J30" s="11">
        <v>25592</v>
      </c>
      <c r="K30" s="13"/>
      <c r="L30" s="11"/>
      <c r="M30" s="11"/>
      <c r="N30" s="11"/>
      <c r="O30" s="13"/>
      <c r="P30" s="11"/>
      <c r="Q30" s="11"/>
      <c r="R30" s="11"/>
      <c r="S30" s="11"/>
      <c r="T30" s="11"/>
      <c r="U30" s="11">
        <v>2981</v>
      </c>
      <c r="V30" s="11"/>
      <c r="W30" s="11">
        <v>42042</v>
      </c>
      <c r="X30" s="11">
        <v>3520</v>
      </c>
      <c r="Y30" s="28">
        <f t="shared" si="0"/>
        <v>26373</v>
      </c>
      <c r="Z30" s="22">
        <f t="shared" si="3"/>
        <v>70615</v>
      </c>
      <c r="AA30" s="21">
        <f t="shared" si="1"/>
        <v>96988</v>
      </c>
      <c r="AB30" s="12">
        <v>40376</v>
      </c>
      <c r="AC30" s="11">
        <v>40688</v>
      </c>
      <c r="AD30" s="12">
        <v>23365</v>
      </c>
      <c r="AE30" s="21">
        <f t="shared" si="4"/>
        <v>104429</v>
      </c>
      <c r="AG30" s="219"/>
    </row>
    <row r="31" spans="1:33" ht="17.149999999999999" customHeight="1">
      <c r="A31" s="60">
        <f t="shared" si="2"/>
        <v>44587</v>
      </c>
      <c r="B31" s="25">
        <v>2145</v>
      </c>
      <c r="C31" s="13">
        <v>5085</v>
      </c>
      <c r="D31" s="10">
        <v>11020</v>
      </c>
      <c r="E31" s="10"/>
      <c r="F31" s="10"/>
      <c r="G31" s="10"/>
      <c r="H31" s="10">
        <v>1218</v>
      </c>
      <c r="I31" s="13">
        <v>0</v>
      </c>
      <c r="J31" s="11">
        <v>23211</v>
      </c>
      <c r="K31" s="13"/>
      <c r="L31" s="10"/>
      <c r="M31" s="10"/>
      <c r="N31" s="10"/>
      <c r="O31" s="13"/>
      <c r="P31" s="10"/>
      <c r="Q31" s="10"/>
      <c r="R31" s="10"/>
      <c r="S31" s="10"/>
      <c r="T31" s="10"/>
      <c r="U31" s="10">
        <v>2411</v>
      </c>
      <c r="V31" s="10"/>
      <c r="W31" s="10">
        <v>35474</v>
      </c>
      <c r="X31" s="10">
        <v>2747</v>
      </c>
      <c r="Y31" s="28">
        <f t="shared" si="0"/>
        <v>22215</v>
      </c>
      <c r="Z31" s="22">
        <f t="shared" si="3"/>
        <v>61096</v>
      </c>
      <c r="AA31" s="21">
        <f t="shared" si="1"/>
        <v>83311</v>
      </c>
      <c r="AB31" s="12">
        <v>39666</v>
      </c>
      <c r="AC31" s="10">
        <v>38408</v>
      </c>
      <c r="AD31" s="25">
        <v>21947</v>
      </c>
      <c r="AE31" s="21">
        <f t="shared" si="4"/>
        <v>100021</v>
      </c>
      <c r="AG31" s="219"/>
    </row>
    <row r="32" spans="1:33" ht="17.149999999999999" customHeight="1">
      <c r="A32" s="60">
        <f t="shared" si="2"/>
        <v>44588</v>
      </c>
      <c r="B32" s="10">
        <v>1350</v>
      </c>
      <c r="C32" s="13">
        <v>6232</v>
      </c>
      <c r="D32" s="13">
        <v>9416</v>
      </c>
      <c r="E32" s="10"/>
      <c r="F32" s="13"/>
      <c r="G32" s="12"/>
      <c r="H32" s="12">
        <v>848</v>
      </c>
      <c r="I32" s="13">
        <v>0</v>
      </c>
      <c r="J32" s="11">
        <v>19356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>
        <v>3237</v>
      </c>
      <c r="V32" s="13"/>
      <c r="W32" s="13">
        <v>35026</v>
      </c>
      <c r="X32" s="26">
        <v>2557</v>
      </c>
      <c r="Y32" s="28">
        <f t="shared" si="0"/>
        <v>20403</v>
      </c>
      <c r="Z32" s="22">
        <f t="shared" si="3"/>
        <v>57619</v>
      </c>
      <c r="AA32" s="21">
        <f t="shared" si="1"/>
        <v>78022</v>
      </c>
      <c r="AB32" s="12">
        <v>40627</v>
      </c>
      <c r="AC32" s="26">
        <v>39487</v>
      </c>
      <c r="AD32" s="26">
        <v>22778</v>
      </c>
      <c r="AE32" s="21">
        <f t="shared" si="4"/>
        <v>102892</v>
      </c>
      <c r="AG32" s="219"/>
    </row>
    <row r="33" spans="1:34" ht="17.149999999999999" customHeight="1">
      <c r="A33" s="60">
        <f t="shared" si="2"/>
        <v>44589</v>
      </c>
      <c r="B33" s="10">
        <v>1798</v>
      </c>
      <c r="C33" s="13">
        <v>6789</v>
      </c>
      <c r="D33" s="54">
        <v>9727</v>
      </c>
      <c r="E33" s="10"/>
      <c r="F33" s="13"/>
      <c r="G33" s="12"/>
      <c r="H33" s="12">
        <v>693</v>
      </c>
      <c r="I33" s="13">
        <v>0</v>
      </c>
      <c r="J33" s="11">
        <v>20901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>
        <v>1852</v>
      </c>
      <c r="V33" s="13"/>
      <c r="W33" s="13">
        <v>34322</v>
      </c>
      <c r="X33" s="26">
        <v>2743</v>
      </c>
      <c r="Y33" s="28">
        <f t="shared" si="0"/>
        <v>21750</v>
      </c>
      <c r="Z33" s="22">
        <f t="shared" si="3"/>
        <v>57075</v>
      </c>
      <c r="AA33" s="21">
        <f t="shared" si="1"/>
        <v>78825</v>
      </c>
      <c r="AB33" s="12">
        <v>41466</v>
      </c>
      <c r="AC33" s="26">
        <v>38887</v>
      </c>
      <c r="AD33" s="26">
        <v>22855</v>
      </c>
      <c r="AE33" s="21">
        <f t="shared" si="4"/>
        <v>103208</v>
      </c>
      <c r="AG33" s="219"/>
    </row>
    <row r="34" spans="1:34" ht="17.149999999999999" customHeight="1">
      <c r="A34" s="60">
        <f t="shared" si="2"/>
        <v>44590</v>
      </c>
      <c r="B34" s="10">
        <v>0</v>
      </c>
      <c r="C34" s="13">
        <v>4274</v>
      </c>
      <c r="D34" s="13">
        <v>11588</v>
      </c>
      <c r="E34" s="10"/>
      <c r="F34" s="13"/>
      <c r="G34" s="12"/>
      <c r="H34" s="12">
        <v>2239</v>
      </c>
      <c r="I34" s="13">
        <v>0</v>
      </c>
      <c r="J34" s="11">
        <v>3670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>
        <v>536</v>
      </c>
      <c r="V34" s="13"/>
      <c r="W34" s="13">
        <v>26830</v>
      </c>
      <c r="X34" s="25">
        <v>4393</v>
      </c>
      <c r="Y34" s="28">
        <f t="shared" si="0"/>
        <v>22494</v>
      </c>
      <c r="Z34" s="22">
        <f t="shared" si="3"/>
        <v>31036</v>
      </c>
      <c r="AA34" s="21">
        <f t="shared" si="1"/>
        <v>53530</v>
      </c>
      <c r="AB34" s="12">
        <v>29744</v>
      </c>
      <c r="AC34" s="25">
        <v>28865</v>
      </c>
      <c r="AD34" s="25">
        <v>11948</v>
      </c>
      <c r="AE34" s="21">
        <f t="shared" si="4"/>
        <v>70557</v>
      </c>
      <c r="AG34" s="219"/>
    </row>
    <row r="35" spans="1:34" ht="17.149999999999999" customHeight="1">
      <c r="A35" s="60">
        <f t="shared" si="2"/>
        <v>44591</v>
      </c>
      <c r="B35" s="10">
        <v>2326</v>
      </c>
      <c r="C35" s="13">
        <v>7529</v>
      </c>
      <c r="D35" s="13">
        <v>11483</v>
      </c>
      <c r="E35" s="10"/>
      <c r="F35" s="13"/>
      <c r="G35" s="57"/>
      <c r="H35" s="57">
        <v>1625</v>
      </c>
      <c r="I35" s="13">
        <v>0</v>
      </c>
      <c r="J35" s="11">
        <v>22781</v>
      </c>
      <c r="K35" s="13"/>
      <c r="L35" s="58"/>
      <c r="M35" s="58"/>
      <c r="N35" s="58"/>
      <c r="O35" s="13"/>
      <c r="P35" s="58"/>
      <c r="Q35" s="58"/>
      <c r="R35" s="58"/>
      <c r="S35" s="58"/>
      <c r="T35" s="58"/>
      <c r="U35" s="58">
        <v>2127</v>
      </c>
      <c r="V35" s="58"/>
      <c r="W35" s="58">
        <v>25253</v>
      </c>
      <c r="X35" s="59">
        <v>3698</v>
      </c>
      <c r="Y35" s="28">
        <f t="shared" si="0"/>
        <v>26661</v>
      </c>
      <c r="Z35" s="22">
        <f t="shared" si="3"/>
        <v>50161</v>
      </c>
      <c r="AA35" s="21">
        <f t="shared" si="1"/>
        <v>76822</v>
      </c>
      <c r="AB35" s="12">
        <v>41159</v>
      </c>
      <c r="AC35" s="59">
        <v>40867</v>
      </c>
      <c r="AD35" s="59">
        <v>16241</v>
      </c>
      <c r="AE35" s="21">
        <f t="shared" si="4"/>
        <v>98267</v>
      </c>
      <c r="AG35" s="219"/>
    </row>
    <row r="36" spans="1:34" ht="17.149999999999999" customHeight="1">
      <c r="A36" s="61">
        <f t="shared" si="2"/>
        <v>44592</v>
      </c>
      <c r="B36" s="56">
        <v>3754</v>
      </c>
      <c r="C36" s="58">
        <v>10759</v>
      </c>
      <c r="D36" s="58">
        <v>15383</v>
      </c>
      <c r="E36" s="56"/>
      <c r="F36" s="58"/>
      <c r="G36" s="57"/>
      <c r="H36" s="57">
        <v>2368</v>
      </c>
      <c r="I36" s="58">
        <v>0</v>
      </c>
      <c r="J36" s="11">
        <v>31909</v>
      </c>
      <c r="K36" s="13"/>
      <c r="L36" s="58"/>
      <c r="M36" s="58"/>
      <c r="N36" s="58"/>
      <c r="O36" s="13"/>
      <c r="P36" s="58"/>
      <c r="Q36" s="58"/>
      <c r="R36" s="58"/>
      <c r="S36" s="58"/>
      <c r="T36" s="58"/>
      <c r="U36" s="58">
        <v>3417</v>
      </c>
      <c r="V36" s="58"/>
      <c r="W36" s="58">
        <v>44792</v>
      </c>
      <c r="X36" s="59">
        <v>3172</v>
      </c>
      <c r="Y36" s="28">
        <f t="shared" si="0"/>
        <v>35436</v>
      </c>
      <c r="Z36" s="22">
        <f t="shared" si="3"/>
        <v>80118</v>
      </c>
      <c r="AA36" s="35">
        <f t="shared" si="1"/>
        <v>115554</v>
      </c>
      <c r="AB36" s="12">
        <v>49094</v>
      </c>
      <c r="AC36" s="59">
        <v>47102</v>
      </c>
      <c r="AD36" s="59">
        <v>20327</v>
      </c>
      <c r="AE36" s="35">
        <f t="shared" si="4"/>
        <v>116523</v>
      </c>
      <c r="AG36" s="219"/>
    </row>
    <row r="37" spans="1:34" s="14" customFormat="1" ht="17.149999999999999" customHeight="1">
      <c r="A37" s="71" t="s">
        <v>38</v>
      </c>
      <c r="B37" s="72">
        <f>SUM(B6:B36)</f>
        <v>54950</v>
      </c>
      <c r="C37" s="72">
        <f>SUM(C6:C36)</f>
        <v>202480</v>
      </c>
      <c r="D37" s="72">
        <f>SUM(D6:D36)</f>
        <v>272378</v>
      </c>
      <c r="E37" s="72"/>
      <c r="F37" s="72"/>
      <c r="G37" s="72"/>
      <c r="H37" s="72">
        <f t="shared" ref="H37:AA37" si="5">SUM(H6:H36)</f>
        <v>36986</v>
      </c>
      <c r="I37" s="72">
        <f>SUM(I6:I36)</f>
        <v>7127</v>
      </c>
      <c r="J37" s="73">
        <f>SUM(J6:J36)</f>
        <v>647737</v>
      </c>
      <c r="K37" s="73"/>
      <c r="L37" s="74"/>
      <c r="M37" s="74"/>
      <c r="N37" s="75"/>
      <c r="O37" s="75">
        <f t="shared" si="5"/>
        <v>0</v>
      </c>
      <c r="P37" s="287"/>
      <c r="Q37" s="287"/>
      <c r="R37" s="287"/>
      <c r="S37" s="287"/>
      <c r="T37" s="63">
        <f t="shared" si="5"/>
        <v>0</v>
      </c>
      <c r="U37" s="63">
        <f t="shared" si="5"/>
        <v>82506</v>
      </c>
      <c r="V37" s="63">
        <f>SUM(V6:V36)</f>
        <v>0</v>
      </c>
      <c r="W37" s="63">
        <f>SUM(W6:W36)</f>
        <v>1025342</v>
      </c>
      <c r="X37" s="76">
        <f>SUM(X6:X36)</f>
        <v>73819</v>
      </c>
      <c r="Y37" s="77">
        <f>SUM(Y6:Y36)</f>
        <v>640613</v>
      </c>
      <c r="Z37" s="78">
        <f>SUM(Z6:Z36)</f>
        <v>1633077</v>
      </c>
      <c r="AA37" s="79">
        <f t="shared" si="5"/>
        <v>2403325</v>
      </c>
      <c r="AB37" s="223">
        <f t="shared" ref="AB37:AE37" si="6">SUM(AB6:AB36)</f>
        <v>1064187</v>
      </c>
      <c r="AC37" s="224">
        <f t="shared" si="6"/>
        <v>1041182</v>
      </c>
      <c r="AD37" s="224">
        <f t="shared" si="6"/>
        <v>556408</v>
      </c>
      <c r="AE37" s="225">
        <f t="shared" si="6"/>
        <v>2661777</v>
      </c>
      <c r="AG37" s="234"/>
    </row>
    <row r="38" spans="1:34" s="14" customFormat="1" ht="17.149999999999999" customHeight="1">
      <c r="A38" s="71" t="s">
        <v>86</v>
      </c>
      <c r="B38" s="117">
        <v>70000</v>
      </c>
      <c r="C38" s="72">
        <v>150000</v>
      </c>
      <c r="D38" s="303">
        <v>240000</v>
      </c>
      <c r="E38" s="273"/>
      <c r="F38" s="273"/>
      <c r="G38" s="273"/>
      <c r="H38" s="72">
        <v>50000</v>
      </c>
      <c r="I38" s="129">
        <v>30000</v>
      </c>
      <c r="J38" s="306">
        <v>600000</v>
      </c>
      <c r="K38" s="308"/>
      <c r="L38" s="308"/>
      <c r="M38" s="308"/>
      <c r="N38" s="308"/>
      <c r="O38" s="308"/>
      <c r="P38" s="288"/>
      <c r="Q38" s="288"/>
      <c r="R38" s="288"/>
      <c r="S38" s="288"/>
      <c r="T38" s="253"/>
      <c r="U38" s="253">
        <v>50000</v>
      </c>
      <c r="V38" s="63">
        <v>0</v>
      </c>
      <c r="W38" s="253">
        <v>1100000</v>
      </c>
      <c r="X38" s="76">
        <v>80000</v>
      </c>
      <c r="Y38" s="77">
        <f>SUM(B38:H38,X38)</f>
        <v>590000</v>
      </c>
      <c r="Z38" s="78">
        <f t="shared" ref="Z38" si="7">SUM(I38:W38)</f>
        <v>1780000</v>
      </c>
      <c r="AA38" s="79">
        <f>+Y38+Z38</f>
        <v>2370000</v>
      </c>
      <c r="AB38" s="223">
        <v>1040000</v>
      </c>
      <c r="AC38" s="224">
        <v>1040000</v>
      </c>
      <c r="AD38" s="224">
        <v>570000</v>
      </c>
      <c r="AE38" s="225">
        <f>SUM(AB38:AD38)</f>
        <v>2650000</v>
      </c>
      <c r="AG38" s="234"/>
    </row>
    <row r="39" spans="1:34" s="14" customFormat="1" ht="17.149999999999999" customHeight="1" thickBot="1">
      <c r="A39" s="80" t="s">
        <v>144</v>
      </c>
      <c r="B39" s="118">
        <f>SUM(B37)-B38</f>
        <v>-15050</v>
      </c>
      <c r="C39" s="82">
        <f>C37-C38</f>
        <v>52480</v>
      </c>
      <c r="D39" s="304">
        <f>SUM(D37:G37)-D38</f>
        <v>32378</v>
      </c>
      <c r="E39" s="305"/>
      <c r="F39" s="305"/>
      <c r="G39" s="305"/>
      <c r="H39" s="82">
        <f>+H37-H38</f>
        <v>-13014</v>
      </c>
      <c r="I39" s="118">
        <f>I37-I38</f>
        <v>-22873</v>
      </c>
      <c r="J39" s="307">
        <f>J37-J38</f>
        <v>47737</v>
      </c>
      <c r="K39" s="309"/>
      <c r="L39" s="309"/>
      <c r="M39" s="309"/>
      <c r="N39" s="309"/>
      <c r="O39" s="309"/>
      <c r="P39" s="300"/>
      <c r="Q39" s="300"/>
      <c r="R39" s="300"/>
      <c r="S39" s="300"/>
      <c r="T39" s="301"/>
      <c r="U39" s="301">
        <f t="shared" ref="U39" si="8">+U37-U38</f>
        <v>32506</v>
      </c>
      <c r="V39" s="81">
        <f t="shared" ref="V39:W39" si="9">+V37-V38</f>
        <v>0</v>
      </c>
      <c r="W39" s="301">
        <f t="shared" si="9"/>
        <v>-74658</v>
      </c>
      <c r="X39" s="83">
        <f>(X37)-X38</f>
        <v>-6181</v>
      </c>
      <c r="Y39" s="84">
        <f>Y37-Y38</f>
        <v>50613</v>
      </c>
      <c r="Z39" s="85">
        <f>Z37-Z38</f>
        <v>-146923</v>
      </c>
      <c r="AA39" s="86">
        <f>AA37-AA38</f>
        <v>33325</v>
      </c>
      <c r="AB39" s="226">
        <f t="shared" ref="AB39:AE39" si="10">AB37-AB38</f>
        <v>24187</v>
      </c>
      <c r="AC39" s="227">
        <f t="shared" si="10"/>
        <v>1182</v>
      </c>
      <c r="AD39" s="227">
        <f t="shared" si="10"/>
        <v>-13592</v>
      </c>
      <c r="AE39" s="228">
        <f t="shared" si="10"/>
        <v>11777</v>
      </c>
      <c r="AG39" s="234"/>
    </row>
    <row r="40" spans="1:34" ht="17.149999999999999" customHeight="1" thickBot="1">
      <c r="A40" s="40"/>
      <c r="AG40" s="219"/>
    </row>
    <row r="41" spans="1:34" ht="17.149999999999999" customHeight="1">
      <c r="A41" s="767" t="s">
        <v>145</v>
      </c>
      <c r="B41" s="768"/>
      <c r="C41" s="36">
        <v>28</v>
      </c>
      <c r="D41" s="36">
        <v>26</v>
      </c>
      <c r="E41" s="229" t="s">
        <v>146</v>
      </c>
      <c r="AG41" s="219"/>
    </row>
    <row r="42" spans="1:34" ht="17.149999999999999" customHeight="1">
      <c r="A42" s="786" t="s">
        <v>147</v>
      </c>
      <c r="B42" s="787"/>
      <c r="C42" s="258">
        <v>28</v>
      </c>
      <c r="D42" s="258">
        <v>26</v>
      </c>
      <c r="E42" s="219" t="s">
        <v>146</v>
      </c>
      <c r="AG42" s="219"/>
    </row>
    <row r="43" spans="1:34" ht="17.149999999999999" customHeight="1" thickBot="1">
      <c r="A43" s="788" t="s">
        <v>148</v>
      </c>
      <c r="B43" s="789"/>
      <c r="C43" s="230">
        <f>+C41-C42</f>
        <v>0</v>
      </c>
      <c r="D43" s="230">
        <f>+D41-D42</f>
        <v>0</v>
      </c>
      <c r="E43" s="231" t="s">
        <v>146</v>
      </c>
      <c r="AG43" s="219"/>
    </row>
    <row r="44" spans="1:34" ht="17.149999999999999" customHeight="1">
      <c r="A44" s="41"/>
      <c r="AG44" s="219"/>
    </row>
    <row r="45" spans="1:34" ht="17.149999999999999" customHeight="1">
      <c r="A45" s="42" t="s">
        <v>149</v>
      </c>
      <c r="AG45" s="219"/>
    </row>
    <row r="46" spans="1:34" ht="17.149999999999999" customHeight="1">
      <c r="A46" s="232" t="s">
        <v>72</v>
      </c>
      <c r="B46" s="233" t="s">
        <v>86</v>
      </c>
      <c r="C46" s="233" t="s">
        <v>99</v>
      </c>
      <c r="D46" s="233" t="s">
        <v>84</v>
      </c>
      <c r="AE46" s="259"/>
      <c r="AF46" s="259"/>
      <c r="AG46" s="234"/>
    </row>
    <row r="47" spans="1:34" ht="17.149999999999999" customHeight="1">
      <c r="A47" s="232" t="s">
        <v>39</v>
      </c>
      <c r="B47" s="233">
        <f>B38/$C$41*$C$42</f>
        <v>70000</v>
      </c>
      <c r="C47" s="233">
        <f>SUM(B37:B37)</f>
        <v>54950</v>
      </c>
      <c r="D47" s="233">
        <f t="shared" ref="D47:D59" si="11">+C47-B47</f>
        <v>-15050</v>
      </c>
      <c r="Q47" s="23"/>
      <c r="X47" s="23"/>
      <c r="Y47" s="23"/>
      <c r="Z47" s="23"/>
      <c r="AA47" s="23"/>
      <c r="AB47" s="23"/>
      <c r="AC47" s="23"/>
      <c r="AG47" s="219"/>
    </row>
    <row r="48" spans="1:34" ht="17.149999999999999" customHeight="1">
      <c r="A48" s="232" t="s">
        <v>40</v>
      </c>
      <c r="B48" s="233">
        <f>(C38/$C$41)*$C$42</f>
        <v>150000</v>
      </c>
      <c r="C48" s="233">
        <f>SUM(C37:C37)</f>
        <v>202480</v>
      </c>
      <c r="D48" s="233">
        <f t="shared" si="11"/>
        <v>52480</v>
      </c>
      <c r="L48" s="9"/>
      <c r="M48" s="9"/>
      <c r="N48" s="9"/>
      <c r="O48" s="9"/>
      <c r="P48" s="9"/>
      <c r="Q48" s="790"/>
      <c r="R48" s="790"/>
      <c r="S48" s="790"/>
      <c r="T48" s="790"/>
      <c r="U48" s="790"/>
      <c r="V48" s="790"/>
      <c r="W48" s="790"/>
      <c r="X48" s="790"/>
      <c r="Y48" s="790"/>
      <c r="Z48" s="790"/>
      <c r="AA48" s="790"/>
      <c r="AB48" s="790"/>
      <c r="AC48" s="790"/>
      <c r="AD48" s="235"/>
      <c r="AE48" s="235"/>
      <c r="AF48" s="235"/>
      <c r="AG48" s="236"/>
      <c r="AH48" s="235"/>
    </row>
    <row r="49" spans="1:33" ht="17.149999999999999" customHeight="1">
      <c r="A49" s="232" t="s">
        <v>150</v>
      </c>
      <c r="B49" s="233">
        <f>+(D38/$C$41)*$C$42</f>
        <v>239999.99999999997</v>
      </c>
      <c r="C49" s="233">
        <f>SUM(D37:G37)</f>
        <v>272378</v>
      </c>
      <c r="D49" s="233">
        <f t="shared" si="11"/>
        <v>32378.000000000029</v>
      </c>
      <c r="AG49" s="219"/>
    </row>
    <row r="50" spans="1:33" ht="17.149999999999999" customHeight="1">
      <c r="A50" s="232" t="s">
        <v>87</v>
      </c>
      <c r="B50" s="233">
        <f>+(H38/$C$41)*$C$42</f>
        <v>50000</v>
      </c>
      <c r="C50" s="233">
        <f>SUM(H37)</f>
        <v>36986</v>
      </c>
      <c r="D50" s="233">
        <f t="shared" si="11"/>
        <v>-13014</v>
      </c>
      <c r="AG50" s="219"/>
    </row>
    <row r="51" spans="1:33" ht="17.149999999999999" customHeight="1">
      <c r="A51" s="250" t="s">
        <v>182</v>
      </c>
      <c r="B51" s="251">
        <f>+(I38/$C$41)*$C$42</f>
        <v>29999.999999999996</v>
      </c>
      <c r="C51" s="251">
        <f>+I37</f>
        <v>7127</v>
      </c>
      <c r="D51" s="251">
        <f t="shared" si="11"/>
        <v>-22872.999999999996</v>
      </c>
      <c r="AG51" s="219"/>
    </row>
    <row r="52" spans="1:33" ht="17.149999999999999" customHeight="1">
      <c r="A52" s="232" t="s">
        <v>43</v>
      </c>
      <c r="B52" s="233">
        <f>+(X38/$C$41)*$C$42</f>
        <v>80000</v>
      </c>
      <c r="C52" s="233">
        <f>+X37</f>
        <v>73819</v>
      </c>
      <c r="D52" s="233">
        <f t="shared" si="11"/>
        <v>-6181</v>
      </c>
      <c r="R52" s="9"/>
      <c r="S52" s="9"/>
      <c r="T52" s="9"/>
      <c r="U52" s="9"/>
      <c r="V52" s="9"/>
      <c r="AG52" s="219"/>
    </row>
    <row r="53" spans="1:33" ht="17.149999999999999" customHeight="1">
      <c r="A53" s="87" t="s">
        <v>151</v>
      </c>
      <c r="B53" s="237">
        <f>SUM(B47:B52)</f>
        <v>620000</v>
      </c>
      <c r="C53" s="237">
        <f>SUM(C47:C52)</f>
        <v>647740</v>
      </c>
      <c r="D53" s="237">
        <f t="shared" si="11"/>
        <v>27740</v>
      </c>
      <c r="R53" s="9"/>
      <c r="S53" s="9"/>
      <c r="T53" s="9"/>
      <c r="U53" s="9"/>
      <c r="V53" s="9"/>
      <c r="AG53" s="219"/>
    </row>
    <row r="54" spans="1:33" ht="17.149999999999999" customHeight="1">
      <c r="A54" s="232" t="s">
        <v>91</v>
      </c>
      <c r="B54" s="233">
        <f>+(J38/$C$41)*$C$42</f>
        <v>600000</v>
      </c>
      <c r="C54" s="233">
        <f>SUM(J37:S37)</f>
        <v>647737</v>
      </c>
      <c r="D54" s="233">
        <f t="shared" si="11"/>
        <v>47737</v>
      </c>
      <c r="R54" s="9"/>
      <c r="S54" s="9"/>
      <c r="T54" s="9"/>
      <c r="U54" s="9"/>
      <c r="V54" s="9"/>
      <c r="AG54" s="219"/>
    </row>
    <row r="55" spans="1:33" ht="17.149999999999999" customHeight="1">
      <c r="A55" s="232" t="s">
        <v>92</v>
      </c>
      <c r="B55" s="233">
        <f>+(U38/$C$41)*$C$42</f>
        <v>50000</v>
      </c>
      <c r="C55" s="233">
        <f>+U37</f>
        <v>82506</v>
      </c>
      <c r="D55" s="233">
        <f t="shared" si="11"/>
        <v>32506</v>
      </c>
      <c r="R55" s="9"/>
      <c r="S55" s="9"/>
      <c r="T55" s="9"/>
      <c r="U55" s="9"/>
      <c r="V55" s="9"/>
      <c r="AG55" s="219"/>
    </row>
    <row r="56" spans="1:33" ht="17.149999999999999" customHeight="1">
      <c r="A56" s="232" t="s">
        <v>188</v>
      </c>
      <c r="B56" s="233"/>
      <c r="C56" s="233"/>
      <c r="D56" s="233"/>
      <c r="R56" s="9"/>
      <c r="S56" s="9"/>
      <c r="T56" s="9"/>
      <c r="U56" s="9"/>
      <c r="V56" s="9"/>
      <c r="AG56" s="219"/>
    </row>
    <row r="57" spans="1:33" ht="17.149999999999999" customHeight="1">
      <c r="A57" s="232" t="s">
        <v>93</v>
      </c>
      <c r="B57" s="233">
        <f>+(W38/$C$41)*$C$42</f>
        <v>1100000</v>
      </c>
      <c r="C57" s="233">
        <f>+W37</f>
        <v>1025342</v>
      </c>
      <c r="D57" s="233">
        <f t="shared" si="11"/>
        <v>-74658</v>
      </c>
      <c r="AG57" s="219"/>
    </row>
    <row r="58" spans="1:33" ht="17.149999999999999" customHeight="1">
      <c r="A58" s="87" t="s">
        <v>152</v>
      </c>
      <c r="B58" s="237">
        <f>SUM(B54:B57)</f>
        <v>1750000</v>
      </c>
      <c r="C58" s="237">
        <f>SUM(C54:C57)</f>
        <v>1755585</v>
      </c>
      <c r="D58" s="237">
        <f t="shared" si="11"/>
        <v>5585</v>
      </c>
      <c r="AG58" s="219"/>
    </row>
    <row r="59" spans="1:33" ht="17.149999999999999" customHeight="1">
      <c r="A59" s="87" t="s">
        <v>94</v>
      </c>
      <c r="B59" s="237">
        <f>SUM(B53,B58)</f>
        <v>2370000</v>
      </c>
      <c r="C59" s="237">
        <f>SUM(C53,C58)</f>
        <v>2403325</v>
      </c>
      <c r="D59" s="237">
        <f t="shared" si="11"/>
        <v>33325</v>
      </c>
      <c r="AG59" s="219"/>
    </row>
    <row r="60" spans="1:33" ht="17.149999999999999" customHeight="1">
      <c r="A60" s="40"/>
      <c r="AG60" s="219"/>
    </row>
    <row r="61" spans="1:33" ht="17.149999999999999" customHeight="1">
      <c r="A61" s="42" t="s">
        <v>153</v>
      </c>
      <c r="AG61" s="219"/>
    </row>
    <row r="62" spans="1:33" ht="17.149999999999999" customHeight="1">
      <c r="A62" s="232" t="s">
        <v>154</v>
      </c>
      <c r="B62" s="233" t="s">
        <v>86</v>
      </c>
      <c r="C62" s="233" t="s">
        <v>99</v>
      </c>
      <c r="D62" s="233" t="s">
        <v>84</v>
      </c>
      <c r="AG62" s="219"/>
    </row>
    <row r="63" spans="1:33" ht="17.149999999999999" customHeight="1">
      <c r="A63" s="232" t="s">
        <v>51</v>
      </c>
      <c r="B63" s="233">
        <f>SUM(B47:B51)</f>
        <v>540000</v>
      </c>
      <c r="C63" s="233">
        <f>SUM(C47:C51)</f>
        <v>573921</v>
      </c>
      <c r="D63" s="233">
        <f>+C63-B63</f>
        <v>33921</v>
      </c>
      <c r="AG63" s="219"/>
    </row>
    <row r="64" spans="1:33" ht="17.149999999999999" customHeight="1">
      <c r="A64" s="232" t="s">
        <v>50</v>
      </c>
      <c r="B64" s="233">
        <f>SUM(B55:B57)</f>
        <v>1150000</v>
      </c>
      <c r="C64" s="233">
        <f>SUM(C55:C57)</f>
        <v>1107848</v>
      </c>
      <c r="D64" s="233">
        <f>+C64-B64</f>
        <v>-42152</v>
      </c>
      <c r="AG64" s="219"/>
    </row>
    <row r="65" spans="1:47" ht="17.149999999999999" customHeight="1">
      <c r="A65" s="232" t="s">
        <v>120</v>
      </c>
      <c r="B65" s="233">
        <f>B54</f>
        <v>600000</v>
      </c>
      <c r="C65" s="233">
        <f>C54</f>
        <v>647737</v>
      </c>
      <c r="D65" s="233">
        <f>+C65-B65</f>
        <v>47737</v>
      </c>
      <c r="AG65" s="219"/>
      <c r="AS65" s="30"/>
      <c r="AT65" s="238"/>
      <c r="AU65" s="239"/>
    </row>
    <row r="66" spans="1:47" ht="17.149999999999999" customHeight="1">
      <c r="A66" s="232" t="s">
        <v>55</v>
      </c>
      <c r="B66" s="233">
        <f>SUM(B52)</f>
        <v>80000</v>
      </c>
      <c r="C66" s="233">
        <f>SUM(C52)</f>
        <v>73819</v>
      </c>
      <c r="D66" s="233">
        <f>+C66-B66</f>
        <v>-6181</v>
      </c>
      <c r="AG66" s="219"/>
      <c r="AS66" s="31"/>
      <c r="AT66" s="238"/>
      <c r="AU66" s="239"/>
    </row>
    <row r="67" spans="1:47" ht="17.149999999999999" customHeight="1">
      <c r="A67" s="87" t="s">
        <v>62</v>
      </c>
      <c r="B67" s="237">
        <f>SUM(B63:B66)</f>
        <v>2370000</v>
      </c>
      <c r="C67" s="237">
        <f>SUM(C63:C66)</f>
        <v>2403325</v>
      </c>
      <c r="D67" s="237">
        <f>+C67-B67</f>
        <v>33325</v>
      </c>
      <c r="AG67" s="219"/>
      <c r="AS67" s="240"/>
      <c r="AT67" s="238"/>
      <c r="AU67" s="239"/>
    </row>
    <row r="68" spans="1:47" ht="17.149999999999999" customHeight="1">
      <c r="A68" s="40"/>
      <c r="AG68" s="219"/>
      <c r="AS68" s="241"/>
      <c r="AT68" s="241"/>
      <c r="AU68" s="239"/>
    </row>
    <row r="69" spans="1:47" ht="17.149999999999999" customHeight="1">
      <c r="A69" s="42" t="s">
        <v>155</v>
      </c>
      <c r="AG69" s="219"/>
      <c r="AS69" s="242"/>
      <c r="AT69" s="238"/>
      <c r="AU69" s="239"/>
    </row>
    <row r="70" spans="1:47" ht="15" customHeight="1">
      <c r="A70" s="232" t="s">
        <v>154</v>
      </c>
      <c r="B70" s="233" t="s">
        <v>86</v>
      </c>
      <c r="C70" s="233" t="s">
        <v>99</v>
      </c>
      <c r="D70" s="233" t="s">
        <v>84</v>
      </c>
      <c r="E70" s="243"/>
      <c r="AG70" s="219"/>
    </row>
    <row r="71" spans="1:47" ht="15" customHeight="1">
      <c r="A71" s="232" t="s">
        <v>136</v>
      </c>
      <c r="B71" s="233">
        <f>+(AB38/$D$41)*$D$42</f>
        <v>1040000</v>
      </c>
      <c r="C71" s="233">
        <f>+AB37</f>
        <v>1064187</v>
      </c>
      <c r="D71" s="233">
        <f>+C71-B71</f>
        <v>24187</v>
      </c>
      <c r="E71" s="243"/>
      <c r="AG71" s="219"/>
    </row>
    <row r="72" spans="1:47" ht="15" customHeight="1">
      <c r="A72" s="232" t="s">
        <v>137</v>
      </c>
      <c r="B72" s="233">
        <f>+(AC38/$D$41)*$D$42</f>
        <v>1040000</v>
      </c>
      <c r="C72" s="233">
        <f>+AC37</f>
        <v>1041182</v>
      </c>
      <c r="D72" s="233">
        <f>+C72-B72</f>
        <v>1182</v>
      </c>
      <c r="E72" s="243"/>
      <c r="AG72" s="219"/>
    </row>
    <row r="73" spans="1:47" ht="15" customHeight="1">
      <c r="A73" s="232" t="s">
        <v>53</v>
      </c>
      <c r="B73" s="233">
        <f>+(AD38/$D$41)*$D$42</f>
        <v>570000</v>
      </c>
      <c r="C73" s="233">
        <f>+AD37</f>
        <v>556408</v>
      </c>
      <c r="D73" s="233">
        <f>+C73-B73</f>
        <v>-13592</v>
      </c>
      <c r="E73" s="243"/>
      <c r="AG73" s="219"/>
    </row>
    <row r="74" spans="1:47" ht="15" customHeight="1">
      <c r="A74" s="87" t="s">
        <v>62</v>
      </c>
      <c r="B74" s="237">
        <f>SUM(B71:B73)</f>
        <v>2650000</v>
      </c>
      <c r="C74" s="237">
        <f>SUM(C71:C73)</f>
        <v>2661777</v>
      </c>
      <c r="D74" s="237">
        <f>+C74-B74</f>
        <v>11777</v>
      </c>
      <c r="E74" s="243"/>
      <c r="Y74" s="29"/>
      <c r="Z74" s="29"/>
      <c r="AA74" s="29"/>
      <c r="AB74" s="29"/>
      <c r="AC74" s="29"/>
      <c r="AE74" s="244"/>
      <c r="AF74" s="244"/>
      <c r="AG74" s="219"/>
    </row>
    <row r="75" spans="1:47" ht="13" thickBot="1">
      <c r="A75" s="245"/>
      <c r="B75" s="246"/>
      <c r="C75" s="246"/>
      <c r="D75" s="246"/>
      <c r="E75" s="246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247"/>
      <c r="Z75" s="247"/>
      <c r="AA75" s="247"/>
      <c r="AB75" s="247"/>
      <c r="AC75" s="247"/>
      <c r="AD75" s="55"/>
      <c r="AE75" s="248"/>
      <c r="AF75" s="248"/>
      <c r="AG75" s="231"/>
    </row>
    <row r="76" spans="1:47" s="9" customFormat="1" ht="13">
      <c r="A76" s="249"/>
      <c r="B76" s="243"/>
      <c r="C76" s="24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29"/>
      <c r="Z76" s="29"/>
      <c r="AA76" s="29"/>
      <c r="AB76" s="29"/>
      <c r="AC76" s="29"/>
      <c r="AD76" s="7"/>
    </row>
    <row r="77" spans="1:47">
      <c r="Y77" s="29"/>
      <c r="Z77" s="29"/>
      <c r="AA77" s="29"/>
      <c r="AB77" s="29"/>
      <c r="AC77" s="29"/>
      <c r="AE77" s="244"/>
      <c r="AF77" s="244"/>
    </row>
    <row r="78" spans="1:47">
      <c r="Y78" s="29"/>
      <c r="Z78" s="29"/>
      <c r="AA78" s="29"/>
      <c r="AB78" s="29"/>
      <c r="AC78" s="29"/>
      <c r="AE78" s="244"/>
      <c r="AF78" s="244"/>
    </row>
    <row r="79" spans="1:47">
      <c r="Y79" s="29"/>
      <c r="Z79" s="29"/>
      <c r="AA79" s="29"/>
      <c r="AB79" s="29"/>
      <c r="AC79" s="29"/>
      <c r="AE79" s="244"/>
      <c r="AF79" s="244"/>
    </row>
    <row r="80" spans="1:47">
      <c r="AE80" s="244"/>
      <c r="AF80" s="244"/>
    </row>
    <row r="81" spans="31:32">
      <c r="AE81" s="244"/>
      <c r="AF81" s="244"/>
    </row>
    <row r="82" spans="31:32">
      <c r="AE82" s="244"/>
      <c r="AF82" s="244"/>
    </row>
    <row r="83" spans="31:32">
      <c r="AE83" s="244"/>
      <c r="AF83" s="244"/>
    </row>
    <row r="84" spans="31:32">
      <c r="AE84" s="244"/>
      <c r="AF84" s="244"/>
    </row>
  </sheetData>
  <mergeCells count="22">
    <mergeCell ref="A42:B42"/>
    <mergeCell ref="A43:B43"/>
    <mergeCell ref="Q48:AC48"/>
    <mergeCell ref="Y3:Y5"/>
    <mergeCell ref="AB3:AB5"/>
    <mergeCell ref="AC3:AC5"/>
    <mergeCell ref="X3:X4"/>
    <mergeCell ref="P5:Q5"/>
    <mergeCell ref="D3:H3"/>
    <mergeCell ref="I3:W3"/>
    <mergeCell ref="AD3:AD5"/>
    <mergeCell ref="AE3:AE5"/>
    <mergeCell ref="A1:AG1"/>
    <mergeCell ref="A3:A5"/>
    <mergeCell ref="A41:B41"/>
    <mergeCell ref="Z3:Z5"/>
    <mergeCell ref="AA3:AA5"/>
    <mergeCell ref="R5:S5"/>
    <mergeCell ref="R4:S4"/>
    <mergeCell ref="T5:W5"/>
    <mergeCell ref="J4:O4"/>
    <mergeCell ref="B5:H5"/>
  </mergeCells>
  <printOptions horizontalCentered="1"/>
  <pageMargins left="0" right="0" top="0" bottom="0" header="0" footer="0"/>
  <pageSetup paperSize="9" scale="44" orientation="landscape" r:id="rId1"/>
  <headerFooter alignWithMargins="0"/>
  <ignoredErrors>
    <ignoredError sqref="AE37" formula="1"/>
    <ignoredError sqref="Y6:AA10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80C0-DFEB-423C-8760-BC8D2F52755A}">
  <sheetPr>
    <tabColor rgb="FF92D050"/>
    <pageSetUpPr fitToPage="1"/>
  </sheetPr>
  <dimension ref="A1:AU84"/>
  <sheetViews>
    <sheetView showGridLines="0" view="pageBreakPreview" zoomScale="70" zoomScaleSheetLayoutView="70" workbookViewId="0">
      <pane xSplit="1" ySplit="5" topLeftCell="B6" activePane="bottomRight" state="frozen"/>
      <selection sqref="A1:L1"/>
      <selection pane="topRight" sqref="A1:L1"/>
      <selection pane="bottomLeft" sqref="A1:L1"/>
      <selection pane="bottomRight" sqref="A1:AG1"/>
    </sheetView>
  </sheetViews>
  <sheetFormatPr defaultColWidth="8.81640625" defaultRowHeight="12.5"/>
  <cols>
    <col min="1" max="1" width="10.1796875" style="8" customWidth="1"/>
    <col min="2" max="2" width="13.54296875" style="7" bestFit="1" customWidth="1"/>
    <col min="3" max="3" width="14.81640625" style="7" bestFit="1" customWidth="1"/>
    <col min="4" max="4" width="11.1796875" style="7" bestFit="1" customWidth="1"/>
    <col min="5" max="9" width="10.453125" style="7" customWidth="1"/>
    <col min="10" max="10" width="12.453125" style="7" bestFit="1" customWidth="1"/>
    <col min="11" max="15" width="10.453125" style="7" customWidth="1"/>
    <col min="16" max="19" width="10.453125" style="7" hidden="1" customWidth="1"/>
    <col min="20" max="22" width="10.453125" style="7" customWidth="1"/>
    <col min="23" max="23" width="11.54296875" style="7" bestFit="1" customWidth="1"/>
    <col min="24" max="24" width="10.453125" style="7" customWidth="1"/>
    <col min="25" max="25" width="12.81640625" style="7" bestFit="1" customWidth="1"/>
    <col min="26" max="26" width="13.1796875" style="7" bestFit="1" customWidth="1"/>
    <col min="27" max="27" width="13.453125" style="7" bestFit="1" customWidth="1"/>
    <col min="28" max="28" width="13" style="7" bestFit="1" customWidth="1"/>
    <col min="29" max="29" width="13.453125" style="7" bestFit="1" customWidth="1"/>
    <col min="30" max="30" width="12" style="7" bestFit="1" customWidth="1"/>
    <col min="31" max="31" width="13.7265625" style="7" customWidth="1"/>
    <col min="32" max="33" width="0.81640625" style="7" customWidth="1"/>
    <col min="34" max="34" width="11.7265625" style="7" customWidth="1"/>
    <col min="35" max="36" width="8.81640625" style="7"/>
    <col min="37" max="45" width="11.81640625" style="7" customWidth="1"/>
    <col min="46" max="16384" width="8.81640625" style="7"/>
  </cols>
  <sheetData>
    <row r="1" spans="1:33" ht="35.15" customHeight="1">
      <c r="A1" s="761">
        <f>+A6</f>
        <v>44958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3"/>
    </row>
    <row r="2" spans="1:33" ht="25" customHeight="1" thickBot="1">
      <c r="A2" s="40"/>
      <c r="AG2" s="220" t="s">
        <v>127</v>
      </c>
    </row>
    <row r="3" spans="1:33" ht="17.149999999999999" customHeight="1">
      <c r="A3" s="764" t="s">
        <v>128</v>
      </c>
      <c r="B3" s="114" t="s">
        <v>129</v>
      </c>
      <c r="C3" s="114" t="s">
        <v>130</v>
      </c>
      <c r="D3" s="796" t="s">
        <v>131</v>
      </c>
      <c r="E3" s="797"/>
      <c r="F3" s="797"/>
      <c r="G3" s="797"/>
      <c r="H3" s="798"/>
      <c r="I3" s="799" t="s">
        <v>42</v>
      </c>
      <c r="J3" s="800"/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178</v>
      </c>
      <c r="Z3" s="769" t="s">
        <v>179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3" s="9" customFormat="1" ht="17.149999999999999" customHeight="1">
      <c r="A4" s="765"/>
      <c r="B4" s="115" t="s">
        <v>139</v>
      </c>
      <c r="C4" s="115" t="s">
        <v>69</v>
      </c>
      <c r="D4" s="115" t="s">
        <v>166</v>
      </c>
      <c r="E4" s="64"/>
      <c r="F4" s="62"/>
      <c r="G4" s="62"/>
      <c r="H4" s="116" t="s">
        <v>46</v>
      </c>
      <c r="I4" s="115" t="s">
        <v>177</v>
      </c>
      <c r="J4" s="777" t="s">
        <v>184</v>
      </c>
      <c r="K4" s="782"/>
      <c r="L4" s="782"/>
      <c r="M4" s="782"/>
      <c r="N4" s="782"/>
      <c r="O4" s="778"/>
      <c r="P4" s="285"/>
      <c r="Q4" s="286"/>
      <c r="R4" s="777"/>
      <c r="S4" s="778"/>
      <c r="T4" s="284"/>
      <c r="U4" s="254" t="s">
        <v>48</v>
      </c>
      <c r="V4" s="254" t="s">
        <v>140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3" ht="30" customHeight="1" thickBot="1">
      <c r="A5" s="766"/>
      <c r="B5" s="783" t="s">
        <v>51</v>
      </c>
      <c r="C5" s="784"/>
      <c r="D5" s="784"/>
      <c r="E5" s="784"/>
      <c r="F5" s="784"/>
      <c r="G5" s="784"/>
      <c r="H5" s="785"/>
      <c r="I5" s="298" t="s">
        <v>51</v>
      </c>
      <c r="J5" s="310" t="s">
        <v>120</v>
      </c>
      <c r="K5" s="311"/>
      <c r="L5" s="312"/>
      <c r="M5" s="312"/>
      <c r="N5" s="313"/>
      <c r="O5" s="313"/>
      <c r="P5" s="775"/>
      <c r="Q5" s="776"/>
      <c r="R5" s="775"/>
      <c r="S5" s="776"/>
      <c r="T5" s="779" t="s">
        <v>175</v>
      </c>
      <c r="U5" s="780"/>
      <c r="V5" s="780"/>
      <c r="W5" s="781"/>
      <c r="X5" s="299" t="s">
        <v>55</v>
      </c>
      <c r="Y5" s="793"/>
      <c r="Z5" s="771"/>
      <c r="AA5" s="774"/>
      <c r="AB5" s="757"/>
      <c r="AC5" s="757"/>
      <c r="AD5" s="757"/>
      <c r="AE5" s="760"/>
      <c r="AG5" s="219"/>
    </row>
    <row r="6" spans="1:33" ht="17.149999999999999" customHeight="1">
      <c r="A6" s="124">
        <v>44958</v>
      </c>
      <c r="B6" s="280">
        <v>1560</v>
      </c>
      <c r="C6" s="281">
        <v>8842</v>
      </c>
      <c r="D6" s="281">
        <v>8669</v>
      </c>
      <c r="E6" s="280"/>
      <c r="F6" s="281"/>
      <c r="G6" s="221"/>
      <c r="H6" s="221">
        <v>1433</v>
      </c>
      <c r="I6" s="281">
        <v>0</v>
      </c>
      <c r="J6" s="282">
        <v>23965</v>
      </c>
      <c r="K6" s="106"/>
      <c r="L6" s="281"/>
      <c r="M6" s="282"/>
      <c r="N6" s="221"/>
      <c r="O6" s="221"/>
      <c r="P6" s="281"/>
      <c r="Q6" s="282"/>
      <c r="R6" s="281"/>
      <c r="S6" s="281"/>
      <c r="T6" s="281"/>
      <c r="U6" s="281">
        <v>2232</v>
      </c>
      <c r="V6" s="281"/>
      <c r="W6" s="282">
        <v>38253</v>
      </c>
      <c r="X6" s="106">
        <v>2155</v>
      </c>
      <c r="Y6" s="28">
        <f t="shared" ref="Y6:Y36" si="0">SUM(B6:H6,X6)</f>
        <v>22659</v>
      </c>
      <c r="Z6" s="28">
        <f>SUM(I6:W6)</f>
        <v>64450</v>
      </c>
      <c r="AA6" s="222">
        <f t="shared" ref="AA6:AA36" si="1">SUM(B6:X6)</f>
        <v>87109</v>
      </c>
      <c r="AB6" s="221">
        <v>41834</v>
      </c>
      <c r="AC6" s="106">
        <v>39365</v>
      </c>
      <c r="AD6" s="106">
        <v>19889</v>
      </c>
      <c r="AE6" s="222">
        <f>SUM(AB6:AD6)</f>
        <v>101088</v>
      </c>
      <c r="AG6" s="219"/>
    </row>
    <row r="7" spans="1:33" ht="17.149999999999999" customHeight="1">
      <c r="A7" s="60">
        <f t="shared" ref="A7:A33" si="2">+A6+1</f>
        <v>44959</v>
      </c>
      <c r="B7" s="10">
        <v>2460</v>
      </c>
      <c r="C7" s="13">
        <v>5957</v>
      </c>
      <c r="D7" s="13">
        <v>8829</v>
      </c>
      <c r="E7" s="10"/>
      <c r="F7" s="13"/>
      <c r="G7" s="12"/>
      <c r="H7" s="12">
        <v>1169</v>
      </c>
      <c r="I7" s="13">
        <v>0</v>
      </c>
      <c r="J7" s="11">
        <v>25440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>
        <v>572</v>
      </c>
      <c r="V7" s="13"/>
      <c r="W7" s="13">
        <v>31000</v>
      </c>
      <c r="X7" s="25">
        <v>2893</v>
      </c>
      <c r="Y7" s="28">
        <f t="shared" si="0"/>
        <v>21308</v>
      </c>
      <c r="Z7" s="22">
        <f t="shared" ref="Z7:Z36" si="3">SUM(I7:W7)</f>
        <v>57012</v>
      </c>
      <c r="AA7" s="21">
        <f t="shared" si="1"/>
        <v>78320</v>
      </c>
      <c r="AB7" s="12">
        <v>35228</v>
      </c>
      <c r="AC7" s="25">
        <v>37086</v>
      </c>
      <c r="AD7" s="25">
        <v>19508</v>
      </c>
      <c r="AE7" s="21">
        <f t="shared" ref="AE7:AE36" si="4">SUM(AB7:AD7)</f>
        <v>91822</v>
      </c>
      <c r="AG7" s="219"/>
    </row>
    <row r="8" spans="1:33" ht="17.149999999999999" customHeight="1">
      <c r="A8" s="60">
        <f t="shared" si="2"/>
        <v>44960</v>
      </c>
      <c r="B8" s="10">
        <v>1665</v>
      </c>
      <c r="C8" s="13">
        <v>6314</v>
      </c>
      <c r="D8" s="13">
        <v>7340</v>
      </c>
      <c r="E8" s="10"/>
      <c r="F8" s="13"/>
      <c r="G8" s="12"/>
      <c r="H8" s="12">
        <v>2577</v>
      </c>
      <c r="I8" s="13">
        <v>0</v>
      </c>
      <c r="J8" s="11">
        <v>18033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>
        <v>96</v>
      </c>
      <c r="V8" s="13"/>
      <c r="W8" s="13">
        <v>27571</v>
      </c>
      <c r="X8" s="26">
        <v>2274</v>
      </c>
      <c r="Y8" s="28">
        <f t="shared" si="0"/>
        <v>20170</v>
      </c>
      <c r="Z8" s="22">
        <f t="shared" si="3"/>
        <v>45700</v>
      </c>
      <c r="AA8" s="21">
        <f t="shared" si="1"/>
        <v>65870</v>
      </c>
      <c r="AB8" s="12">
        <v>37035</v>
      </c>
      <c r="AC8" s="26">
        <v>37207</v>
      </c>
      <c r="AD8" s="26">
        <v>20738</v>
      </c>
      <c r="AE8" s="21">
        <f t="shared" si="4"/>
        <v>94980</v>
      </c>
      <c r="AG8" s="219"/>
    </row>
    <row r="9" spans="1:33" ht="17.149999999999999" customHeight="1">
      <c r="A9" s="60">
        <f t="shared" si="2"/>
        <v>44961</v>
      </c>
      <c r="B9" s="10">
        <v>1481</v>
      </c>
      <c r="C9" s="13">
        <v>6779</v>
      </c>
      <c r="D9" s="13">
        <v>10761</v>
      </c>
      <c r="E9" s="10"/>
      <c r="F9" s="13"/>
      <c r="G9" s="12"/>
      <c r="H9" s="12">
        <v>2417</v>
      </c>
      <c r="I9" s="13">
        <v>0</v>
      </c>
      <c r="J9" s="11">
        <v>24406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>
        <v>224</v>
      </c>
      <c r="V9" s="13"/>
      <c r="W9" s="13">
        <v>33484</v>
      </c>
      <c r="X9" s="26">
        <v>2817</v>
      </c>
      <c r="Y9" s="28">
        <f t="shared" si="0"/>
        <v>24255</v>
      </c>
      <c r="Z9" s="22">
        <f t="shared" si="3"/>
        <v>58114</v>
      </c>
      <c r="AA9" s="21">
        <f t="shared" si="1"/>
        <v>82369</v>
      </c>
      <c r="AB9" s="12">
        <v>34384</v>
      </c>
      <c r="AC9" s="26">
        <v>37448</v>
      </c>
      <c r="AD9" s="26">
        <v>19442</v>
      </c>
      <c r="AE9" s="21">
        <f t="shared" si="4"/>
        <v>91274</v>
      </c>
      <c r="AG9" s="219"/>
    </row>
    <row r="10" spans="1:33" ht="17.149999999999999" customHeight="1">
      <c r="A10" s="60">
        <f t="shared" si="2"/>
        <v>44962</v>
      </c>
      <c r="B10" s="10">
        <v>1511</v>
      </c>
      <c r="C10" s="13">
        <v>7715</v>
      </c>
      <c r="D10" s="13">
        <v>12596</v>
      </c>
      <c r="E10" s="10"/>
      <c r="F10" s="13"/>
      <c r="G10" s="12"/>
      <c r="H10" s="12">
        <v>3605</v>
      </c>
      <c r="I10" s="13">
        <v>0</v>
      </c>
      <c r="J10" s="11">
        <v>27197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>
        <v>190</v>
      </c>
      <c r="V10" s="13"/>
      <c r="W10" s="13">
        <v>47206</v>
      </c>
      <c r="X10" s="26">
        <v>3055</v>
      </c>
      <c r="Y10" s="28">
        <f t="shared" si="0"/>
        <v>28482</v>
      </c>
      <c r="Z10" s="22">
        <f t="shared" si="3"/>
        <v>74593</v>
      </c>
      <c r="AA10" s="21">
        <f t="shared" si="1"/>
        <v>103075</v>
      </c>
      <c r="AB10" s="12">
        <v>20913</v>
      </c>
      <c r="AC10" s="26">
        <v>20284</v>
      </c>
      <c r="AD10" s="26">
        <v>10869</v>
      </c>
      <c r="AE10" s="21">
        <f t="shared" si="4"/>
        <v>52066</v>
      </c>
      <c r="AG10" s="219"/>
    </row>
    <row r="11" spans="1:33" ht="17.149999999999999" customHeight="1">
      <c r="A11" s="60">
        <f t="shared" si="2"/>
        <v>44963</v>
      </c>
      <c r="B11" s="10">
        <v>4187</v>
      </c>
      <c r="C11" s="13">
        <v>7256</v>
      </c>
      <c r="D11" s="13">
        <v>13443</v>
      </c>
      <c r="E11" s="10"/>
      <c r="F11" s="13"/>
      <c r="G11" s="12"/>
      <c r="H11" s="12">
        <v>3076</v>
      </c>
      <c r="I11" s="13">
        <v>0</v>
      </c>
      <c r="J11" s="11">
        <v>30911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v>95</v>
      </c>
      <c r="V11" s="13"/>
      <c r="W11" s="13">
        <v>51425</v>
      </c>
      <c r="X11" s="26">
        <v>3079</v>
      </c>
      <c r="Y11" s="28">
        <f t="shared" si="0"/>
        <v>31041</v>
      </c>
      <c r="Z11" s="22">
        <f t="shared" si="3"/>
        <v>82431</v>
      </c>
      <c r="AA11" s="21">
        <f t="shared" si="1"/>
        <v>113472</v>
      </c>
      <c r="AB11" s="12">
        <v>38468</v>
      </c>
      <c r="AC11" s="26">
        <v>36487</v>
      </c>
      <c r="AD11" s="26">
        <v>19789</v>
      </c>
      <c r="AE11" s="21">
        <f t="shared" si="4"/>
        <v>94744</v>
      </c>
      <c r="AG11" s="219"/>
    </row>
    <row r="12" spans="1:33" ht="17.149999999999999" customHeight="1">
      <c r="A12" s="60">
        <f t="shared" si="2"/>
        <v>44964</v>
      </c>
      <c r="B12" s="10">
        <v>3286</v>
      </c>
      <c r="C12" s="13">
        <v>7730</v>
      </c>
      <c r="D12" s="13">
        <v>13526</v>
      </c>
      <c r="E12" s="10"/>
      <c r="F12" s="13"/>
      <c r="G12" s="12"/>
      <c r="H12" s="12">
        <v>5010</v>
      </c>
      <c r="I12" s="13">
        <v>0</v>
      </c>
      <c r="J12" s="11">
        <v>31258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>
        <v>861</v>
      </c>
      <c r="V12" s="13"/>
      <c r="W12" s="13">
        <v>54118</v>
      </c>
      <c r="X12" s="26">
        <v>2403</v>
      </c>
      <c r="Y12" s="28">
        <f t="shared" si="0"/>
        <v>31955</v>
      </c>
      <c r="Z12" s="22">
        <f t="shared" si="3"/>
        <v>86237</v>
      </c>
      <c r="AA12" s="21">
        <f t="shared" si="1"/>
        <v>118192</v>
      </c>
      <c r="AB12" s="12">
        <v>38105</v>
      </c>
      <c r="AC12" s="26">
        <v>39008</v>
      </c>
      <c r="AD12" s="26">
        <v>20047</v>
      </c>
      <c r="AE12" s="21">
        <f t="shared" si="4"/>
        <v>97160</v>
      </c>
      <c r="AG12" s="219"/>
    </row>
    <row r="13" spans="1:33" ht="17.149999999999999" customHeight="1">
      <c r="A13" s="60">
        <f t="shared" si="2"/>
        <v>44965</v>
      </c>
      <c r="B13" s="10">
        <v>1218</v>
      </c>
      <c r="C13" s="13">
        <v>4173</v>
      </c>
      <c r="D13" s="13">
        <v>9179</v>
      </c>
      <c r="E13" s="10"/>
      <c r="F13" s="13"/>
      <c r="G13" s="12"/>
      <c r="H13" s="12">
        <v>2782</v>
      </c>
      <c r="I13" s="13">
        <v>0</v>
      </c>
      <c r="J13" s="11">
        <v>25413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v>446</v>
      </c>
      <c r="V13" s="13"/>
      <c r="W13" s="13">
        <v>32782</v>
      </c>
      <c r="X13" s="26">
        <v>2480</v>
      </c>
      <c r="Y13" s="28">
        <f t="shared" si="0"/>
        <v>19832</v>
      </c>
      <c r="Z13" s="22">
        <f t="shared" si="3"/>
        <v>58641</v>
      </c>
      <c r="AA13" s="21">
        <f t="shared" si="1"/>
        <v>78473</v>
      </c>
      <c r="AB13" s="12">
        <v>37142</v>
      </c>
      <c r="AC13" s="25">
        <v>36729</v>
      </c>
      <c r="AD13" s="25">
        <v>20190</v>
      </c>
      <c r="AE13" s="21">
        <f t="shared" si="4"/>
        <v>94061</v>
      </c>
      <c r="AG13" s="219"/>
    </row>
    <row r="14" spans="1:33" ht="17.149999999999999" customHeight="1">
      <c r="A14" s="60">
        <f t="shared" si="2"/>
        <v>44966</v>
      </c>
      <c r="B14" s="10">
        <v>1402</v>
      </c>
      <c r="C14" s="13">
        <v>4013</v>
      </c>
      <c r="D14" s="13">
        <v>9263</v>
      </c>
      <c r="E14" s="10"/>
      <c r="F14" s="13"/>
      <c r="G14" s="12"/>
      <c r="H14" s="12">
        <v>2411</v>
      </c>
      <c r="I14" s="13">
        <v>0</v>
      </c>
      <c r="J14" s="11">
        <v>19156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>
        <v>0</v>
      </c>
      <c r="V14" s="13"/>
      <c r="W14" s="13">
        <v>24050</v>
      </c>
      <c r="X14" s="26">
        <v>2820</v>
      </c>
      <c r="Y14" s="28">
        <f t="shared" si="0"/>
        <v>19909</v>
      </c>
      <c r="Z14" s="22">
        <f t="shared" si="3"/>
        <v>43206</v>
      </c>
      <c r="AA14" s="21">
        <f t="shared" si="1"/>
        <v>63115</v>
      </c>
      <c r="AB14" s="12">
        <v>35225</v>
      </c>
      <c r="AC14" s="26">
        <v>32287</v>
      </c>
      <c r="AD14" s="26">
        <v>19612</v>
      </c>
      <c r="AE14" s="21">
        <f t="shared" si="4"/>
        <v>87124</v>
      </c>
      <c r="AG14" s="219"/>
    </row>
    <row r="15" spans="1:33" ht="17.149999999999999" customHeight="1">
      <c r="A15" s="60">
        <f t="shared" si="2"/>
        <v>44967</v>
      </c>
      <c r="B15" s="10">
        <v>2808</v>
      </c>
      <c r="C15" s="13">
        <v>7043</v>
      </c>
      <c r="D15" s="13">
        <v>12420</v>
      </c>
      <c r="E15" s="10"/>
      <c r="F15" s="13"/>
      <c r="G15" s="12"/>
      <c r="H15" s="12">
        <v>4371</v>
      </c>
      <c r="I15" s="13">
        <v>0</v>
      </c>
      <c r="J15" s="11">
        <v>27944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>
        <v>0</v>
      </c>
      <c r="V15" s="13"/>
      <c r="W15" s="13">
        <v>44540</v>
      </c>
      <c r="X15" s="26">
        <v>3019</v>
      </c>
      <c r="Y15" s="28">
        <f t="shared" si="0"/>
        <v>29661</v>
      </c>
      <c r="Z15" s="22">
        <f t="shared" si="3"/>
        <v>72484</v>
      </c>
      <c r="AA15" s="21">
        <f t="shared" si="1"/>
        <v>102145</v>
      </c>
      <c r="AB15" s="12">
        <v>41225</v>
      </c>
      <c r="AC15" s="26">
        <v>40929</v>
      </c>
      <c r="AD15" s="26">
        <v>21863</v>
      </c>
      <c r="AE15" s="21">
        <f t="shared" si="4"/>
        <v>104017</v>
      </c>
      <c r="AG15" s="219"/>
    </row>
    <row r="16" spans="1:33" ht="17.149999999999999" customHeight="1">
      <c r="A16" s="60">
        <f t="shared" si="2"/>
        <v>44968</v>
      </c>
      <c r="B16" s="10">
        <v>503</v>
      </c>
      <c r="C16" s="13">
        <v>3651</v>
      </c>
      <c r="D16" s="13">
        <v>4692</v>
      </c>
      <c r="E16" s="10"/>
      <c r="F16" s="13"/>
      <c r="G16" s="12"/>
      <c r="H16" s="12">
        <v>1830</v>
      </c>
      <c r="I16" s="13">
        <v>0</v>
      </c>
      <c r="J16" s="11">
        <v>13359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>
        <v>0</v>
      </c>
      <c r="V16" s="13"/>
      <c r="W16" s="13">
        <v>26441</v>
      </c>
      <c r="X16" s="26">
        <v>2585</v>
      </c>
      <c r="Y16" s="28">
        <f t="shared" si="0"/>
        <v>13261</v>
      </c>
      <c r="Z16" s="22">
        <f t="shared" si="3"/>
        <v>39800</v>
      </c>
      <c r="AA16" s="21">
        <f t="shared" si="1"/>
        <v>53061</v>
      </c>
      <c r="AB16" s="12">
        <v>34841</v>
      </c>
      <c r="AC16" s="26">
        <v>35168</v>
      </c>
      <c r="AD16" s="26">
        <v>21222</v>
      </c>
      <c r="AE16" s="21">
        <f t="shared" si="4"/>
        <v>91231</v>
      </c>
      <c r="AG16" s="219"/>
    </row>
    <row r="17" spans="1:33" ht="17.149999999999999" customHeight="1">
      <c r="A17" s="60">
        <f t="shared" si="2"/>
        <v>44969</v>
      </c>
      <c r="B17" s="10">
        <v>850</v>
      </c>
      <c r="C17" s="13">
        <v>1193</v>
      </c>
      <c r="D17" s="13">
        <v>4620</v>
      </c>
      <c r="E17" s="10"/>
      <c r="F17" s="13"/>
      <c r="G17" s="12"/>
      <c r="H17" s="12">
        <v>1021</v>
      </c>
      <c r="I17" s="13">
        <v>0</v>
      </c>
      <c r="J17" s="11">
        <v>3414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>
        <v>0</v>
      </c>
      <c r="V17" s="13"/>
      <c r="W17" s="13">
        <v>5307</v>
      </c>
      <c r="X17" s="26">
        <v>1528</v>
      </c>
      <c r="Y17" s="28">
        <f t="shared" si="0"/>
        <v>9212</v>
      </c>
      <c r="Z17" s="22">
        <f t="shared" si="3"/>
        <v>8721</v>
      </c>
      <c r="AA17" s="21">
        <f t="shared" si="1"/>
        <v>17933</v>
      </c>
      <c r="AB17" s="12">
        <v>17998</v>
      </c>
      <c r="AC17" s="26">
        <v>17615</v>
      </c>
      <c r="AD17" s="26">
        <v>10567</v>
      </c>
      <c r="AE17" s="21">
        <f t="shared" si="4"/>
        <v>46180</v>
      </c>
      <c r="AG17" s="219"/>
    </row>
    <row r="18" spans="1:33" ht="17.149999999999999" customHeight="1">
      <c r="A18" s="60">
        <f t="shared" si="2"/>
        <v>44970</v>
      </c>
      <c r="B18" s="10">
        <v>1856</v>
      </c>
      <c r="C18" s="13">
        <v>10811</v>
      </c>
      <c r="D18" s="13">
        <v>13689</v>
      </c>
      <c r="E18" s="10"/>
      <c r="F18" s="13"/>
      <c r="G18" s="12"/>
      <c r="H18" s="12">
        <v>2002</v>
      </c>
      <c r="I18" s="13">
        <v>0</v>
      </c>
      <c r="J18" s="11">
        <v>27598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>
        <v>0</v>
      </c>
      <c r="V18" s="13"/>
      <c r="W18" s="13">
        <v>42873</v>
      </c>
      <c r="X18" s="25">
        <v>3343</v>
      </c>
      <c r="Y18" s="28">
        <f t="shared" si="0"/>
        <v>31701</v>
      </c>
      <c r="Z18" s="22">
        <f t="shared" si="3"/>
        <v>70471</v>
      </c>
      <c r="AA18" s="21">
        <f t="shared" si="1"/>
        <v>102172</v>
      </c>
      <c r="AB18" s="12">
        <v>35818</v>
      </c>
      <c r="AC18" s="25">
        <v>37458</v>
      </c>
      <c r="AD18" s="25">
        <v>20189</v>
      </c>
      <c r="AE18" s="21">
        <f t="shared" si="4"/>
        <v>93465</v>
      </c>
      <c r="AG18" s="219"/>
    </row>
    <row r="19" spans="1:33" ht="17.149999999999999" customHeight="1">
      <c r="A19" s="60">
        <f t="shared" si="2"/>
        <v>44971</v>
      </c>
      <c r="B19" s="10">
        <v>1194</v>
      </c>
      <c r="C19" s="13">
        <v>4201</v>
      </c>
      <c r="D19" s="13">
        <v>12904</v>
      </c>
      <c r="E19" s="10"/>
      <c r="F19" s="13"/>
      <c r="G19" s="12"/>
      <c r="H19" s="12">
        <v>2953</v>
      </c>
      <c r="I19" s="13">
        <v>0</v>
      </c>
      <c r="J19" s="11">
        <v>16396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>
        <v>0</v>
      </c>
      <c r="V19" s="13"/>
      <c r="W19" s="13">
        <v>27642</v>
      </c>
      <c r="X19" s="27">
        <v>2470</v>
      </c>
      <c r="Y19" s="28">
        <f t="shared" si="0"/>
        <v>23722</v>
      </c>
      <c r="Z19" s="22">
        <f t="shared" si="3"/>
        <v>44038</v>
      </c>
      <c r="AA19" s="21">
        <f t="shared" si="1"/>
        <v>67760</v>
      </c>
      <c r="AB19" s="12">
        <v>36298</v>
      </c>
      <c r="AC19" s="27">
        <v>33820</v>
      </c>
      <c r="AD19" s="27">
        <v>18463</v>
      </c>
      <c r="AE19" s="21">
        <f t="shared" si="4"/>
        <v>88581</v>
      </c>
      <c r="AG19" s="219"/>
    </row>
    <row r="20" spans="1:33" ht="17.149999999999999" customHeight="1">
      <c r="A20" s="60">
        <f t="shared" si="2"/>
        <v>44972</v>
      </c>
      <c r="B20" s="10">
        <v>978</v>
      </c>
      <c r="C20" s="13">
        <v>3577</v>
      </c>
      <c r="D20" s="13">
        <v>6476</v>
      </c>
      <c r="E20" s="13"/>
      <c r="F20" s="13"/>
      <c r="G20" s="12"/>
      <c r="H20" s="12">
        <v>1244</v>
      </c>
      <c r="I20" s="13">
        <v>0</v>
      </c>
      <c r="J20" s="11">
        <v>9619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>
        <v>814</v>
      </c>
      <c r="V20" s="13"/>
      <c r="W20" s="13">
        <v>24050</v>
      </c>
      <c r="X20" s="27">
        <v>1793</v>
      </c>
      <c r="Y20" s="28">
        <f t="shared" si="0"/>
        <v>14068</v>
      </c>
      <c r="Z20" s="22">
        <f t="shared" si="3"/>
        <v>34483</v>
      </c>
      <c r="AA20" s="21">
        <f t="shared" si="1"/>
        <v>48551</v>
      </c>
      <c r="AB20" s="12">
        <v>29569</v>
      </c>
      <c r="AC20" s="27">
        <v>27480</v>
      </c>
      <c r="AD20" s="27">
        <v>16609</v>
      </c>
      <c r="AE20" s="21">
        <f t="shared" si="4"/>
        <v>73658</v>
      </c>
      <c r="AG20" s="219"/>
    </row>
    <row r="21" spans="1:33" ht="17.149999999999999" customHeight="1">
      <c r="A21" s="60">
        <f t="shared" si="2"/>
        <v>44973</v>
      </c>
      <c r="B21" s="10">
        <v>1290</v>
      </c>
      <c r="C21" s="13">
        <v>11199</v>
      </c>
      <c r="D21" s="13">
        <v>10654</v>
      </c>
      <c r="E21" s="302"/>
      <c r="F21" s="13"/>
      <c r="G21" s="12"/>
      <c r="H21" s="12">
        <v>1263</v>
      </c>
      <c r="I21" s="13">
        <v>0</v>
      </c>
      <c r="J21" s="11">
        <v>26850</v>
      </c>
      <c r="K21" s="13"/>
      <c r="L21" s="13"/>
      <c r="M21" s="13"/>
      <c r="N21" s="13"/>
      <c r="O21" s="13"/>
      <c r="P21" s="13"/>
      <c r="Q21" s="266"/>
      <c r="R21" s="13"/>
      <c r="S21" s="13"/>
      <c r="T21" s="13"/>
      <c r="U21" s="13">
        <v>0</v>
      </c>
      <c r="V21" s="13"/>
      <c r="W21" s="266">
        <v>41574</v>
      </c>
      <c r="X21" s="267">
        <v>2330</v>
      </c>
      <c r="Y21" s="28">
        <f t="shared" si="0"/>
        <v>26736</v>
      </c>
      <c r="Z21" s="22">
        <f t="shared" si="3"/>
        <v>68424</v>
      </c>
      <c r="AA21" s="21">
        <f t="shared" si="1"/>
        <v>95160</v>
      </c>
      <c r="AB21" s="12">
        <v>34008</v>
      </c>
      <c r="AC21" s="25">
        <v>34433</v>
      </c>
      <c r="AD21" s="25">
        <v>20527</v>
      </c>
      <c r="AE21" s="21">
        <f t="shared" si="4"/>
        <v>88968</v>
      </c>
      <c r="AG21" s="219"/>
    </row>
    <row r="22" spans="1:33" ht="17.149999999999999" customHeight="1">
      <c r="A22" s="60">
        <f t="shared" si="2"/>
        <v>44974</v>
      </c>
      <c r="B22" s="10">
        <v>1404</v>
      </c>
      <c r="C22" s="13">
        <v>4018</v>
      </c>
      <c r="D22" s="13">
        <v>9276</v>
      </c>
      <c r="E22" s="302"/>
      <c r="F22" s="13"/>
      <c r="G22" s="12"/>
      <c r="H22" s="12">
        <v>2415</v>
      </c>
      <c r="I22" s="13">
        <v>0</v>
      </c>
      <c r="J22" s="11">
        <v>19185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>
        <v>0</v>
      </c>
      <c r="V22" s="13"/>
      <c r="W22" s="13">
        <v>24088</v>
      </c>
      <c r="X22" s="26">
        <v>2824</v>
      </c>
      <c r="Y22" s="28">
        <f t="shared" si="0"/>
        <v>19937</v>
      </c>
      <c r="Z22" s="22">
        <f t="shared" si="3"/>
        <v>43273</v>
      </c>
      <c r="AA22" s="21">
        <f t="shared" si="1"/>
        <v>63210</v>
      </c>
      <c r="AB22" s="12">
        <v>31739</v>
      </c>
      <c r="AC22" s="26">
        <v>29285</v>
      </c>
      <c r="AD22" s="26">
        <v>16599</v>
      </c>
      <c r="AE22" s="21">
        <f t="shared" si="4"/>
        <v>77623</v>
      </c>
      <c r="AG22" s="219"/>
    </row>
    <row r="23" spans="1:33" ht="17.149999999999999" customHeight="1">
      <c r="A23" s="60">
        <f t="shared" si="2"/>
        <v>44975</v>
      </c>
      <c r="B23" s="10">
        <v>1774</v>
      </c>
      <c r="C23" s="13">
        <v>9027</v>
      </c>
      <c r="D23" s="13">
        <v>13753</v>
      </c>
      <c r="E23" s="302"/>
      <c r="F23" s="13"/>
      <c r="G23" s="12"/>
      <c r="H23" s="12">
        <v>2422</v>
      </c>
      <c r="I23" s="13">
        <v>0</v>
      </c>
      <c r="J23" s="11">
        <v>23895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>
        <v>1595</v>
      </c>
      <c r="V23" s="13"/>
      <c r="W23" s="13">
        <v>38815</v>
      </c>
      <c r="X23" s="26">
        <v>1927</v>
      </c>
      <c r="Y23" s="28">
        <f t="shared" si="0"/>
        <v>28903</v>
      </c>
      <c r="Z23" s="22">
        <f t="shared" si="3"/>
        <v>64305</v>
      </c>
      <c r="AA23" s="21">
        <f t="shared" si="1"/>
        <v>93208</v>
      </c>
      <c r="AB23" s="12">
        <v>33769</v>
      </c>
      <c r="AC23" s="26">
        <v>32173</v>
      </c>
      <c r="AD23" s="26">
        <v>20552</v>
      </c>
      <c r="AE23" s="21">
        <f t="shared" si="4"/>
        <v>86494</v>
      </c>
      <c r="AG23" s="219"/>
    </row>
    <row r="24" spans="1:33" ht="17.149999999999999" customHeight="1">
      <c r="A24" s="60">
        <f t="shared" si="2"/>
        <v>44976</v>
      </c>
      <c r="B24" s="10">
        <v>1988</v>
      </c>
      <c r="C24" s="13">
        <v>8387</v>
      </c>
      <c r="D24" s="13">
        <v>12857</v>
      </c>
      <c r="E24" s="302"/>
      <c r="F24" s="13"/>
      <c r="G24" s="12"/>
      <c r="H24" s="12">
        <v>2505</v>
      </c>
      <c r="I24" s="13">
        <v>0</v>
      </c>
      <c r="J24" s="11">
        <v>22479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>
        <v>2320</v>
      </c>
      <c r="V24" s="13"/>
      <c r="W24" s="13">
        <v>35970</v>
      </c>
      <c r="X24" s="26">
        <v>2848</v>
      </c>
      <c r="Y24" s="28">
        <f t="shared" si="0"/>
        <v>28585</v>
      </c>
      <c r="Z24" s="22">
        <f t="shared" si="3"/>
        <v>60769</v>
      </c>
      <c r="AA24" s="21">
        <f t="shared" si="1"/>
        <v>89354</v>
      </c>
      <c r="AB24" s="12">
        <v>23934</v>
      </c>
      <c r="AC24" s="26">
        <v>22322</v>
      </c>
      <c r="AD24" s="26">
        <v>12217</v>
      </c>
      <c r="AE24" s="21">
        <f t="shared" si="4"/>
        <v>58473</v>
      </c>
      <c r="AG24" s="219"/>
    </row>
    <row r="25" spans="1:33" ht="17.149999999999999" customHeight="1">
      <c r="A25" s="60">
        <f t="shared" si="2"/>
        <v>44977</v>
      </c>
      <c r="B25" s="10">
        <v>1861</v>
      </c>
      <c r="C25" s="13">
        <v>5757</v>
      </c>
      <c r="D25" s="13">
        <v>13315</v>
      </c>
      <c r="E25" s="10"/>
      <c r="F25" s="13"/>
      <c r="G25" s="12"/>
      <c r="H25" s="12">
        <v>2448</v>
      </c>
      <c r="I25" s="13">
        <v>0</v>
      </c>
      <c r="J25" s="11">
        <v>14973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>
        <v>7197</v>
      </c>
      <c r="V25" s="13"/>
      <c r="W25" s="13">
        <v>27468</v>
      </c>
      <c r="X25" s="26">
        <v>1487</v>
      </c>
      <c r="Y25" s="28">
        <f t="shared" si="0"/>
        <v>24868</v>
      </c>
      <c r="Z25" s="22">
        <f t="shared" si="3"/>
        <v>49638</v>
      </c>
      <c r="AA25" s="21">
        <f t="shared" si="1"/>
        <v>74506</v>
      </c>
      <c r="AB25" s="12">
        <v>32828</v>
      </c>
      <c r="AC25" s="26">
        <v>29281</v>
      </c>
      <c r="AD25" s="26">
        <v>18033</v>
      </c>
      <c r="AE25" s="21">
        <f t="shared" si="4"/>
        <v>80142</v>
      </c>
      <c r="AG25" s="219"/>
    </row>
    <row r="26" spans="1:33" ht="17.149999999999999" customHeight="1">
      <c r="A26" s="60">
        <f t="shared" si="2"/>
        <v>44978</v>
      </c>
      <c r="B26" s="10">
        <v>1324</v>
      </c>
      <c r="C26" s="13">
        <v>7592</v>
      </c>
      <c r="D26" s="58">
        <v>14109</v>
      </c>
      <c r="E26" s="13"/>
      <c r="F26" s="13"/>
      <c r="G26" s="12"/>
      <c r="H26" s="12">
        <v>2345</v>
      </c>
      <c r="I26" s="13">
        <v>0</v>
      </c>
      <c r="J26" s="11">
        <v>30078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>
        <v>2914</v>
      </c>
      <c r="V26" s="13"/>
      <c r="W26" s="13">
        <v>42032</v>
      </c>
      <c r="X26" s="26">
        <v>2946</v>
      </c>
      <c r="Y26" s="28">
        <f t="shared" si="0"/>
        <v>28316</v>
      </c>
      <c r="Z26" s="22">
        <f t="shared" si="3"/>
        <v>75024</v>
      </c>
      <c r="AA26" s="21">
        <f t="shared" si="1"/>
        <v>103340</v>
      </c>
      <c r="AB26" s="12">
        <v>43265</v>
      </c>
      <c r="AC26" s="26">
        <v>37443</v>
      </c>
      <c r="AD26" s="26">
        <v>20646</v>
      </c>
      <c r="AE26" s="21">
        <f t="shared" si="4"/>
        <v>101354</v>
      </c>
      <c r="AG26" s="219"/>
    </row>
    <row r="27" spans="1:33" ht="17.149999999999999" customHeight="1">
      <c r="A27" s="60">
        <f t="shared" si="2"/>
        <v>44979</v>
      </c>
      <c r="B27" s="10">
        <v>821</v>
      </c>
      <c r="C27" s="13">
        <v>4879</v>
      </c>
      <c r="D27" s="13">
        <v>12466</v>
      </c>
      <c r="E27" s="10"/>
      <c r="F27" s="13"/>
      <c r="G27" s="12"/>
      <c r="H27" s="12">
        <v>2133</v>
      </c>
      <c r="I27" s="13">
        <v>0</v>
      </c>
      <c r="J27" s="11">
        <v>18518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>
        <v>2104</v>
      </c>
      <c r="V27" s="13"/>
      <c r="W27" s="13">
        <v>35556</v>
      </c>
      <c r="X27" s="26">
        <v>2611</v>
      </c>
      <c r="Y27" s="28">
        <f>SUM(B27:H27,X27)</f>
        <v>22910</v>
      </c>
      <c r="Z27" s="22">
        <f t="shared" si="3"/>
        <v>56178</v>
      </c>
      <c r="AA27" s="21">
        <f>SUM(B27:X27)</f>
        <v>79088</v>
      </c>
      <c r="AB27" s="12">
        <v>44795</v>
      </c>
      <c r="AC27" s="26">
        <v>35649</v>
      </c>
      <c r="AD27" s="26">
        <v>20454</v>
      </c>
      <c r="AE27" s="21">
        <f t="shared" si="4"/>
        <v>100898</v>
      </c>
      <c r="AG27" s="219"/>
    </row>
    <row r="28" spans="1:33" ht="17.149999999999999" customHeight="1">
      <c r="A28" s="60">
        <f t="shared" si="2"/>
        <v>44980</v>
      </c>
      <c r="B28" s="10">
        <v>1771</v>
      </c>
      <c r="C28" s="13">
        <v>9486</v>
      </c>
      <c r="D28" s="13">
        <v>11883</v>
      </c>
      <c r="E28" s="13"/>
      <c r="F28" s="12"/>
      <c r="G28" s="12"/>
      <c r="H28" s="12">
        <v>2529</v>
      </c>
      <c r="I28" s="13">
        <v>0</v>
      </c>
      <c r="J28" s="11">
        <v>30214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>
        <v>2769</v>
      </c>
      <c r="V28" s="13"/>
      <c r="W28" s="13">
        <v>41775</v>
      </c>
      <c r="X28" s="26">
        <v>3317</v>
      </c>
      <c r="Y28" s="28">
        <f t="shared" si="0"/>
        <v>28986</v>
      </c>
      <c r="Z28" s="22">
        <f t="shared" si="3"/>
        <v>74758</v>
      </c>
      <c r="AA28" s="21">
        <f t="shared" si="1"/>
        <v>103744</v>
      </c>
      <c r="AB28" s="12">
        <v>44578</v>
      </c>
      <c r="AC28" s="26">
        <v>37929</v>
      </c>
      <c r="AD28" s="26">
        <v>22923</v>
      </c>
      <c r="AE28" s="21">
        <f t="shared" si="4"/>
        <v>105430</v>
      </c>
      <c r="AG28" s="219"/>
    </row>
    <row r="29" spans="1:33" ht="17.149999999999999" customHeight="1">
      <c r="A29" s="60">
        <f t="shared" si="2"/>
        <v>44981</v>
      </c>
      <c r="B29" s="10">
        <v>1086</v>
      </c>
      <c r="C29" s="13">
        <v>2820</v>
      </c>
      <c r="D29" s="13">
        <v>7132</v>
      </c>
      <c r="E29" s="10"/>
      <c r="F29" s="13"/>
      <c r="G29" s="12"/>
      <c r="H29" s="12">
        <v>1385</v>
      </c>
      <c r="I29" s="13">
        <v>0</v>
      </c>
      <c r="J29" s="11">
        <v>15765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>
        <v>1112</v>
      </c>
      <c r="V29" s="13"/>
      <c r="W29" s="13">
        <v>11455</v>
      </c>
      <c r="X29" s="26">
        <v>2291</v>
      </c>
      <c r="Y29" s="28">
        <f t="shared" si="0"/>
        <v>14714</v>
      </c>
      <c r="Z29" s="22">
        <f t="shared" si="3"/>
        <v>28332</v>
      </c>
      <c r="AA29" s="21">
        <f t="shared" si="1"/>
        <v>43046</v>
      </c>
      <c r="AB29" s="12">
        <v>38580</v>
      </c>
      <c r="AC29" s="26">
        <v>31088</v>
      </c>
      <c r="AD29" s="26">
        <v>20162</v>
      </c>
      <c r="AE29" s="21">
        <f t="shared" si="4"/>
        <v>89830</v>
      </c>
      <c r="AG29" s="219"/>
    </row>
    <row r="30" spans="1:33" ht="17.149999999999999" customHeight="1">
      <c r="A30" s="60">
        <f t="shared" si="2"/>
        <v>44982</v>
      </c>
      <c r="B30" s="10">
        <v>1721</v>
      </c>
      <c r="C30" s="13">
        <v>4333</v>
      </c>
      <c r="D30" s="10">
        <v>12331</v>
      </c>
      <c r="E30" s="10"/>
      <c r="F30" s="10"/>
      <c r="G30" s="10"/>
      <c r="H30" s="10">
        <v>2129</v>
      </c>
      <c r="I30" s="13">
        <v>0</v>
      </c>
      <c r="J30" s="11">
        <v>23986</v>
      </c>
      <c r="K30" s="13"/>
      <c r="L30" s="11"/>
      <c r="M30" s="11"/>
      <c r="N30" s="11"/>
      <c r="O30" s="13"/>
      <c r="P30" s="11"/>
      <c r="Q30" s="11"/>
      <c r="R30" s="11"/>
      <c r="S30" s="11"/>
      <c r="T30" s="11"/>
      <c r="U30" s="11">
        <v>2390</v>
      </c>
      <c r="V30" s="11"/>
      <c r="W30" s="11">
        <v>25731</v>
      </c>
      <c r="X30" s="11">
        <v>1973</v>
      </c>
      <c r="Y30" s="28">
        <f t="shared" si="0"/>
        <v>22487</v>
      </c>
      <c r="Z30" s="22">
        <f t="shared" si="3"/>
        <v>52107</v>
      </c>
      <c r="AA30" s="21">
        <f t="shared" si="1"/>
        <v>74594</v>
      </c>
      <c r="AB30" s="12">
        <v>41827</v>
      </c>
      <c r="AC30" s="11">
        <v>32885</v>
      </c>
      <c r="AD30" s="12">
        <v>22301</v>
      </c>
      <c r="AE30" s="21">
        <f t="shared" si="4"/>
        <v>97013</v>
      </c>
      <c r="AG30" s="219"/>
    </row>
    <row r="31" spans="1:33" ht="17.149999999999999" customHeight="1">
      <c r="A31" s="60">
        <f t="shared" si="2"/>
        <v>44983</v>
      </c>
      <c r="B31" s="25">
        <v>2019</v>
      </c>
      <c r="C31" s="13">
        <v>6424</v>
      </c>
      <c r="D31" s="10">
        <v>12562</v>
      </c>
      <c r="E31" s="10"/>
      <c r="F31" s="10"/>
      <c r="G31" s="10"/>
      <c r="H31" s="10">
        <v>1607</v>
      </c>
      <c r="I31" s="13">
        <v>0</v>
      </c>
      <c r="J31" s="11">
        <v>14470</v>
      </c>
      <c r="K31" s="13"/>
      <c r="L31" s="10"/>
      <c r="M31" s="10"/>
      <c r="N31" s="10"/>
      <c r="O31" s="13"/>
      <c r="P31" s="10"/>
      <c r="Q31" s="10"/>
      <c r="R31" s="10"/>
      <c r="S31" s="10"/>
      <c r="T31" s="10"/>
      <c r="U31" s="10">
        <v>1987</v>
      </c>
      <c r="V31" s="10"/>
      <c r="W31" s="10">
        <v>22438</v>
      </c>
      <c r="X31" s="10">
        <v>3927</v>
      </c>
      <c r="Y31" s="28">
        <f t="shared" si="0"/>
        <v>26539</v>
      </c>
      <c r="Z31" s="22">
        <f t="shared" si="3"/>
        <v>38895</v>
      </c>
      <c r="AA31" s="21">
        <f t="shared" si="1"/>
        <v>65434</v>
      </c>
      <c r="AB31" s="12">
        <v>35303</v>
      </c>
      <c r="AC31" s="10">
        <v>28663</v>
      </c>
      <c r="AD31" s="25">
        <v>14377</v>
      </c>
      <c r="AE31" s="21">
        <f t="shared" si="4"/>
        <v>78343</v>
      </c>
      <c r="AG31" s="219"/>
    </row>
    <row r="32" spans="1:33" ht="17.149999999999999" customHeight="1">
      <c r="A32" s="60">
        <f t="shared" si="2"/>
        <v>44984</v>
      </c>
      <c r="B32" s="10">
        <v>4265</v>
      </c>
      <c r="C32" s="13">
        <v>9453</v>
      </c>
      <c r="D32" s="13">
        <v>23610</v>
      </c>
      <c r="E32" s="10"/>
      <c r="F32" s="13"/>
      <c r="G32" s="12"/>
      <c r="H32" s="12">
        <v>2965</v>
      </c>
      <c r="I32" s="13">
        <v>0</v>
      </c>
      <c r="J32" s="11">
        <v>27685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>
        <v>3718</v>
      </c>
      <c r="V32" s="13"/>
      <c r="W32" s="13">
        <v>42136</v>
      </c>
      <c r="X32" s="26">
        <v>6485</v>
      </c>
      <c r="Y32" s="28">
        <f t="shared" si="0"/>
        <v>46778</v>
      </c>
      <c r="Z32" s="22">
        <f t="shared" si="3"/>
        <v>73539</v>
      </c>
      <c r="AA32" s="21">
        <f t="shared" si="1"/>
        <v>120317</v>
      </c>
      <c r="AB32" s="12">
        <v>46774</v>
      </c>
      <c r="AC32" s="26">
        <v>40564</v>
      </c>
      <c r="AD32" s="26">
        <v>21045</v>
      </c>
      <c r="AE32" s="21">
        <f t="shared" si="4"/>
        <v>108383</v>
      </c>
      <c r="AG32" s="219"/>
    </row>
    <row r="33" spans="1:34" ht="17.149999999999999" customHeight="1">
      <c r="A33" s="60">
        <f t="shared" si="2"/>
        <v>44985</v>
      </c>
      <c r="B33" s="10">
        <v>2496</v>
      </c>
      <c r="C33" s="13">
        <v>8446</v>
      </c>
      <c r="D33" s="54">
        <v>19996</v>
      </c>
      <c r="E33" s="10"/>
      <c r="F33" s="13"/>
      <c r="G33" s="12"/>
      <c r="H33" s="12">
        <v>3518</v>
      </c>
      <c r="I33" s="13">
        <v>0</v>
      </c>
      <c r="J33" s="11">
        <v>21181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>
        <v>1546</v>
      </c>
      <c r="V33" s="13"/>
      <c r="W33" s="13">
        <v>32092</v>
      </c>
      <c r="X33" s="26">
        <v>13404</v>
      </c>
      <c r="Y33" s="28">
        <f t="shared" si="0"/>
        <v>47860</v>
      </c>
      <c r="Z33" s="22">
        <f t="shared" si="3"/>
        <v>54819</v>
      </c>
      <c r="AA33" s="21">
        <f t="shared" si="1"/>
        <v>102679</v>
      </c>
      <c r="AB33" s="12">
        <v>44928</v>
      </c>
      <c r="AC33" s="26">
        <v>41147</v>
      </c>
      <c r="AD33" s="26">
        <v>22362</v>
      </c>
      <c r="AE33" s="21">
        <f t="shared" si="4"/>
        <v>108437</v>
      </c>
      <c r="AG33" s="219"/>
    </row>
    <row r="34" spans="1:34" ht="17.149999999999999" customHeight="1">
      <c r="A34" s="60"/>
      <c r="B34" s="10"/>
      <c r="C34" s="13"/>
      <c r="D34" s="13"/>
      <c r="E34" s="10"/>
      <c r="F34" s="13"/>
      <c r="G34" s="12"/>
      <c r="H34" s="12"/>
      <c r="I34" s="13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25"/>
      <c r="Y34" s="28">
        <f t="shared" si="0"/>
        <v>0</v>
      </c>
      <c r="Z34" s="22">
        <f t="shared" si="3"/>
        <v>0</v>
      </c>
      <c r="AA34" s="21">
        <f t="shared" si="1"/>
        <v>0</v>
      </c>
      <c r="AB34" s="12"/>
      <c r="AC34" s="25"/>
      <c r="AD34" s="25"/>
      <c r="AE34" s="21">
        <f t="shared" si="4"/>
        <v>0</v>
      </c>
      <c r="AG34" s="219"/>
    </row>
    <row r="35" spans="1:34" ht="17.149999999999999" hidden="1" customHeight="1">
      <c r="A35" s="60"/>
      <c r="B35" s="10"/>
      <c r="C35" s="13"/>
      <c r="D35" s="13"/>
      <c r="E35" s="10"/>
      <c r="F35" s="13"/>
      <c r="G35" s="57"/>
      <c r="H35" s="57"/>
      <c r="I35" s="13"/>
      <c r="J35" s="11"/>
      <c r="K35" s="13"/>
      <c r="L35" s="58"/>
      <c r="M35" s="58"/>
      <c r="N35" s="58"/>
      <c r="O35" s="13"/>
      <c r="P35" s="58"/>
      <c r="Q35" s="58"/>
      <c r="R35" s="58"/>
      <c r="S35" s="58"/>
      <c r="T35" s="58"/>
      <c r="U35" s="58"/>
      <c r="V35" s="58"/>
      <c r="W35" s="58"/>
      <c r="X35" s="59"/>
      <c r="Y35" s="28">
        <f t="shared" si="0"/>
        <v>0</v>
      </c>
      <c r="Z35" s="22">
        <f t="shared" si="3"/>
        <v>0</v>
      </c>
      <c r="AA35" s="21">
        <f t="shared" si="1"/>
        <v>0</v>
      </c>
      <c r="AB35" s="12"/>
      <c r="AC35" s="59"/>
      <c r="AD35" s="59"/>
      <c r="AE35" s="21">
        <f t="shared" si="4"/>
        <v>0</v>
      </c>
      <c r="AG35" s="219"/>
    </row>
    <row r="36" spans="1:34" ht="17.149999999999999" hidden="1" customHeight="1">
      <c r="A36" s="61"/>
      <c r="B36" s="56"/>
      <c r="C36" s="58"/>
      <c r="D36" s="58"/>
      <c r="E36" s="56"/>
      <c r="F36" s="58"/>
      <c r="G36" s="57"/>
      <c r="H36" s="57"/>
      <c r="I36" s="58"/>
      <c r="J36" s="11"/>
      <c r="K36" s="13"/>
      <c r="L36" s="58"/>
      <c r="M36" s="58"/>
      <c r="N36" s="58"/>
      <c r="O36" s="13"/>
      <c r="P36" s="58"/>
      <c r="Q36" s="58"/>
      <c r="R36" s="58"/>
      <c r="S36" s="58"/>
      <c r="T36" s="58"/>
      <c r="U36" s="58"/>
      <c r="V36" s="58"/>
      <c r="W36" s="58"/>
      <c r="X36" s="59"/>
      <c r="Y36" s="28">
        <f t="shared" si="0"/>
        <v>0</v>
      </c>
      <c r="Z36" s="22">
        <f t="shared" si="3"/>
        <v>0</v>
      </c>
      <c r="AA36" s="35">
        <f t="shared" si="1"/>
        <v>0</v>
      </c>
      <c r="AB36" s="12"/>
      <c r="AC36" s="59"/>
      <c r="AD36" s="59"/>
      <c r="AE36" s="35">
        <f t="shared" si="4"/>
        <v>0</v>
      </c>
      <c r="AG36" s="219"/>
    </row>
    <row r="37" spans="1:34" s="14" customFormat="1" ht="17.149999999999999" customHeight="1">
      <c r="A37" s="71" t="s">
        <v>38</v>
      </c>
      <c r="B37" s="72">
        <f>SUM(B6:B36)</f>
        <v>50779</v>
      </c>
      <c r="C37" s="72">
        <f>SUM(C6:C36)</f>
        <v>181076</v>
      </c>
      <c r="D37" s="72">
        <f>SUM(D6:D36)</f>
        <v>322351</v>
      </c>
      <c r="E37" s="72"/>
      <c r="F37" s="72"/>
      <c r="G37" s="72"/>
      <c r="H37" s="72">
        <f t="shared" ref="H37:AE37" si="5">SUM(H6:H36)</f>
        <v>67565</v>
      </c>
      <c r="I37" s="72">
        <f>SUM(I6:I36)</f>
        <v>0</v>
      </c>
      <c r="J37" s="73">
        <f>SUM(J6:J36)</f>
        <v>613388</v>
      </c>
      <c r="K37" s="73">
        <f t="shared" si="5"/>
        <v>0</v>
      </c>
      <c r="L37" s="74">
        <f>SUM(L6:L36)</f>
        <v>0</v>
      </c>
      <c r="M37" s="74">
        <f>SUM(M6:M36)</f>
        <v>0</v>
      </c>
      <c r="N37" s="75">
        <f t="shared" si="5"/>
        <v>0</v>
      </c>
      <c r="O37" s="75">
        <f t="shared" si="5"/>
        <v>0</v>
      </c>
      <c r="P37" s="287">
        <f>SUM(P6:P36)</f>
        <v>0</v>
      </c>
      <c r="Q37" s="287">
        <f>SUM(Q6:Q36)</f>
        <v>0</v>
      </c>
      <c r="R37" s="287">
        <f>SUM(R6:R36)</f>
        <v>0</v>
      </c>
      <c r="S37" s="287">
        <f>SUM(S6:S36)</f>
        <v>0</v>
      </c>
      <c r="T37" s="63">
        <f t="shared" si="5"/>
        <v>0</v>
      </c>
      <c r="U37" s="63">
        <f t="shared" si="5"/>
        <v>35182</v>
      </c>
      <c r="V37" s="63">
        <f>SUM(V6:V36)</f>
        <v>0</v>
      </c>
      <c r="W37" s="63">
        <f>SUM(W6:W36)</f>
        <v>931872</v>
      </c>
      <c r="X37" s="76">
        <f>SUM(X6:X36)</f>
        <v>87084</v>
      </c>
      <c r="Y37" s="77">
        <f>SUM(Y6:Y36)</f>
        <v>708855</v>
      </c>
      <c r="Z37" s="78">
        <f>SUM(Z6:Z36)</f>
        <v>1580442</v>
      </c>
      <c r="AA37" s="79">
        <f t="shared" si="5"/>
        <v>2289297</v>
      </c>
      <c r="AB37" s="223">
        <f t="shared" si="5"/>
        <v>1010411</v>
      </c>
      <c r="AC37" s="224">
        <f t="shared" si="5"/>
        <v>941233</v>
      </c>
      <c r="AD37" s="224">
        <f t="shared" si="5"/>
        <v>531195</v>
      </c>
      <c r="AE37" s="225">
        <f t="shared" si="5"/>
        <v>2482839</v>
      </c>
      <c r="AG37" s="234"/>
    </row>
    <row r="38" spans="1:34" s="14" customFormat="1" ht="17.149999999999999" customHeight="1">
      <c r="A38" s="71" t="s">
        <v>86</v>
      </c>
      <c r="B38" s="117">
        <v>50000</v>
      </c>
      <c r="C38" s="72">
        <v>160000</v>
      </c>
      <c r="D38" s="303">
        <v>200000</v>
      </c>
      <c r="E38" s="273"/>
      <c r="F38" s="273"/>
      <c r="G38" s="273"/>
      <c r="H38" s="72">
        <v>70000</v>
      </c>
      <c r="I38" s="129">
        <v>60000</v>
      </c>
      <c r="J38" s="306">
        <v>580000</v>
      </c>
      <c r="K38" s="308"/>
      <c r="L38" s="308"/>
      <c r="M38" s="308"/>
      <c r="N38" s="308"/>
      <c r="O38" s="308"/>
      <c r="P38" s="288"/>
      <c r="Q38" s="288"/>
      <c r="R38" s="288"/>
      <c r="S38" s="288"/>
      <c r="T38" s="253"/>
      <c r="U38" s="253">
        <v>50000</v>
      </c>
      <c r="V38" s="63"/>
      <c r="W38" s="253">
        <v>990000</v>
      </c>
      <c r="X38" s="76">
        <v>70000</v>
      </c>
      <c r="Y38" s="77">
        <f>SUM(B38:H38,X38)</f>
        <v>550000</v>
      </c>
      <c r="Z38" s="78">
        <f t="shared" ref="Z38" si="6">SUM(I38:W38)</f>
        <v>1680000</v>
      </c>
      <c r="AA38" s="79">
        <f>+Y38+Z38</f>
        <v>2230000</v>
      </c>
      <c r="AB38" s="223">
        <v>1000000</v>
      </c>
      <c r="AC38" s="224">
        <v>1000000</v>
      </c>
      <c r="AD38" s="224">
        <v>500000</v>
      </c>
      <c r="AE38" s="225">
        <f>SUM(AB38:AD38)</f>
        <v>2500000</v>
      </c>
      <c r="AG38" s="234"/>
    </row>
    <row r="39" spans="1:34" s="14" customFormat="1" ht="17.149999999999999" customHeight="1" thickBot="1">
      <c r="A39" s="80" t="s">
        <v>144</v>
      </c>
      <c r="B39" s="118">
        <f>SUM(B37)-B38</f>
        <v>779</v>
      </c>
      <c r="C39" s="82">
        <f>C37-C38</f>
        <v>21076</v>
      </c>
      <c r="D39" s="304">
        <f>SUM(D37:G37)-D38</f>
        <v>122351</v>
      </c>
      <c r="E39" s="305"/>
      <c r="F39" s="305"/>
      <c r="G39" s="305"/>
      <c r="H39" s="82">
        <f>+H37-H38</f>
        <v>-2435</v>
      </c>
      <c r="I39" s="118">
        <f>I37-I38</f>
        <v>-60000</v>
      </c>
      <c r="J39" s="307">
        <f>SUM(J37:U37)-J38</f>
        <v>68570</v>
      </c>
      <c r="K39" s="309"/>
      <c r="L39" s="309"/>
      <c r="M39" s="309"/>
      <c r="N39" s="309"/>
      <c r="O39" s="309"/>
      <c r="P39" s="300"/>
      <c r="Q39" s="300"/>
      <c r="R39" s="300"/>
      <c r="S39" s="300"/>
      <c r="T39" s="301"/>
      <c r="U39" s="301">
        <f t="shared" ref="U39:W39" si="7">+U37-U38</f>
        <v>-14818</v>
      </c>
      <c r="V39" s="81">
        <f t="shared" si="7"/>
        <v>0</v>
      </c>
      <c r="W39" s="301">
        <f t="shared" si="7"/>
        <v>-58128</v>
      </c>
      <c r="X39" s="83">
        <f>(X37)-X38</f>
        <v>17084</v>
      </c>
      <c r="Y39" s="84">
        <f>Y37-Y38</f>
        <v>158855</v>
      </c>
      <c r="Z39" s="85">
        <f>Z37-Z38</f>
        <v>-99558</v>
      </c>
      <c r="AA39" s="86">
        <f>AA37-AA38</f>
        <v>59297</v>
      </c>
      <c r="AB39" s="226">
        <f t="shared" ref="AB39:AE39" si="8">AB37-AB38</f>
        <v>10411</v>
      </c>
      <c r="AC39" s="227">
        <f t="shared" si="8"/>
        <v>-58767</v>
      </c>
      <c r="AD39" s="227">
        <f t="shared" si="8"/>
        <v>31195</v>
      </c>
      <c r="AE39" s="228">
        <f t="shared" si="8"/>
        <v>-17161</v>
      </c>
      <c r="AG39" s="234"/>
    </row>
    <row r="40" spans="1:34" ht="17.149999999999999" customHeight="1" thickBot="1">
      <c r="A40" s="40"/>
      <c r="C40" s="7" t="s">
        <v>190</v>
      </c>
      <c r="D40" s="7" t="s">
        <v>191</v>
      </c>
      <c r="AG40" s="219"/>
    </row>
    <row r="41" spans="1:34" ht="17.149999999999999" customHeight="1">
      <c r="A41" s="767" t="s">
        <v>145</v>
      </c>
      <c r="B41" s="768"/>
      <c r="C41" s="36">
        <v>28</v>
      </c>
      <c r="D41" s="36">
        <v>26</v>
      </c>
      <c r="E41" s="229" t="s">
        <v>146</v>
      </c>
      <c r="AG41" s="219"/>
    </row>
    <row r="42" spans="1:34" ht="17.149999999999999" customHeight="1">
      <c r="A42" s="786" t="s">
        <v>147</v>
      </c>
      <c r="B42" s="787"/>
      <c r="C42" s="314">
        <v>28</v>
      </c>
      <c r="D42" s="314">
        <v>26</v>
      </c>
      <c r="E42" s="219" t="s">
        <v>146</v>
      </c>
      <c r="AG42" s="219"/>
    </row>
    <row r="43" spans="1:34" ht="17.149999999999999" customHeight="1" thickBot="1">
      <c r="A43" s="788" t="s">
        <v>148</v>
      </c>
      <c r="B43" s="789"/>
      <c r="C43" s="230">
        <f>+C41-C42</f>
        <v>0</v>
      </c>
      <c r="D43" s="230">
        <f>+D41-D42</f>
        <v>0</v>
      </c>
      <c r="E43" s="231" t="s">
        <v>146</v>
      </c>
      <c r="AG43" s="219"/>
    </row>
    <row r="44" spans="1:34" ht="17.149999999999999" customHeight="1">
      <c r="A44" s="41"/>
      <c r="AG44" s="219"/>
    </row>
    <row r="45" spans="1:34" ht="17.149999999999999" customHeight="1">
      <c r="A45" s="42" t="s">
        <v>149</v>
      </c>
      <c r="AG45" s="219"/>
    </row>
    <row r="46" spans="1:34" ht="17.149999999999999" customHeight="1">
      <c r="A46" s="232" t="s">
        <v>72</v>
      </c>
      <c r="B46" s="233" t="s">
        <v>86</v>
      </c>
      <c r="C46" s="233" t="s">
        <v>99</v>
      </c>
      <c r="D46" s="233" t="s">
        <v>84</v>
      </c>
      <c r="AE46" s="259"/>
      <c r="AF46" s="259"/>
      <c r="AG46" s="234"/>
    </row>
    <row r="47" spans="1:34" ht="17.149999999999999" customHeight="1">
      <c r="A47" s="232" t="s">
        <v>39</v>
      </c>
      <c r="B47" s="233">
        <f>B38/$C$41*$C$42</f>
        <v>50000</v>
      </c>
      <c r="C47" s="233">
        <f>SUM(B37:B37)</f>
        <v>50779</v>
      </c>
      <c r="D47" s="233">
        <f t="shared" ref="D47:D59" si="9">+C47-B47</f>
        <v>779</v>
      </c>
      <c r="Q47" s="23"/>
      <c r="X47" s="23"/>
      <c r="Y47" s="23"/>
      <c r="Z47" s="23"/>
      <c r="AA47" s="23"/>
      <c r="AB47" s="23"/>
      <c r="AC47" s="23"/>
      <c r="AG47" s="219"/>
    </row>
    <row r="48" spans="1:34" ht="17.149999999999999" customHeight="1">
      <c r="A48" s="232" t="s">
        <v>40</v>
      </c>
      <c r="B48" s="233">
        <f>(C38/$C$41)*$C$42</f>
        <v>160000</v>
      </c>
      <c r="C48" s="233">
        <f>SUM(C37:C37)</f>
        <v>181076</v>
      </c>
      <c r="D48" s="233">
        <f t="shared" si="9"/>
        <v>21076</v>
      </c>
      <c r="L48" s="9"/>
      <c r="M48" s="9"/>
      <c r="N48" s="9"/>
      <c r="O48" s="9"/>
      <c r="P48" s="9"/>
      <c r="Q48" s="790"/>
      <c r="R48" s="790"/>
      <c r="S48" s="790"/>
      <c r="T48" s="790"/>
      <c r="U48" s="790"/>
      <c r="V48" s="790"/>
      <c r="W48" s="790"/>
      <c r="X48" s="790"/>
      <c r="Y48" s="790"/>
      <c r="Z48" s="790"/>
      <c r="AA48" s="790"/>
      <c r="AB48" s="790"/>
      <c r="AC48" s="790"/>
      <c r="AD48" s="235"/>
      <c r="AE48" s="235"/>
      <c r="AF48" s="235"/>
      <c r="AG48" s="236"/>
      <c r="AH48" s="235"/>
    </row>
    <row r="49" spans="1:33" ht="17.149999999999999" customHeight="1">
      <c r="A49" s="232" t="s">
        <v>150</v>
      </c>
      <c r="B49" s="233">
        <f>+(D38/$C$41)*$C$42</f>
        <v>200000</v>
      </c>
      <c r="C49" s="233">
        <f>SUM(D37:G37)</f>
        <v>322351</v>
      </c>
      <c r="D49" s="233">
        <f t="shared" si="9"/>
        <v>122351</v>
      </c>
      <c r="AG49" s="219"/>
    </row>
    <row r="50" spans="1:33" ht="17.149999999999999" customHeight="1">
      <c r="A50" s="232" t="s">
        <v>87</v>
      </c>
      <c r="B50" s="233">
        <f>+(H38/$C$41)*$C$42</f>
        <v>70000</v>
      </c>
      <c r="C50" s="233">
        <f>SUM(H37)</f>
        <v>67565</v>
      </c>
      <c r="D50" s="233">
        <f t="shared" si="9"/>
        <v>-2435</v>
      </c>
      <c r="AG50" s="219"/>
    </row>
    <row r="51" spans="1:33" ht="17.149999999999999" customHeight="1">
      <c r="A51" s="250" t="s">
        <v>182</v>
      </c>
      <c r="B51" s="251">
        <f>+(I38/$C$41)*$C$42</f>
        <v>59999.999999999993</v>
      </c>
      <c r="C51" s="251">
        <f>+I37</f>
        <v>0</v>
      </c>
      <c r="D51" s="251">
        <f t="shared" si="9"/>
        <v>-59999.999999999993</v>
      </c>
      <c r="AG51" s="219"/>
    </row>
    <row r="52" spans="1:33" ht="17.149999999999999" customHeight="1">
      <c r="A52" s="232" t="s">
        <v>43</v>
      </c>
      <c r="B52" s="233">
        <f>+(X38/$C$41)*$C$42</f>
        <v>70000</v>
      </c>
      <c r="C52" s="233">
        <f>+X37</f>
        <v>87084</v>
      </c>
      <c r="D52" s="233">
        <f t="shared" si="9"/>
        <v>17084</v>
      </c>
      <c r="R52" s="9"/>
      <c r="S52" s="9"/>
      <c r="T52" s="9"/>
      <c r="U52" s="9"/>
      <c r="V52" s="9"/>
      <c r="AG52" s="219"/>
    </row>
    <row r="53" spans="1:33" ht="17.149999999999999" customHeight="1">
      <c r="A53" s="87" t="s">
        <v>151</v>
      </c>
      <c r="B53" s="237">
        <f>SUM(B47:B52)</f>
        <v>610000</v>
      </c>
      <c r="C53" s="237">
        <f>SUM(C47:C52)</f>
        <v>708855</v>
      </c>
      <c r="D53" s="237">
        <f t="shared" si="9"/>
        <v>98855</v>
      </c>
      <c r="R53" s="9"/>
      <c r="S53" s="9"/>
      <c r="T53" s="9"/>
      <c r="U53" s="9"/>
      <c r="V53" s="9"/>
      <c r="AG53" s="219"/>
    </row>
    <row r="54" spans="1:33" ht="17.149999999999999" customHeight="1">
      <c r="A54" s="232" t="s">
        <v>91</v>
      </c>
      <c r="B54" s="233">
        <f>+(J38/$C$41)*$C$42</f>
        <v>580000</v>
      </c>
      <c r="C54" s="233">
        <f>SUM(J37:S37)</f>
        <v>613388</v>
      </c>
      <c r="D54" s="233">
        <f t="shared" si="9"/>
        <v>33388</v>
      </c>
      <c r="R54" s="9"/>
      <c r="S54" s="9"/>
      <c r="T54" s="9"/>
      <c r="U54" s="9"/>
      <c r="V54" s="9"/>
      <c r="AG54" s="219"/>
    </row>
    <row r="55" spans="1:33" ht="17.149999999999999" customHeight="1">
      <c r="A55" s="232" t="s">
        <v>92</v>
      </c>
      <c r="B55" s="233">
        <f>+(U38/$C$41)*$C$42</f>
        <v>50000</v>
      </c>
      <c r="C55" s="233">
        <f>+U37</f>
        <v>35182</v>
      </c>
      <c r="D55" s="233">
        <f t="shared" si="9"/>
        <v>-14818</v>
      </c>
      <c r="R55" s="9"/>
      <c r="S55" s="9"/>
      <c r="T55" s="9"/>
      <c r="U55" s="9"/>
      <c r="V55" s="9"/>
      <c r="AG55" s="219"/>
    </row>
    <row r="56" spans="1:33" ht="17.149999999999999" customHeight="1">
      <c r="A56" s="232" t="s">
        <v>188</v>
      </c>
      <c r="B56" s="233"/>
      <c r="C56" s="233"/>
      <c r="D56" s="233"/>
      <c r="R56" s="9"/>
      <c r="S56" s="9"/>
      <c r="T56" s="9"/>
      <c r="U56" s="9"/>
      <c r="V56" s="9"/>
      <c r="AG56" s="219"/>
    </row>
    <row r="57" spans="1:33" ht="17.149999999999999" customHeight="1">
      <c r="A57" s="232" t="s">
        <v>93</v>
      </c>
      <c r="B57" s="233">
        <f>+(W38/$C$41)*$C$42</f>
        <v>990000</v>
      </c>
      <c r="C57" s="233">
        <f>+W37</f>
        <v>931872</v>
      </c>
      <c r="D57" s="233">
        <f t="shared" si="9"/>
        <v>-58128</v>
      </c>
      <c r="AG57" s="219"/>
    </row>
    <row r="58" spans="1:33" ht="17.149999999999999" customHeight="1">
      <c r="A58" s="87" t="s">
        <v>152</v>
      </c>
      <c r="B58" s="237">
        <f>SUM(B54:B57)</f>
        <v>1620000</v>
      </c>
      <c r="C58" s="237">
        <f>SUM(C54:C57)</f>
        <v>1580442</v>
      </c>
      <c r="D58" s="237">
        <f t="shared" si="9"/>
        <v>-39558</v>
      </c>
      <c r="AG58" s="219"/>
    </row>
    <row r="59" spans="1:33" ht="17.149999999999999" customHeight="1">
      <c r="A59" s="87" t="s">
        <v>94</v>
      </c>
      <c r="B59" s="237">
        <f>SUM(B53,B58)</f>
        <v>2230000</v>
      </c>
      <c r="C59" s="237">
        <f>SUM(C53,C58)</f>
        <v>2289297</v>
      </c>
      <c r="D59" s="237">
        <f t="shared" si="9"/>
        <v>59297</v>
      </c>
      <c r="AG59" s="219"/>
    </row>
    <row r="60" spans="1:33" ht="17.149999999999999" customHeight="1">
      <c r="A60" s="40"/>
      <c r="AG60" s="219"/>
    </row>
    <row r="61" spans="1:33" ht="17.149999999999999" customHeight="1">
      <c r="A61" s="42" t="s">
        <v>153</v>
      </c>
      <c r="AG61" s="219"/>
    </row>
    <row r="62" spans="1:33" ht="17.149999999999999" customHeight="1">
      <c r="A62" s="232" t="s">
        <v>154</v>
      </c>
      <c r="B62" s="233" t="s">
        <v>86</v>
      </c>
      <c r="C62" s="233" t="s">
        <v>99</v>
      </c>
      <c r="D62" s="233" t="s">
        <v>84</v>
      </c>
      <c r="AG62" s="219"/>
    </row>
    <row r="63" spans="1:33" ht="17.149999999999999" customHeight="1">
      <c r="A63" s="232" t="s">
        <v>51</v>
      </c>
      <c r="B63" s="233">
        <f>SUM(B47:B51)</f>
        <v>540000</v>
      </c>
      <c r="C63" s="233">
        <f>SUM(C47:C51)</f>
        <v>621771</v>
      </c>
      <c r="D63" s="233">
        <f>+C63-B63</f>
        <v>81771</v>
      </c>
      <c r="AG63" s="219"/>
    </row>
    <row r="64" spans="1:33" ht="17.149999999999999" customHeight="1">
      <c r="A64" s="232" t="s">
        <v>50</v>
      </c>
      <c r="B64" s="233">
        <f>SUM(B55:B57)</f>
        <v>1040000</v>
      </c>
      <c r="C64" s="233">
        <f>SUM(C55:C57)</f>
        <v>967054</v>
      </c>
      <c r="D64" s="233">
        <f>+C64-B64</f>
        <v>-72946</v>
      </c>
      <c r="AG64" s="219"/>
    </row>
    <row r="65" spans="1:47" ht="17.149999999999999" customHeight="1">
      <c r="A65" s="232" t="s">
        <v>120</v>
      </c>
      <c r="B65" s="233">
        <f>B54</f>
        <v>580000</v>
      </c>
      <c r="C65" s="233">
        <f>C54</f>
        <v>613388</v>
      </c>
      <c r="D65" s="233">
        <f>+C65-B65</f>
        <v>33388</v>
      </c>
      <c r="AG65" s="219"/>
      <c r="AS65" s="30"/>
      <c r="AT65" s="238"/>
      <c r="AU65" s="239"/>
    </row>
    <row r="66" spans="1:47" ht="17.149999999999999" customHeight="1">
      <c r="A66" s="232" t="s">
        <v>55</v>
      </c>
      <c r="B66" s="233">
        <f>SUM(B52)</f>
        <v>70000</v>
      </c>
      <c r="C66" s="233">
        <f>SUM(C52)</f>
        <v>87084</v>
      </c>
      <c r="D66" s="233">
        <f>+C66-B66</f>
        <v>17084</v>
      </c>
      <c r="AG66" s="219"/>
      <c r="AS66" s="31"/>
      <c r="AT66" s="238"/>
      <c r="AU66" s="239"/>
    </row>
    <row r="67" spans="1:47" ht="17.149999999999999" customHeight="1">
      <c r="A67" s="87" t="s">
        <v>62</v>
      </c>
      <c r="B67" s="237">
        <f>SUM(B63:B66)</f>
        <v>2230000</v>
      </c>
      <c r="C67" s="237">
        <f>SUM(C63:C66)</f>
        <v>2289297</v>
      </c>
      <c r="D67" s="237">
        <f>+C67-B67</f>
        <v>59297</v>
      </c>
      <c r="AG67" s="219"/>
      <c r="AS67" s="240"/>
      <c r="AT67" s="238"/>
      <c r="AU67" s="239"/>
    </row>
    <row r="68" spans="1:47" ht="17.149999999999999" customHeight="1">
      <c r="A68" s="40"/>
      <c r="AG68" s="219"/>
      <c r="AS68" s="241"/>
      <c r="AT68" s="241"/>
      <c r="AU68" s="239"/>
    </row>
    <row r="69" spans="1:47" ht="17.149999999999999" customHeight="1">
      <c r="A69" s="42" t="s">
        <v>155</v>
      </c>
      <c r="AG69" s="219"/>
      <c r="AS69" s="242"/>
      <c r="AT69" s="238"/>
      <c r="AU69" s="239"/>
    </row>
    <row r="70" spans="1:47" ht="15" customHeight="1">
      <c r="A70" s="232" t="s">
        <v>154</v>
      </c>
      <c r="B70" s="233" t="s">
        <v>86</v>
      </c>
      <c r="C70" s="233" t="s">
        <v>99</v>
      </c>
      <c r="D70" s="233" t="s">
        <v>84</v>
      </c>
      <c r="E70" s="243"/>
      <c r="AG70" s="219"/>
    </row>
    <row r="71" spans="1:47" ht="15" customHeight="1">
      <c r="A71" s="232" t="s">
        <v>136</v>
      </c>
      <c r="B71" s="233">
        <f>+(AB38/$D$41)*$D$42</f>
        <v>1000000</v>
      </c>
      <c r="C71" s="233">
        <f>+AB37</f>
        <v>1010411</v>
      </c>
      <c r="D71" s="233">
        <f>+C71-B71</f>
        <v>10411</v>
      </c>
      <c r="E71" s="243"/>
      <c r="AG71" s="219"/>
    </row>
    <row r="72" spans="1:47" ht="15" customHeight="1">
      <c r="A72" s="232" t="s">
        <v>137</v>
      </c>
      <c r="B72" s="233">
        <f>+(AC38/$D$41)*$D$42</f>
        <v>1000000</v>
      </c>
      <c r="C72" s="233">
        <f>+AC37</f>
        <v>941233</v>
      </c>
      <c r="D72" s="233">
        <f>+C72-B72</f>
        <v>-58767</v>
      </c>
      <c r="E72" s="243"/>
      <c r="AG72" s="219"/>
    </row>
    <row r="73" spans="1:47" ht="15" customHeight="1">
      <c r="A73" s="232" t="s">
        <v>53</v>
      </c>
      <c r="B73" s="233">
        <f>+(AD38/$D$41)*$D$42</f>
        <v>500000</v>
      </c>
      <c r="C73" s="233">
        <f>+AD37</f>
        <v>531195</v>
      </c>
      <c r="D73" s="233">
        <f>+C73-B73</f>
        <v>31195</v>
      </c>
      <c r="E73" s="243"/>
      <c r="AG73" s="219"/>
    </row>
    <row r="74" spans="1:47" ht="15" customHeight="1">
      <c r="A74" s="87" t="s">
        <v>62</v>
      </c>
      <c r="B74" s="237">
        <f>SUM(B71:B73)</f>
        <v>2500000</v>
      </c>
      <c r="C74" s="237">
        <f>SUM(C71:C73)</f>
        <v>2482839</v>
      </c>
      <c r="D74" s="237">
        <f>+C74-B74</f>
        <v>-17161</v>
      </c>
      <c r="E74" s="243"/>
      <c r="Y74" s="29"/>
      <c r="Z74" s="29"/>
      <c r="AA74" s="29"/>
      <c r="AB74" s="29"/>
      <c r="AC74" s="29"/>
      <c r="AE74" s="244"/>
      <c r="AF74" s="244"/>
      <c r="AG74" s="219"/>
    </row>
    <row r="75" spans="1:47" ht="13" thickBot="1">
      <c r="A75" s="245"/>
      <c r="B75" s="246"/>
      <c r="C75" s="246"/>
      <c r="D75" s="246"/>
      <c r="E75" s="246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247"/>
      <c r="Z75" s="247"/>
      <c r="AA75" s="247"/>
      <c r="AB75" s="247"/>
      <c r="AC75" s="247"/>
      <c r="AD75" s="55"/>
      <c r="AE75" s="248"/>
      <c r="AF75" s="248"/>
      <c r="AG75" s="231"/>
    </row>
    <row r="76" spans="1:47" s="9" customFormat="1" ht="13">
      <c r="A76" s="249"/>
      <c r="B76" s="243"/>
      <c r="C76" s="24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29"/>
      <c r="Z76" s="29"/>
      <c r="AA76" s="29"/>
      <c r="AB76" s="29"/>
      <c r="AC76" s="29"/>
      <c r="AD76" s="7"/>
    </row>
    <row r="77" spans="1:47">
      <c r="Y77" s="29"/>
      <c r="Z77" s="29"/>
      <c r="AA77" s="29"/>
      <c r="AB77" s="29"/>
      <c r="AC77" s="29"/>
      <c r="AE77" s="244"/>
      <c r="AF77" s="244"/>
    </row>
    <row r="78" spans="1:47">
      <c r="Y78" s="29"/>
      <c r="Z78" s="29"/>
      <c r="AA78" s="29"/>
      <c r="AB78" s="29"/>
      <c r="AC78" s="29"/>
      <c r="AE78" s="244"/>
      <c r="AF78" s="244"/>
    </row>
    <row r="79" spans="1:47">
      <c r="Y79" s="29"/>
      <c r="Z79" s="29"/>
      <c r="AA79" s="29"/>
      <c r="AB79" s="29"/>
      <c r="AC79" s="29"/>
      <c r="AE79" s="244"/>
      <c r="AF79" s="244"/>
    </row>
    <row r="80" spans="1:47">
      <c r="AE80" s="244"/>
      <c r="AF80" s="244"/>
    </row>
    <row r="81" spans="31:32">
      <c r="AE81" s="244"/>
      <c r="AF81" s="244"/>
    </row>
    <row r="82" spans="31:32">
      <c r="AE82" s="244"/>
      <c r="AF82" s="244"/>
    </row>
    <row r="83" spans="31:32">
      <c r="AE83" s="244"/>
      <c r="AF83" s="244"/>
    </row>
    <row r="84" spans="31:32">
      <c r="AE84" s="244"/>
      <c r="AF84" s="244"/>
    </row>
  </sheetData>
  <mergeCells count="22">
    <mergeCell ref="A42:B42"/>
    <mergeCell ref="R4:S4"/>
    <mergeCell ref="B5:H5"/>
    <mergeCell ref="A43:B43"/>
    <mergeCell ref="Q48:AC48"/>
    <mergeCell ref="T5:W5"/>
    <mergeCell ref="A41:B41"/>
    <mergeCell ref="P5:Q5"/>
    <mergeCell ref="R5:S5"/>
    <mergeCell ref="A1:AG1"/>
    <mergeCell ref="A3:A5"/>
    <mergeCell ref="D3:H3"/>
    <mergeCell ref="I3:W3"/>
    <mergeCell ref="X3:X4"/>
    <mergeCell ref="Y3:Y5"/>
    <mergeCell ref="Z3:Z5"/>
    <mergeCell ref="AA3:AA5"/>
    <mergeCell ref="AB3:AB5"/>
    <mergeCell ref="AC3:AC5"/>
    <mergeCell ref="AD3:AD5"/>
    <mergeCell ref="AE3:AE5"/>
    <mergeCell ref="J4:O4"/>
  </mergeCells>
  <printOptions horizontalCentered="1"/>
  <pageMargins left="0" right="0" top="0" bottom="0" header="0" footer="0"/>
  <pageSetup paperSize="9" scale="45" orientation="landscape" r:id="rId1"/>
  <headerFooter alignWithMargins="0"/>
  <ignoredErrors>
    <ignoredError sqref="Y37:AE39" formula="1"/>
    <ignoredError sqref="Y6:AA33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0DB7E-1636-4AF2-A151-18A3594D9035}">
  <sheetPr>
    <tabColor rgb="FF92D050"/>
    <pageSetUpPr fitToPage="1"/>
  </sheetPr>
  <dimension ref="A1:AW85"/>
  <sheetViews>
    <sheetView showGridLines="0" view="pageBreakPreview" zoomScale="70" zoomScaleSheetLayoutView="70" workbookViewId="0">
      <pane xSplit="1" ySplit="6" topLeftCell="B40" activePane="bottomRight" state="frozen"/>
      <selection sqref="A1:AH2"/>
      <selection pane="topRight" sqref="A1:AH2"/>
      <selection pane="bottomLeft" sqref="A1:AH2"/>
      <selection pane="bottomRight" sqref="A1:AH2"/>
    </sheetView>
  </sheetViews>
  <sheetFormatPr defaultColWidth="8.81640625" defaultRowHeight="12.5"/>
  <cols>
    <col min="1" max="1" width="10.1796875" style="8" customWidth="1"/>
    <col min="2" max="2" width="10.81640625" style="7" bestFit="1" customWidth="1"/>
    <col min="3" max="3" width="12.1796875" style="7" bestFit="1" customWidth="1"/>
    <col min="4" max="7" width="10.453125" style="7" customWidth="1"/>
    <col min="8" max="8" width="12" style="7" bestFit="1" customWidth="1"/>
    <col min="9" max="11" width="10.453125" style="7" customWidth="1"/>
    <col min="12" max="12" width="11.1796875" style="7" customWidth="1"/>
    <col min="13" max="21" width="10.453125" style="7" customWidth="1"/>
    <col min="22" max="22" width="12" style="7" bestFit="1" customWidth="1"/>
    <col min="23" max="23" width="13" style="7" bestFit="1" customWidth="1"/>
    <col min="24" max="24" width="10.453125" style="7" customWidth="1"/>
    <col min="25" max="25" width="12.453125" style="7" bestFit="1" customWidth="1"/>
    <col min="26" max="27" width="14.453125" style="7" bestFit="1" customWidth="1"/>
    <col min="28" max="28" width="13" style="7" bestFit="1" customWidth="1"/>
    <col min="29" max="29" width="13.453125" style="7" bestFit="1" customWidth="1"/>
    <col min="30" max="30" width="12.453125" style="7" bestFit="1" customWidth="1"/>
    <col min="31" max="31" width="14" style="7" customWidth="1"/>
    <col min="32" max="33" width="11.26953125" style="7" customWidth="1"/>
    <col min="34" max="35" width="0.81640625" style="7" customWidth="1"/>
    <col min="36" max="36" width="11.7265625" style="7" customWidth="1"/>
    <col min="37" max="38" width="8.81640625" style="7"/>
    <col min="39" max="47" width="11.81640625" style="7" customWidth="1"/>
    <col min="48" max="16384" width="8.81640625" style="7"/>
  </cols>
  <sheetData>
    <row r="1" spans="1:35" ht="35.15" customHeight="1">
      <c r="A1" s="761">
        <f>+A7</f>
        <v>44743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2"/>
      <c r="AH1" s="762"/>
      <c r="AI1" s="763"/>
    </row>
    <row r="2" spans="1:35" ht="25" customHeight="1" thickBot="1">
      <c r="A2" s="40"/>
      <c r="AI2" s="220" t="s">
        <v>127</v>
      </c>
    </row>
    <row r="3" spans="1:35" ht="17.149999999999999" customHeight="1">
      <c r="A3" s="764" t="s">
        <v>128</v>
      </c>
      <c r="B3" s="114" t="s">
        <v>129</v>
      </c>
      <c r="C3" s="271" t="s">
        <v>130</v>
      </c>
      <c r="D3" s="797"/>
      <c r="E3" s="797"/>
      <c r="F3" s="797"/>
      <c r="G3" s="797"/>
      <c r="H3" s="798"/>
      <c r="I3" s="114" t="s">
        <v>132</v>
      </c>
      <c r="J3" s="799" t="s">
        <v>42</v>
      </c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172</v>
      </c>
      <c r="Z3" s="769" t="s">
        <v>173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5" s="9" customFormat="1" ht="17.149999999999999" customHeight="1">
      <c r="A4" s="765"/>
      <c r="B4" s="115" t="s">
        <v>139</v>
      </c>
      <c r="C4" s="62" t="s">
        <v>69</v>
      </c>
      <c r="D4" s="116" t="s">
        <v>140</v>
      </c>
      <c r="E4" s="64" t="s">
        <v>49</v>
      </c>
      <c r="F4" s="62" t="s">
        <v>141</v>
      </c>
      <c r="G4" s="62" t="s">
        <v>142</v>
      </c>
      <c r="H4" s="116" t="s">
        <v>46</v>
      </c>
      <c r="I4" s="115" t="s">
        <v>88</v>
      </c>
      <c r="J4" s="777" t="s">
        <v>47</v>
      </c>
      <c r="K4" s="782"/>
      <c r="L4" s="782"/>
      <c r="M4" s="778"/>
      <c r="N4" s="777" t="s">
        <v>48</v>
      </c>
      <c r="O4" s="782"/>
      <c r="P4" s="782"/>
      <c r="Q4" s="782"/>
      <c r="R4" s="782"/>
      <c r="S4" s="778"/>
      <c r="T4" s="777" t="s">
        <v>143</v>
      </c>
      <c r="U4" s="778"/>
      <c r="V4" s="254" t="s">
        <v>48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5" ht="30" customHeight="1">
      <c r="A5" s="765"/>
      <c r="B5" s="130" t="s">
        <v>51</v>
      </c>
      <c r="C5" s="130" t="s">
        <v>51</v>
      </c>
      <c r="D5" s="802" t="s">
        <v>51</v>
      </c>
      <c r="E5" s="803"/>
      <c r="F5" s="803"/>
      <c r="G5" s="803"/>
      <c r="H5" s="803"/>
      <c r="I5" s="127" t="s">
        <v>51</v>
      </c>
      <c r="J5" s="818" t="s">
        <v>52</v>
      </c>
      <c r="K5" s="819"/>
      <c r="L5" s="820" t="s">
        <v>53</v>
      </c>
      <c r="M5" s="821"/>
      <c r="N5" s="822" t="s">
        <v>52</v>
      </c>
      <c r="O5" s="823"/>
      <c r="P5" s="820" t="s">
        <v>53</v>
      </c>
      <c r="Q5" s="821"/>
      <c r="R5" s="824" t="s">
        <v>54</v>
      </c>
      <c r="S5" s="825"/>
      <c r="T5" s="824" t="s">
        <v>54</v>
      </c>
      <c r="U5" s="825"/>
      <c r="V5" s="804" t="s">
        <v>50</v>
      </c>
      <c r="W5" s="805"/>
      <c r="X5" s="49" t="s">
        <v>55</v>
      </c>
      <c r="Y5" s="792"/>
      <c r="Z5" s="770"/>
      <c r="AA5" s="773"/>
      <c r="AB5" s="756"/>
      <c r="AC5" s="756"/>
      <c r="AD5" s="756"/>
      <c r="AE5" s="759"/>
      <c r="AG5" s="219"/>
    </row>
    <row r="6" spans="1:35" ht="17.149999999999999" customHeight="1" thickBot="1">
      <c r="A6" s="766"/>
      <c r="B6" s="131" t="s">
        <v>124</v>
      </c>
      <c r="C6" s="128" t="s">
        <v>124</v>
      </c>
      <c r="D6" s="806" t="s">
        <v>124</v>
      </c>
      <c r="E6" s="806"/>
      <c r="F6" s="806"/>
      <c r="G6" s="806"/>
      <c r="H6" s="807"/>
      <c r="I6" s="128" t="s">
        <v>124</v>
      </c>
      <c r="J6" s="65" t="s">
        <v>124</v>
      </c>
      <c r="K6" s="66" t="s">
        <v>123</v>
      </c>
      <c r="L6" s="67" t="s">
        <v>124</v>
      </c>
      <c r="M6" s="68" t="s">
        <v>123</v>
      </c>
      <c r="N6" s="65" t="s">
        <v>124</v>
      </c>
      <c r="O6" s="66" t="s">
        <v>123</v>
      </c>
      <c r="P6" s="67" t="s">
        <v>124</v>
      </c>
      <c r="Q6" s="68" t="s">
        <v>123</v>
      </c>
      <c r="R6" s="69" t="s">
        <v>124</v>
      </c>
      <c r="S6" s="69" t="s">
        <v>123</v>
      </c>
      <c r="T6" s="69" t="s">
        <v>124</v>
      </c>
      <c r="U6" s="69" t="s">
        <v>123</v>
      </c>
      <c r="V6" s="252" t="s">
        <v>124</v>
      </c>
      <c r="W6" s="252" t="s">
        <v>124</v>
      </c>
      <c r="X6" s="70" t="s">
        <v>124</v>
      </c>
      <c r="Y6" s="793"/>
      <c r="Z6" s="771"/>
      <c r="AA6" s="774"/>
      <c r="AB6" s="757"/>
      <c r="AC6" s="757"/>
      <c r="AD6" s="757"/>
      <c r="AE6" s="760"/>
      <c r="AG6" s="219"/>
    </row>
    <row r="7" spans="1:35" ht="17.149999999999999" customHeight="1">
      <c r="A7" s="124">
        <v>44743</v>
      </c>
      <c r="B7" s="123"/>
      <c r="C7" s="121"/>
      <c r="D7" s="122"/>
      <c r="E7" s="123"/>
      <c r="F7" s="121"/>
      <c r="G7" s="122"/>
      <c r="H7" s="122"/>
      <c r="I7" s="121"/>
      <c r="J7" s="119"/>
      <c r="K7" s="120"/>
      <c r="L7" s="121"/>
      <c r="M7" s="119"/>
      <c r="N7" s="122"/>
      <c r="O7" s="122"/>
      <c r="P7" s="121"/>
      <c r="Q7" s="119"/>
      <c r="R7" s="121"/>
      <c r="S7" s="121"/>
      <c r="T7" s="121"/>
      <c r="U7" s="121"/>
      <c r="V7" s="121"/>
      <c r="W7" s="119"/>
      <c r="X7" s="120"/>
      <c r="Y7" s="125">
        <f>SUM(B7,C7,D7,E7,F7,G7,H7,I7,K7,M7,S7,O7,Q7,U7,X7)</f>
        <v>0</v>
      </c>
      <c r="Z7" s="125">
        <f>SUM(J7,L7,V7,N7,P7,T7,R7,W7)</f>
        <v>0</v>
      </c>
      <c r="AA7" s="126">
        <f t="shared" ref="AA7" si="0">SUM(B7:X7)</f>
        <v>0</v>
      </c>
      <c r="AB7" s="221"/>
      <c r="AC7" s="106"/>
      <c r="AD7" s="106"/>
      <c r="AE7" s="222">
        <f>SUM(AB7:AD7)</f>
        <v>0</v>
      </c>
      <c r="AG7" s="219"/>
    </row>
    <row r="8" spans="1:35" ht="17.149999999999999" customHeight="1">
      <c r="A8" s="60">
        <f t="shared" ref="A8:A37" si="1">+A7+1</f>
        <v>44744</v>
      </c>
      <c r="B8" s="10"/>
      <c r="C8" s="13"/>
      <c r="D8" s="12"/>
      <c r="E8" s="10"/>
      <c r="F8" s="13"/>
      <c r="G8" s="12"/>
      <c r="H8" s="12"/>
      <c r="I8" s="13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25"/>
      <c r="Y8" s="125">
        <f t="shared" ref="Y8:Y37" si="2">SUM(B8,C8,D8,E8,F8,G8,H8,I8,K8,M8,S8,O8,Q8,U8,X8)</f>
        <v>0</v>
      </c>
      <c r="Z8" s="22">
        <f t="shared" ref="Z8:Z37" si="3">SUM(J8,L8,V8,N8,P8,T8,R8,W8)</f>
        <v>0</v>
      </c>
      <c r="AA8" s="21">
        <f t="shared" ref="AA8:AA37" si="4">SUM(B8:X8)</f>
        <v>0</v>
      </c>
      <c r="AB8" s="12"/>
      <c r="AC8" s="25"/>
      <c r="AD8" s="25"/>
      <c r="AE8" s="21">
        <f t="shared" ref="AE8:AE37" si="5">SUM(AB8:AD8)</f>
        <v>0</v>
      </c>
      <c r="AG8" s="219"/>
    </row>
    <row r="9" spans="1:35" ht="17.149999999999999" customHeight="1">
      <c r="A9" s="60">
        <f t="shared" si="1"/>
        <v>44745</v>
      </c>
      <c r="B9" s="10"/>
      <c r="C9" s="13"/>
      <c r="D9" s="12"/>
      <c r="E9" s="10"/>
      <c r="F9" s="13"/>
      <c r="G9" s="12"/>
      <c r="H9" s="12"/>
      <c r="I9" s="13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26"/>
      <c r="Y9" s="125">
        <f t="shared" si="2"/>
        <v>0</v>
      </c>
      <c r="Z9" s="22">
        <f t="shared" si="3"/>
        <v>0</v>
      </c>
      <c r="AA9" s="21">
        <f t="shared" si="4"/>
        <v>0</v>
      </c>
      <c r="AB9" s="12"/>
      <c r="AC9" s="26"/>
      <c r="AD9" s="26"/>
      <c r="AE9" s="21">
        <f t="shared" si="5"/>
        <v>0</v>
      </c>
      <c r="AG9" s="219"/>
    </row>
    <row r="10" spans="1:35" ht="17.149999999999999" customHeight="1">
      <c r="A10" s="60">
        <f t="shared" si="1"/>
        <v>44746</v>
      </c>
      <c r="B10" s="10"/>
      <c r="C10" s="13"/>
      <c r="D10" s="12"/>
      <c r="E10" s="10"/>
      <c r="F10" s="13"/>
      <c r="G10" s="12"/>
      <c r="H10" s="12"/>
      <c r="I10" s="13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26"/>
      <c r="Y10" s="125">
        <f t="shared" si="2"/>
        <v>0</v>
      </c>
      <c r="Z10" s="22">
        <f t="shared" si="3"/>
        <v>0</v>
      </c>
      <c r="AA10" s="21">
        <f t="shared" si="4"/>
        <v>0</v>
      </c>
      <c r="AB10" s="12"/>
      <c r="AC10" s="26"/>
      <c r="AD10" s="26"/>
      <c r="AE10" s="21">
        <f t="shared" si="5"/>
        <v>0</v>
      </c>
      <c r="AG10" s="219"/>
    </row>
    <row r="11" spans="1:35" ht="17.149999999999999" customHeight="1">
      <c r="A11" s="60">
        <f t="shared" si="1"/>
        <v>44747</v>
      </c>
      <c r="B11" s="10"/>
      <c r="C11" s="13"/>
      <c r="D11" s="12"/>
      <c r="E11" s="10"/>
      <c r="F11" s="13"/>
      <c r="G11" s="12"/>
      <c r="H11" s="12"/>
      <c r="I11" s="13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26"/>
      <c r="Y11" s="125">
        <f t="shared" si="2"/>
        <v>0</v>
      </c>
      <c r="Z11" s="22">
        <f t="shared" si="3"/>
        <v>0</v>
      </c>
      <c r="AA11" s="21">
        <f t="shared" si="4"/>
        <v>0</v>
      </c>
      <c r="AB11" s="12"/>
      <c r="AC11" s="26"/>
      <c r="AD11" s="26"/>
      <c r="AE11" s="21">
        <f t="shared" si="5"/>
        <v>0</v>
      </c>
      <c r="AG11" s="219"/>
    </row>
    <row r="12" spans="1:35" ht="17.149999999999999" customHeight="1">
      <c r="A12" s="60">
        <f t="shared" si="1"/>
        <v>44748</v>
      </c>
      <c r="B12" s="10"/>
      <c r="C12" s="13"/>
      <c r="D12" s="12"/>
      <c r="E12" s="10"/>
      <c r="F12" s="13"/>
      <c r="G12" s="12"/>
      <c r="H12" s="12"/>
      <c r="I12" s="13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26"/>
      <c r="Y12" s="125">
        <f t="shared" si="2"/>
        <v>0</v>
      </c>
      <c r="Z12" s="22">
        <f t="shared" si="3"/>
        <v>0</v>
      </c>
      <c r="AA12" s="21">
        <f t="shared" si="4"/>
        <v>0</v>
      </c>
      <c r="AB12" s="12"/>
      <c r="AC12" s="26"/>
      <c r="AD12" s="26"/>
      <c r="AE12" s="21">
        <f t="shared" si="5"/>
        <v>0</v>
      </c>
      <c r="AG12" s="219"/>
    </row>
    <row r="13" spans="1:35" ht="17.149999999999999" customHeight="1">
      <c r="A13" s="60">
        <f t="shared" si="1"/>
        <v>44749</v>
      </c>
      <c r="B13" s="10"/>
      <c r="C13" s="13"/>
      <c r="D13" s="12"/>
      <c r="E13" s="10"/>
      <c r="F13" s="13"/>
      <c r="G13" s="12"/>
      <c r="H13" s="12"/>
      <c r="I13" s="13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26"/>
      <c r="Y13" s="125">
        <f t="shared" si="2"/>
        <v>0</v>
      </c>
      <c r="Z13" s="22">
        <f t="shared" si="3"/>
        <v>0</v>
      </c>
      <c r="AA13" s="21">
        <f t="shared" si="4"/>
        <v>0</v>
      </c>
      <c r="AB13" s="12"/>
      <c r="AC13" s="26"/>
      <c r="AD13" s="26"/>
      <c r="AE13" s="21">
        <f t="shared" si="5"/>
        <v>0</v>
      </c>
      <c r="AG13" s="219"/>
    </row>
    <row r="14" spans="1:35" ht="17.149999999999999" customHeight="1">
      <c r="A14" s="60">
        <f t="shared" si="1"/>
        <v>44750</v>
      </c>
      <c r="B14" s="10"/>
      <c r="C14" s="13"/>
      <c r="D14" s="12"/>
      <c r="E14" s="10"/>
      <c r="F14" s="13"/>
      <c r="G14" s="12"/>
      <c r="H14" s="12"/>
      <c r="I14" s="13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6"/>
      <c r="Y14" s="125">
        <f t="shared" si="2"/>
        <v>0</v>
      </c>
      <c r="Z14" s="22">
        <f t="shared" si="3"/>
        <v>0</v>
      </c>
      <c r="AA14" s="21">
        <f t="shared" si="4"/>
        <v>0</v>
      </c>
      <c r="AB14" s="12"/>
      <c r="AC14" s="25"/>
      <c r="AD14" s="25"/>
      <c r="AE14" s="21">
        <f t="shared" si="5"/>
        <v>0</v>
      </c>
      <c r="AG14" s="219"/>
    </row>
    <row r="15" spans="1:35" ht="17.149999999999999" customHeight="1">
      <c r="A15" s="60">
        <f t="shared" si="1"/>
        <v>44751</v>
      </c>
      <c r="B15" s="10"/>
      <c r="C15" s="13"/>
      <c r="D15" s="12"/>
      <c r="E15" s="10"/>
      <c r="F15" s="13"/>
      <c r="G15" s="12"/>
      <c r="H15" s="12"/>
      <c r="I15" s="13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26"/>
      <c r="Y15" s="125">
        <f t="shared" si="2"/>
        <v>0</v>
      </c>
      <c r="Z15" s="22">
        <f t="shared" si="3"/>
        <v>0</v>
      </c>
      <c r="AA15" s="21">
        <f t="shared" si="4"/>
        <v>0</v>
      </c>
      <c r="AB15" s="12"/>
      <c r="AC15" s="26"/>
      <c r="AD15" s="26"/>
      <c r="AE15" s="21">
        <f t="shared" si="5"/>
        <v>0</v>
      </c>
      <c r="AG15" s="219"/>
    </row>
    <row r="16" spans="1:35" ht="17.149999999999999" customHeight="1">
      <c r="A16" s="60">
        <f t="shared" si="1"/>
        <v>44752</v>
      </c>
      <c r="B16" s="10"/>
      <c r="C16" s="13"/>
      <c r="D16" s="12"/>
      <c r="E16" s="10"/>
      <c r="F16" s="13"/>
      <c r="G16" s="12"/>
      <c r="H16" s="12"/>
      <c r="I16" s="13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26"/>
      <c r="Y16" s="125">
        <f t="shared" si="2"/>
        <v>0</v>
      </c>
      <c r="Z16" s="22">
        <f t="shared" si="3"/>
        <v>0</v>
      </c>
      <c r="AA16" s="21">
        <f t="shared" si="4"/>
        <v>0</v>
      </c>
      <c r="AB16" s="12"/>
      <c r="AC16" s="26"/>
      <c r="AD16" s="26"/>
      <c r="AE16" s="21">
        <f t="shared" si="5"/>
        <v>0</v>
      </c>
      <c r="AG16" s="219"/>
    </row>
    <row r="17" spans="1:33" ht="17.149999999999999" customHeight="1">
      <c r="A17" s="60">
        <f t="shared" si="1"/>
        <v>44753</v>
      </c>
      <c r="B17" s="10"/>
      <c r="C17" s="13"/>
      <c r="D17" s="12"/>
      <c r="E17" s="10"/>
      <c r="F17" s="13"/>
      <c r="G17" s="12"/>
      <c r="H17" s="12"/>
      <c r="I17" s="13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26"/>
      <c r="Y17" s="125">
        <f t="shared" si="2"/>
        <v>0</v>
      </c>
      <c r="Z17" s="22">
        <f t="shared" si="3"/>
        <v>0</v>
      </c>
      <c r="AA17" s="21">
        <f t="shared" si="4"/>
        <v>0</v>
      </c>
      <c r="AB17" s="12"/>
      <c r="AC17" s="26"/>
      <c r="AD17" s="26"/>
      <c r="AE17" s="21">
        <f t="shared" si="5"/>
        <v>0</v>
      </c>
      <c r="AG17" s="219"/>
    </row>
    <row r="18" spans="1:33" ht="17.149999999999999" customHeight="1">
      <c r="A18" s="60">
        <f t="shared" si="1"/>
        <v>44754</v>
      </c>
      <c r="B18" s="10"/>
      <c r="C18" s="13"/>
      <c r="D18" s="12"/>
      <c r="E18" s="10"/>
      <c r="F18" s="13"/>
      <c r="G18" s="12"/>
      <c r="H18" s="12"/>
      <c r="I18" s="13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26"/>
      <c r="Y18" s="125">
        <f t="shared" si="2"/>
        <v>0</v>
      </c>
      <c r="Z18" s="22">
        <f t="shared" si="3"/>
        <v>0</v>
      </c>
      <c r="AA18" s="21">
        <f t="shared" si="4"/>
        <v>0</v>
      </c>
      <c r="AB18" s="12"/>
      <c r="AC18" s="26"/>
      <c r="AD18" s="26"/>
      <c r="AE18" s="21">
        <f t="shared" si="5"/>
        <v>0</v>
      </c>
      <c r="AG18" s="219"/>
    </row>
    <row r="19" spans="1:33" ht="17.149999999999999" customHeight="1">
      <c r="A19" s="60">
        <f t="shared" si="1"/>
        <v>44755</v>
      </c>
      <c r="B19" s="10"/>
      <c r="C19" s="13"/>
      <c r="D19" s="12"/>
      <c r="E19" s="10"/>
      <c r="F19" s="13"/>
      <c r="G19" s="12"/>
      <c r="H19" s="12"/>
      <c r="I19" s="13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25"/>
      <c r="Y19" s="125">
        <f t="shared" si="2"/>
        <v>0</v>
      </c>
      <c r="Z19" s="22">
        <f t="shared" si="3"/>
        <v>0</v>
      </c>
      <c r="AA19" s="21">
        <f t="shared" si="4"/>
        <v>0</v>
      </c>
      <c r="AB19" s="12"/>
      <c r="AC19" s="25"/>
      <c r="AD19" s="25"/>
      <c r="AE19" s="21">
        <f t="shared" si="5"/>
        <v>0</v>
      </c>
      <c r="AG19" s="219"/>
    </row>
    <row r="20" spans="1:33" ht="17.149999999999999" customHeight="1">
      <c r="A20" s="60">
        <f t="shared" si="1"/>
        <v>44756</v>
      </c>
      <c r="B20" s="10"/>
      <c r="C20" s="13"/>
      <c r="D20" s="12"/>
      <c r="E20" s="10"/>
      <c r="F20" s="13"/>
      <c r="G20" s="12"/>
      <c r="H20" s="12"/>
      <c r="I20" s="13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27"/>
      <c r="Y20" s="125">
        <f t="shared" si="2"/>
        <v>0</v>
      </c>
      <c r="Z20" s="22">
        <f t="shared" si="3"/>
        <v>0</v>
      </c>
      <c r="AA20" s="21">
        <f t="shared" si="4"/>
        <v>0</v>
      </c>
      <c r="AB20" s="12"/>
      <c r="AC20" s="27"/>
      <c r="AD20" s="27"/>
      <c r="AE20" s="21">
        <f t="shared" si="5"/>
        <v>0</v>
      </c>
      <c r="AG20" s="219"/>
    </row>
    <row r="21" spans="1:33" ht="17.149999999999999" customHeight="1">
      <c r="A21" s="60">
        <f t="shared" si="1"/>
        <v>44757</v>
      </c>
      <c r="B21" s="10"/>
      <c r="C21" s="13"/>
      <c r="D21" s="12"/>
      <c r="E21" s="13"/>
      <c r="F21" s="13"/>
      <c r="G21" s="12"/>
      <c r="H21" s="12"/>
      <c r="I21" s="13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7"/>
      <c r="Y21" s="125">
        <f t="shared" si="2"/>
        <v>0</v>
      </c>
      <c r="Z21" s="22">
        <f t="shared" si="3"/>
        <v>0</v>
      </c>
      <c r="AA21" s="21">
        <f t="shared" si="4"/>
        <v>0</v>
      </c>
      <c r="AB21" s="12"/>
      <c r="AC21" s="27"/>
      <c r="AD21" s="27"/>
      <c r="AE21" s="21">
        <f t="shared" si="5"/>
        <v>0</v>
      </c>
      <c r="AG21" s="219"/>
    </row>
    <row r="22" spans="1:33" ht="17.149999999999999" customHeight="1">
      <c r="A22" s="60">
        <f t="shared" si="1"/>
        <v>44758</v>
      </c>
      <c r="B22" s="10"/>
      <c r="C22" s="13"/>
      <c r="D22" s="12"/>
      <c r="E22" s="10"/>
      <c r="F22" s="13"/>
      <c r="G22" s="12"/>
      <c r="H22" s="12"/>
      <c r="I22" s="13"/>
      <c r="J22" s="11"/>
      <c r="K22" s="13"/>
      <c r="L22" s="13"/>
      <c r="M22" s="266"/>
      <c r="N22" s="266"/>
      <c r="O22" s="13"/>
      <c r="P22" s="13"/>
      <c r="Q22" s="266"/>
      <c r="R22" s="13"/>
      <c r="S22" s="13"/>
      <c r="T22" s="13"/>
      <c r="U22" s="13"/>
      <c r="V22" s="13"/>
      <c r="W22" s="266"/>
      <c r="X22" s="267"/>
      <c r="Y22" s="125">
        <f t="shared" si="2"/>
        <v>0</v>
      </c>
      <c r="Z22" s="22">
        <f t="shared" si="3"/>
        <v>0</v>
      </c>
      <c r="AA22" s="21">
        <f t="shared" si="4"/>
        <v>0</v>
      </c>
      <c r="AB22" s="12"/>
      <c r="AC22" s="25"/>
      <c r="AD22" s="25"/>
      <c r="AE22" s="21">
        <f t="shared" si="5"/>
        <v>0</v>
      </c>
      <c r="AG22" s="219"/>
    </row>
    <row r="23" spans="1:33" ht="17.149999999999999" customHeight="1">
      <c r="A23" s="60">
        <f t="shared" si="1"/>
        <v>44759</v>
      </c>
      <c r="B23" s="10"/>
      <c r="C23" s="13"/>
      <c r="D23" s="12"/>
      <c r="E23" s="10"/>
      <c r="F23" s="13"/>
      <c r="G23" s="12"/>
      <c r="H23" s="12"/>
      <c r="I23" s="13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26"/>
      <c r="Y23" s="125">
        <f t="shared" si="2"/>
        <v>0</v>
      </c>
      <c r="Z23" s="22">
        <f t="shared" si="3"/>
        <v>0</v>
      </c>
      <c r="AA23" s="21">
        <f t="shared" si="4"/>
        <v>0</v>
      </c>
      <c r="AB23" s="12"/>
      <c r="AC23" s="26"/>
      <c r="AD23" s="26"/>
      <c r="AE23" s="21">
        <f t="shared" si="5"/>
        <v>0</v>
      </c>
      <c r="AG23" s="219"/>
    </row>
    <row r="24" spans="1:33" ht="17.149999999999999" customHeight="1">
      <c r="A24" s="60">
        <f t="shared" si="1"/>
        <v>44760</v>
      </c>
      <c r="B24" s="10"/>
      <c r="C24" s="13"/>
      <c r="D24" s="12"/>
      <c r="E24" s="10"/>
      <c r="F24" s="13"/>
      <c r="G24" s="12"/>
      <c r="H24" s="12"/>
      <c r="I24" s="13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6"/>
      <c r="Y24" s="125">
        <f t="shared" si="2"/>
        <v>0</v>
      </c>
      <c r="Z24" s="22">
        <f t="shared" si="3"/>
        <v>0</v>
      </c>
      <c r="AA24" s="21">
        <f t="shared" si="4"/>
        <v>0</v>
      </c>
      <c r="AB24" s="12"/>
      <c r="AC24" s="26"/>
      <c r="AD24" s="26"/>
      <c r="AE24" s="21">
        <f t="shared" si="5"/>
        <v>0</v>
      </c>
      <c r="AG24" s="219"/>
    </row>
    <row r="25" spans="1:33" ht="17.149999999999999" customHeight="1">
      <c r="A25" s="60">
        <f t="shared" si="1"/>
        <v>44761</v>
      </c>
      <c r="B25" s="10"/>
      <c r="C25" s="13"/>
      <c r="D25" s="12"/>
      <c r="E25" s="10"/>
      <c r="F25" s="13"/>
      <c r="G25" s="12"/>
      <c r="H25" s="12"/>
      <c r="I25" s="13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26"/>
      <c r="Y25" s="125">
        <f t="shared" si="2"/>
        <v>0</v>
      </c>
      <c r="Z25" s="22">
        <f t="shared" si="3"/>
        <v>0</v>
      </c>
      <c r="AA25" s="21">
        <f t="shared" si="4"/>
        <v>0</v>
      </c>
      <c r="AB25" s="12"/>
      <c r="AC25" s="26"/>
      <c r="AD25" s="26"/>
      <c r="AE25" s="21">
        <f t="shared" si="5"/>
        <v>0</v>
      </c>
      <c r="AG25" s="219"/>
    </row>
    <row r="26" spans="1:33" ht="17.149999999999999" customHeight="1">
      <c r="A26" s="60">
        <f t="shared" si="1"/>
        <v>44762</v>
      </c>
      <c r="B26" s="10"/>
      <c r="C26" s="13"/>
      <c r="D26" s="12"/>
      <c r="E26" s="10"/>
      <c r="F26" s="13"/>
      <c r="G26" s="12"/>
      <c r="H26" s="12"/>
      <c r="I26" s="13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26"/>
      <c r="Y26" s="125">
        <f t="shared" si="2"/>
        <v>0</v>
      </c>
      <c r="Z26" s="22">
        <f t="shared" si="3"/>
        <v>0</v>
      </c>
      <c r="AA26" s="21">
        <f t="shared" si="4"/>
        <v>0</v>
      </c>
      <c r="AB26" s="12"/>
      <c r="AC26" s="26"/>
      <c r="AD26" s="26"/>
      <c r="AE26" s="21">
        <f t="shared" si="5"/>
        <v>0</v>
      </c>
      <c r="AG26" s="219"/>
    </row>
    <row r="27" spans="1:33" ht="17.149999999999999" customHeight="1">
      <c r="A27" s="60">
        <f t="shared" si="1"/>
        <v>44763</v>
      </c>
      <c r="B27" s="10"/>
      <c r="C27" s="13"/>
      <c r="D27" s="57"/>
      <c r="E27" s="13"/>
      <c r="F27" s="13"/>
      <c r="G27" s="12"/>
      <c r="H27" s="12"/>
      <c r="I27" s="13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26"/>
      <c r="Y27" s="125">
        <f t="shared" si="2"/>
        <v>0</v>
      </c>
      <c r="Z27" s="22">
        <f t="shared" si="3"/>
        <v>0</v>
      </c>
      <c r="AA27" s="21">
        <f t="shared" si="4"/>
        <v>0</v>
      </c>
      <c r="AB27" s="12"/>
      <c r="AC27" s="26"/>
      <c r="AD27" s="26"/>
      <c r="AE27" s="21">
        <f t="shared" si="5"/>
        <v>0</v>
      </c>
      <c r="AG27" s="219"/>
    </row>
    <row r="28" spans="1:33" ht="17.149999999999999" customHeight="1">
      <c r="A28" s="60">
        <f t="shared" si="1"/>
        <v>44764</v>
      </c>
      <c r="B28" s="10"/>
      <c r="C28" s="13"/>
      <c r="D28" s="12"/>
      <c r="E28" s="10"/>
      <c r="F28" s="13"/>
      <c r="G28" s="12"/>
      <c r="H28" s="12"/>
      <c r="I28" s="13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26"/>
      <c r="Y28" s="125">
        <f t="shared" si="2"/>
        <v>0</v>
      </c>
      <c r="Z28" s="22">
        <f t="shared" si="3"/>
        <v>0</v>
      </c>
      <c r="AA28" s="21">
        <f t="shared" si="4"/>
        <v>0</v>
      </c>
      <c r="AB28" s="12"/>
      <c r="AC28" s="26"/>
      <c r="AD28" s="26"/>
      <c r="AE28" s="21">
        <f t="shared" si="5"/>
        <v>0</v>
      </c>
      <c r="AG28" s="219"/>
    </row>
    <row r="29" spans="1:33" ht="17.149999999999999" customHeight="1">
      <c r="A29" s="60">
        <f t="shared" si="1"/>
        <v>44765</v>
      </c>
      <c r="B29" s="10"/>
      <c r="C29" s="13"/>
      <c r="D29" s="12"/>
      <c r="E29" s="13"/>
      <c r="F29" s="12"/>
      <c r="G29" s="12"/>
      <c r="H29" s="12"/>
      <c r="I29" s="13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6"/>
      <c r="Y29" s="125">
        <f t="shared" si="2"/>
        <v>0</v>
      </c>
      <c r="Z29" s="22">
        <f t="shared" si="3"/>
        <v>0</v>
      </c>
      <c r="AA29" s="21">
        <f t="shared" si="4"/>
        <v>0</v>
      </c>
      <c r="AB29" s="12"/>
      <c r="AC29" s="26"/>
      <c r="AD29" s="26"/>
      <c r="AE29" s="21">
        <f t="shared" si="5"/>
        <v>0</v>
      </c>
      <c r="AG29" s="219"/>
    </row>
    <row r="30" spans="1:33" ht="17.149999999999999" customHeight="1">
      <c r="A30" s="60">
        <f t="shared" si="1"/>
        <v>44766</v>
      </c>
      <c r="B30" s="10"/>
      <c r="C30" s="13"/>
      <c r="D30" s="12"/>
      <c r="E30" s="10"/>
      <c r="F30" s="13"/>
      <c r="G30" s="12"/>
      <c r="H30" s="12"/>
      <c r="I30" s="13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26"/>
      <c r="Y30" s="125">
        <f t="shared" si="2"/>
        <v>0</v>
      </c>
      <c r="Z30" s="22">
        <f t="shared" si="3"/>
        <v>0</v>
      </c>
      <c r="AA30" s="21">
        <f t="shared" si="4"/>
        <v>0</v>
      </c>
      <c r="AB30" s="12"/>
      <c r="AC30" s="26"/>
      <c r="AD30" s="26"/>
      <c r="AE30" s="21">
        <f t="shared" si="5"/>
        <v>0</v>
      </c>
      <c r="AG30" s="219"/>
    </row>
    <row r="31" spans="1:33" ht="17.149999999999999" customHeight="1">
      <c r="A31" s="60">
        <f t="shared" si="1"/>
        <v>44767</v>
      </c>
      <c r="B31" s="10"/>
      <c r="C31" s="13"/>
      <c r="D31" s="272"/>
      <c r="E31" s="10"/>
      <c r="F31" s="10"/>
      <c r="G31" s="10"/>
      <c r="H31" s="10"/>
      <c r="I31" s="13"/>
      <c r="J31" s="11"/>
      <c r="K31" s="13"/>
      <c r="L31" s="11"/>
      <c r="M31" s="11"/>
      <c r="N31" s="11"/>
      <c r="O31" s="13"/>
      <c r="P31" s="11"/>
      <c r="Q31" s="11"/>
      <c r="R31" s="11"/>
      <c r="S31" s="11"/>
      <c r="T31" s="11"/>
      <c r="U31" s="11"/>
      <c r="V31" s="11"/>
      <c r="W31" s="11"/>
      <c r="X31" s="11"/>
      <c r="Y31" s="125">
        <f t="shared" si="2"/>
        <v>0</v>
      </c>
      <c r="Z31" s="22">
        <f t="shared" si="3"/>
        <v>0</v>
      </c>
      <c r="AA31" s="21">
        <f t="shared" si="4"/>
        <v>0</v>
      </c>
      <c r="AB31" s="12"/>
      <c r="AC31" s="11"/>
      <c r="AD31" s="12"/>
      <c r="AE31" s="21">
        <f t="shared" si="5"/>
        <v>0</v>
      </c>
      <c r="AG31" s="219"/>
    </row>
    <row r="32" spans="1:33" ht="17.149999999999999" customHeight="1">
      <c r="A32" s="60">
        <f t="shared" si="1"/>
        <v>44768</v>
      </c>
      <c r="B32" s="25"/>
      <c r="C32" s="13"/>
      <c r="D32" s="272"/>
      <c r="E32" s="10"/>
      <c r="F32" s="10"/>
      <c r="G32" s="10"/>
      <c r="H32" s="10"/>
      <c r="I32" s="13"/>
      <c r="J32" s="11"/>
      <c r="K32" s="13"/>
      <c r="L32" s="10"/>
      <c r="M32" s="10"/>
      <c r="N32" s="10"/>
      <c r="O32" s="13"/>
      <c r="P32" s="10"/>
      <c r="Q32" s="10"/>
      <c r="R32" s="10"/>
      <c r="S32" s="10"/>
      <c r="T32" s="10"/>
      <c r="U32" s="10"/>
      <c r="V32" s="10"/>
      <c r="W32" s="10"/>
      <c r="X32" s="10"/>
      <c r="Y32" s="125">
        <f t="shared" si="2"/>
        <v>0</v>
      </c>
      <c r="Z32" s="22">
        <f t="shared" si="3"/>
        <v>0</v>
      </c>
      <c r="AA32" s="21">
        <f t="shared" si="4"/>
        <v>0</v>
      </c>
      <c r="AB32" s="12"/>
      <c r="AC32" s="10"/>
      <c r="AD32" s="25"/>
      <c r="AE32" s="21">
        <f t="shared" si="5"/>
        <v>0</v>
      </c>
      <c r="AG32" s="219"/>
    </row>
    <row r="33" spans="1:35" ht="17.149999999999999" customHeight="1">
      <c r="A33" s="60">
        <f t="shared" si="1"/>
        <v>44769</v>
      </c>
      <c r="B33" s="10"/>
      <c r="C33" s="13"/>
      <c r="D33" s="12"/>
      <c r="E33" s="10"/>
      <c r="F33" s="13"/>
      <c r="G33" s="12"/>
      <c r="H33" s="12"/>
      <c r="I33" s="13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26"/>
      <c r="Y33" s="125">
        <f t="shared" si="2"/>
        <v>0</v>
      </c>
      <c r="Z33" s="22">
        <f t="shared" si="3"/>
        <v>0</v>
      </c>
      <c r="AA33" s="21">
        <f t="shared" si="4"/>
        <v>0</v>
      </c>
      <c r="AB33" s="12"/>
      <c r="AC33" s="26"/>
      <c r="AD33" s="26"/>
      <c r="AE33" s="21">
        <f t="shared" si="5"/>
        <v>0</v>
      </c>
      <c r="AG33" s="219"/>
    </row>
    <row r="34" spans="1:35" ht="17.149999999999999" customHeight="1">
      <c r="A34" s="60">
        <f t="shared" si="1"/>
        <v>44770</v>
      </c>
      <c r="B34" s="10"/>
      <c r="C34" s="13"/>
      <c r="D34" s="12"/>
      <c r="E34" s="10"/>
      <c r="F34" s="13"/>
      <c r="G34" s="12"/>
      <c r="H34" s="12"/>
      <c r="I34" s="13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26"/>
      <c r="Y34" s="125">
        <f t="shared" si="2"/>
        <v>0</v>
      </c>
      <c r="Z34" s="22">
        <f t="shared" si="3"/>
        <v>0</v>
      </c>
      <c r="AA34" s="21">
        <f t="shared" si="4"/>
        <v>0</v>
      </c>
      <c r="AB34" s="12"/>
      <c r="AC34" s="26"/>
      <c r="AD34" s="26"/>
      <c r="AE34" s="21">
        <f t="shared" si="5"/>
        <v>0</v>
      </c>
      <c r="AG34" s="219"/>
    </row>
    <row r="35" spans="1:35" ht="17.149999999999999" customHeight="1">
      <c r="A35" s="60">
        <f t="shared" si="1"/>
        <v>44771</v>
      </c>
      <c r="B35" s="10"/>
      <c r="C35" s="13"/>
      <c r="D35" s="12"/>
      <c r="E35" s="10"/>
      <c r="F35" s="13"/>
      <c r="G35" s="12"/>
      <c r="H35" s="12"/>
      <c r="I35" s="13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26"/>
      <c r="Y35" s="125">
        <f t="shared" si="2"/>
        <v>0</v>
      </c>
      <c r="Z35" s="22">
        <f t="shared" si="3"/>
        <v>0</v>
      </c>
      <c r="AA35" s="21">
        <f t="shared" si="4"/>
        <v>0</v>
      </c>
      <c r="AB35" s="12"/>
      <c r="AC35" s="26"/>
      <c r="AD35" s="26"/>
      <c r="AE35" s="21">
        <f t="shared" si="5"/>
        <v>0</v>
      </c>
      <c r="AG35" s="219"/>
    </row>
    <row r="36" spans="1:35" ht="17.149999999999999" customHeight="1">
      <c r="A36" s="60">
        <f t="shared" si="1"/>
        <v>44772</v>
      </c>
      <c r="B36" s="10"/>
      <c r="C36" s="13"/>
      <c r="D36" s="12"/>
      <c r="E36" s="10"/>
      <c r="F36" s="13"/>
      <c r="G36" s="12"/>
      <c r="H36" s="12"/>
      <c r="I36" s="13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26"/>
      <c r="Y36" s="125">
        <f t="shared" si="2"/>
        <v>0</v>
      </c>
      <c r="Z36" s="22">
        <f t="shared" si="3"/>
        <v>0</v>
      </c>
      <c r="AA36" s="21">
        <f t="shared" si="4"/>
        <v>0</v>
      </c>
      <c r="AB36" s="12"/>
      <c r="AC36" s="26"/>
      <c r="AD36" s="26"/>
      <c r="AE36" s="21">
        <f t="shared" si="5"/>
        <v>0</v>
      </c>
      <c r="AG36" s="219"/>
    </row>
    <row r="37" spans="1:35" ht="17.149999999999999" customHeight="1">
      <c r="A37" s="60">
        <f t="shared" si="1"/>
        <v>44773</v>
      </c>
      <c r="B37" s="10"/>
      <c r="C37" s="13"/>
      <c r="D37" s="268"/>
      <c r="E37" s="10"/>
      <c r="F37" s="13"/>
      <c r="G37" s="12"/>
      <c r="H37" s="12"/>
      <c r="I37" s="13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26"/>
      <c r="Y37" s="125">
        <f t="shared" si="2"/>
        <v>0</v>
      </c>
      <c r="Z37" s="22">
        <f t="shared" si="3"/>
        <v>0</v>
      </c>
      <c r="AA37" s="21">
        <f t="shared" si="4"/>
        <v>0</v>
      </c>
      <c r="AB37" s="12"/>
      <c r="AC37" s="26"/>
      <c r="AD37" s="26"/>
      <c r="AE37" s="21">
        <f t="shared" si="5"/>
        <v>0</v>
      </c>
      <c r="AG37" s="219"/>
    </row>
    <row r="38" spans="1:35" s="14" customFormat="1" ht="17.149999999999999" customHeight="1">
      <c r="A38" s="71" t="s">
        <v>38</v>
      </c>
      <c r="B38" s="72">
        <f t="shared" ref="B38:AE38" si="6">SUM(B7:B37)</f>
        <v>0</v>
      </c>
      <c r="C38" s="72">
        <f t="shared" si="6"/>
        <v>0</v>
      </c>
      <c r="D38" s="269">
        <f t="shared" si="6"/>
        <v>0</v>
      </c>
      <c r="E38" s="72">
        <f t="shared" si="6"/>
        <v>0</v>
      </c>
      <c r="F38" s="72">
        <f t="shared" si="6"/>
        <v>0</v>
      </c>
      <c r="G38" s="72">
        <f t="shared" si="6"/>
        <v>0</v>
      </c>
      <c r="H38" s="72">
        <f t="shared" si="6"/>
        <v>0</v>
      </c>
      <c r="I38" s="72">
        <f t="shared" si="6"/>
        <v>0</v>
      </c>
      <c r="J38" s="73">
        <f t="shared" si="6"/>
        <v>0</v>
      </c>
      <c r="K38" s="73">
        <f t="shared" si="6"/>
        <v>0</v>
      </c>
      <c r="L38" s="74">
        <f t="shared" si="6"/>
        <v>0</v>
      </c>
      <c r="M38" s="74">
        <f t="shared" si="6"/>
        <v>0</v>
      </c>
      <c r="N38" s="73">
        <f t="shared" si="6"/>
        <v>0</v>
      </c>
      <c r="O38" s="73">
        <f t="shared" si="6"/>
        <v>0</v>
      </c>
      <c r="P38" s="74">
        <f t="shared" si="6"/>
        <v>0</v>
      </c>
      <c r="Q38" s="74">
        <f t="shared" si="6"/>
        <v>0</v>
      </c>
      <c r="R38" s="75">
        <f t="shared" si="6"/>
        <v>0</v>
      </c>
      <c r="S38" s="75">
        <f t="shared" si="6"/>
        <v>0</v>
      </c>
      <c r="T38" s="75">
        <f t="shared" si="6"/>
        <v>0</v>
      </c>
      <c r="U38" s="75">
        <f t="shared" si="6"/>
        <v>0</v>
      </c>
      <c r="V38" s="63">
        <f t="shared" si="6"/>
        <v>0</v>
      </c>
      <c r="W38" s="63">
        <f t="shared" si="6"/>
        <v>0</v>
      </c>
      <c r="X38" s="76">
        <f t="shared" si="6"/>
        <v>0</v>
      </c>
      <c r="Y38" s="77">
        <f t="shared" si="6"/>
        <v>0</v>
      </c>
      <c r="Z38" s="78">
        <f t="shared" si="6"/>
        <v>0</v>
      </c>
      <c r="AA38" s="79">
        <f t="shared" si="6"/>
        <v>0</v>
      </c>
      <c r="AB38" s="223">
        <f t="shared" si="6"/>
        <v>0</v>
      </c>
      <c r="AC38" s="224">
        <f t="shared" si="6"/>
        <v>0</v>
      </c>
      <c r="AD38" s="224">
        <f t="shared" si="6"/>
        <v>0</v>
      </c>
      <c r="AE38" s="225">
        <f t="shared" si="6"/>
        <v>0</v>
      </c>
      <c r="AG38" s="234"/>
    </row>
    <row r="39" spans="1:35" s="14" customFormat="1" ht="17.149999999999999" customHeight="1">
      <c r="A39" s="71" t="s">
        <v>86</v>
      </c>
      <c r="B39" s="117"/>
      <c r="C39" s="72"/>
      <c r="D39" s="808"/>
      <c r="E39" s="808"/>
      <c r="F39" s="808"/>
      <c r="G39" s="809"/>
      <c r="H39" s="72"/>
      <c r="I39" s="129"/>
      <c r="J39" s="810"/>
      <c r="K39" s="811"/>
      <c r="L39" s="811"/>
      <c r="M39" s="811"/>
      <c r="N39" s="811"/>
      <c r="O39" s="811"/>
      <c r="P39" s="811"/>
      <c r="Q39" s="811"/>
      <c r="R39" s="811"/>
      <c r="S39" s="811"/>
      <c r="T39" s="811"/>
      <c r="U39" s="812"/>
      <c r="V39" s="253"/>
      <c r="W39" s="253"/>
      <c r="X39" s="76"/>
      <c r="Y39" s="77">
        <f>SUM(B39:I39,X39)</f>
        <v>0</v>
      </c>
      <c r="Z39" s="78">
        <f>SUM(J39:W39)</f>
        <v>0</v>
      </c>
      <c r="AA39" s="79">
        <f>+Y39+Z39</f>
        <v>0</v>
      </c>
      <c r="AB39" s="223"/>
      <c r="AC39" s="224"/>
      <c r="AD39" s="224"/>
      <c r="AE39" s="225">
        <f>SUM(AB39:AD39)</f>
        <v>0</v>
      </c>
      <c r="AG39" s="234"/>
    </row>
    <row r="40" spans="1:35" s="14" customFormat="1" ht="17.149999999999999" customHeight="1" thickBot="1">
      <c r="A40" s="80" t="s">
        <v>144</v>
      </c>
      <c r="B40" s="118">
        <f>SUM(B38)-B39</f>
        <v>0</v>
      </c>
      <c r="C40" s="82">
        <f>C38-C39</f>
        <v>0</v>
      </c>
      <c r="D40" s="813">
        <f>SUM(D38:G38)-D39</f>
        <v>0</v>
      </c>
      <c r="E40" s="813"/>
      <c r="F40" s="813"/>
      <c r="G40" s="814"/>
      <c r="H40" s="82">
        <f>+H38-H39</f>
        <v>0</v>
      </c>
      <c r="I40" s="118">
        <f>I38-I39</f>
        <v>0</v>
      </c>
      <c r="J40" s="815">
        <f>SUM(J38:U38)-J39</f>
        <v>0</v>
      </c>
      <c r="K40" s="816"/>
      <c r="L40" s="816"/>
      <c r="M40" s="816"/>
      <c r="N40" s="816"/>
      <c r="O40" s="816"/>
      <c r="P40" s="816"/>
      <c r="Q40" s="816"/>
      <c r="R40" s="816"/>
      <c r="S40" s="816"/>
      <c r="T40" s="816"/>
      <c r="U40" s="817"/>
      <c r="V40" s="253">
        <f t="shared" ref="V40:W40" si="7">(V38)-V39</f>
        <v>0</v>
      </c>
      <c r="W40" s="253">
        <f t="shared" si="7"/>
        <v>0</v>
      </c>
      <c r="X40" s="83">
        <f>(X38)-X39</f>
        <v>0</v>
      </c>
      <c r="Y40" s="84">
        <f>Y38-Y39</f>
        <v>0</v>
      </c>
      <c r="Z40" s="85">
        <f>Z38-Z39</f>
        <v>0</v>
      </c>
      <c r="AA40" s="86">
        <f>AA38-AA39</f>
        <v>0</v>
      </c>
      <c r="AB40" s="226">
        <f t="shared" ref="AB40:AE40" si="8">AB38-AB39</f>
        <v>0</v>
      </c>
      <c r="AC40" s="227">
        <f t="shared" si="8"/>
        <v>0</v>
      </c>
      <c r="AD40" s="227">
        <f t="shared" si="8"/>
        <v>0</v>
      </c>
      <c r="AE40" s="228">
        <f t="shared" si="8"/>
        <v>0</v>
      </c>
      <c r="AG40" s="234"/>
    </row>
    <row r="41" spans="1:35" ht="17.149999999999999" customHeight="1" thickBot="1">
      <c r="A41" s="40"/>
      <c r="AI41" s="219"/>
    </row>
    <row r="42" spans="1:35" ht="17.149999999999999" customHeight="1">
      <c r="A42" s="767" t="s">
        <v>145</v>
      </c>
      <c r="B42" s="768"/>
      <c r="C42" s="36">
        <v>30.5</v>
      </c>
      <c r="D42" s="36">
        <v>28</v>
      </c>
      <c r="E42" s="229" t="s">
        <v>146</v>
      </c>
      <c r="AI42" s="219"/>
    </row>
    <row r="43" spans="1:35" ht="17.149999999999999" customHeight="1">
      <c r="A43" s="786" t="s">
        <v>147</v>
      </c>
      <c r="B43" s="787"/>
      <c r="C43" s="258">
        <v>0</v>
      </c>
      <c r="D43" s="258">
        <v>0</v>
      </c>
      <c r="E43" s="219" t="s">
        <v>146</v>
      </c>
      <c r="AI43" s="219"/>
    </row>
    <row r="44" spans="1:35" ht="17.149999999999999" customHeight="1" thickBot="1">
      <c r="A44" s="788" t="s">
        <v>148</v>
      </c>
      <c r="B44" s="789"/>
      <c r="C44" s="230">
        <f>+C42-C43</f>
        <v>30.5</v>
      </c>
      <c r="D44" s="230">
        <f>+D42-D43</f>
        <v>28</v>
      </c>
      <c r="E44" s="231" t="s">
        <v>146</v>
      </c>
      <c r="AI44" s="219"/>
    </row>
    <row r="45" spans="1:35" ht="17.149999999999999" customHeight="1">
      <c r="A45" s="41"/>
      <c r="AI45" s="219"/>
    </row>
    <row r="46" spans="1:35" ht="17.149999999999999" customHeight="1">
      <c r="A46" s="42" t="s">
        <v>149</v>
      </c>
      <c r="AI46" s="219"/>
    </row>
    <row r="47" spans="1:35" ht="17.149999999999999" customHeight="1">
      <c r="A47" s="232" t="s">
        <v>72</v>
      </c>
      <c r="B47" s="233" t="s">
        <v>86</v>
      </c>
      <c r="C47" s="233" t="s">
        <v>99</v>
      </c>
      <c r="D47" s="233" t="s">
        <v>84</v>
      </c>
      <c r="AG47" s="259"/>
      <c r="AH47" s="259"/>
      <c r="AI47" s="234"/>
    </row>
    <row r="48" spans="1:35" ht="17.149999999999999" customHeight="1">
      <c r="A48" s="232" t="s">
        <v>39</v>
      </c>
      <c r="B48" s="233">
        <f>(B39/$C$42)*$C$43</f>
        <v>0</v>
      </c>
      <c r="C48" s="233">
        <f>SUM(B38:B38)</f>
        <v>0</v>
      </c>
      <c r="D48" s="233">
        <f t="shared" ref="D48:D59" si="9">+C48-B48</f>
        <v>0</v>
      </c>
      <c r="S48" s="23"/>
      <c r="Z48" s="23"/>
      <c r="AA48" s="23"/>
      <c r="AB48" s="23"/>
      <c r="AC48" s="23"/>
      <c r="AD48" s="23"/>
      <c r="AE48" s="23"/>
      <c r="AI48" s="219"/>
    </row>
    <row r="49" spans="1:36" ht="17.149999999999999" customHeight="1">
      <c r="A49" s="232" t="s">
        <v>40</v>
      </c>
      <c r="B49" s="233">
        <f>(C39/$C$42)*$C$43</f>
        <v>0</v>
      </c>
      <c r="C49" s="233">
        <f>SUM(C38:C38)</f>
        <v>0</v>
      </c>
      <c r="D49" s="233">
        <f t="shared" si="9"/>
        <v>0</v>
      </c>
      <c r="N49" s="9"/>
      <c r="O49" s="9"/>
      <c r="P49" s="9"/>
      <c r="Q49" s="9"/>
      <c r="R49" s="9"/>
      <c r="S49" s="790"/>
      <c r="T49" s="790"/>
      <c r="U49" s="790"/>
      <c r="V49" s="790"/>
      <c r="W49" s="790"/>
      <c r="X49" s="790"/>
      <c r="Y49" s="790"/>
      <c r="Z49" s="790"/>
      <c r="AA49" s="790"/>
      <c r="AB49" s="790"/>
      <c r="AC49" s="790"/>
      <c r="AD49" s="790"/>
      <c r="AE49" s="790"/>
      <c r="AF49" s="235"/>
      <c r="AG49" s="235"/>
      <c r="AH49" s="235"/>
      <c r="AI49" s="236"/>
      <c r="AJ49" s="235"/>
    </row>
    <row r="50" spans="1:36" ht="17.149999999999999" customHeight="1">
      <c r="A50" s="232" t="s">
        <v>150</v>
      </c>
      <c r="B50" s="233">
        <f>+(D39/$C$42)*$C$43</f>
        <v>0</v>
      </c>
      <c r="C50" s="233">
        <f>SUM(D38:G38)</f>
        <v>0</v>
      </c>
      <c r="D50" s="233">
        <f t="shared" si="9"/>
        <v>0</v>
      </c>
      <c r="AI50" s="219"/>
    </row>
    <row r="51" spans="1:36" ht="17.149999999999999" customHeight="1">
      <c r="A51" s="232" t="s">
        <v>87</v>
      </c>
      <c r="B51" s="233">
        <f>+(H39/$C$42)*$C$43</f>
        <v>0</v>
      </c>
      <c r="C51" s="233">
        <f>SUM(H38)</f>
        <v>0</v>
      </c>
      <c r="D51" s="233">
        <f t="shared" si="9"/>
        <v>0</v>
      </c>
      <c r="AI51" s="219"/>
    </row>
    <row r="52" spans="1:36" ht="17.149999999999999" customHeight="1">
      <c r="A52" s="250" t="s">
        <v>88</v>
      </c>
      <c r="B52" s="251">
        <f>+(I39/$C$42)*$C$43</f>
        <v>0</v>
      </c>
      <c r="C52" s="251">
        <f>+I38</f>
        <v>0</v>
      </c>
      <c r="D52" s="251">
        <f t="shared" si="9"/>
        <v>0</v>
      </c>
      <c r="AI52" s="219"/>
    </row>
    <row r="53" spans="1:36" ht="17.149999999999999" customHeight="1">
      <c r="A53" s="232" t="s">
        <v>43</v>
      </c>
      <c r="B53" s="233">
        <f>+(X39/$C$42)*$C$43</f>
        <v>0</v>
      </c>
      <c r="C53" s="233">
        <f>+X38</f>
        <v>0</v>
      </c>
      <c r="D53" s="233">
        <f t="shared" si="9"/>
        <v>0</v>
      </c>
      <c r="T53" s="9"/>
      <c r="U53" s="9"/>
      <c r="V53" s="9"/>
      <c r="W53" s="9"/>
      <c r="X53" s="9"/>
      <c r="AI53" s="219"/>
    </row>
    <row r="54" spans="1:36" ht="17.149999999999999" customHeight="1">
      <c r="A54" s="87" t="s">
        <v>151</v>
      </c>
      <c r="B54" s="237">
        <f>SUM(B48:B53)</f>
        <v>0</v>
      </c>
      <c r="C54" s="237">
        <f>SUM(C48:C53)</f>
        <v>0</v>
      </c>
      <c r="D54" s="237">
        <f t="shared" si="9"/>
        <v>0</v>
      </c>
      <c r="T54" s="9"/>
      <c r="U54" s="9"/>
      <c r="V54" s="9"/>
      <c r="W54" s="9"/>
      <c r="X54" s="9"/>
      <c r="AI54" s="219"/>
    </row>
    <row r="55" spans="1:36" ht="17.149999999999999" customHeight="1">
      <c r="A55" s="232" t="s">
        <v>91</v>
      </c>
      <c r="B55" s="233">
        <f>+(J39/$C$42)*$C$43</f>
        <v>0</v>
      </c>
      <c r="C55" s="233">
        <f>SUM(J38:U38)</f>
        <v>0</v>
      </c>
      <c r="D55" s="233">
        <f t="shared" si="9"/>
        <v>0</v>
      </c>
      <c r="T55" s="9"/>
      <c r="U55" s="9"/>
      <c r="V55" s="9"/>
      <c r="W55" s="9"/>
      <c r="X55" s="9"/>
      <c r="AI55" s="219"/>
    </row>
    <row r="56" spans="1:36" ht="17.149999999999999" customHeight="1">
      <c r="A56" s="232" t="s">
        <v>92</v>
      </c>
      <c r="B56" s="233">
        <f>+(V39/$C$42)*$C$43</f>
        <v>0</v>
      </c>
      <c r="C56" s="233">
        <f>+V38</f>
        <v>0</v>
      </c>
      <c r="D56" s="233">
        <f t="shared" si="9"/>
        <v>0</v>
      </c>
      <c r="T56" s="9"/>
      <c r="U56" s="9"/>
      <c r="V56" s="9"/>
      <c r="W56" s="9"/>
      <c r="X56" s="9"/>
      <c r="AI56" s="219"/>
    </row>
    <row r="57" spans="1:36" ht="17.149999999999999" customHeight="1">
      <c r="A57" s="232" t="s">
        <v>93</v>
      </c>
      <c r="B57" s="233">
        <f>+(W39/$C$42)*$C$43</f>
        <v>0</v>
      </c>
      <c r="C57" s="233">
        <f>+W38</f>
        <v>0</v>
      </c>
      <c r="D57" s="233">
        <f t="shared" si="9"/>
        <v>0</v>
      </c>
      <c r="AI57" s="219"/>
    </row>
    <row r="58" spans="1:36" ht="17.149999999999999" customHeight="1">
      <c r="A58" s="87" t="s">
        <v>152</v>
      </c>
      <c r="B58" s="237">
        <f>SUM(B55:B57)</f>
        <v>0</v>
      </c>
      <c r="C58" s="237">
        <f>SUM(C55:C57)</f>
        <v>0</v>
      </c>
      <c r="D58" s="237">
        <f t="shared" si="9"/>
        <v>0</v>
      </c>
      <c r="AI58" s="219"/>
    </row>
    <row r="59" spans="1:36" ht="17.149999999999999" customHeight="1">
      <c r="A59" s="87" t="s">
        <v>94</v>
      </c>
      <c r="B59" s="237">
        <f>SUM(B54,B58)</f>
        <v>0</v>
      </c>
      <c r="C59" s="237">
        <f>SUM(C54,C58)</f>
        <v>0</v>
      </c>
      <c r="D59" s="237">
        <f t="shared" si="9"/>
        <v>0</v>
      </c>
      <c r="AI59" s="219"/>
    </row>
    <row r="60" spans="1:36" ht="17.149999999999999" customHeight="1">
      <c r="A60" s="40"/>
      <c r="AI60" s="219"/>
    </row>
    <row r="61" spans="1:36" ht="17.149999999999999" customHeight="1">
      <c r="A61" s="42" t="s">
        <v>153</v>
      </c>
      <c r="AI61" s="219"/>
    </row>
    <row r="62" spans="1:36" ht="17.149999999999999" customHeight="1">
      <c r="A62" s="232" t="s">
        <v>154</v>
      </c>
      <c r="B62" s="233" t="s">
        <v>86</v>
      </c>
      <c r="C62" s="233" t="s">
        <v>99</v>
      </c>
      <c r="D62" s="233" t="s">
        <v>84</v>
      </c>
      <c r="AI62" s="219"/>
    </row>
    <row r="63" spans="1:36" ht="17.149999999999999" customHeight="1">
      <c r="A63" s="232" t="s">
        <v>51</v>
      </c>
      <c r="B63" s="233">
        <f>SUM(B50,B51,B48,B49)</f>
        <v>0</v>
      </c>
      <c r="C63" s="233">
        <f>SUM(C50,C51,C49,C48)</f>
        <v>0</v>
      </c>
      <c r="D63" s="233">
        <f t="shared" ref="D63:D67" si="10">+C63-B63</f>
        <v>0</v>
      </c>
      <c r="AI63" s="219"/>
    </row>
    <row r="64" spans="1:36" ht="17.149999999999999" customHeight="1">
      <c r="A64" s="232" t="s">
        <v>50</v>
      </c>
      <c r="B64" s="233">
        <f>SUM(B56,B57)</f>
        <v>0</v>
      </c>
      <c r="C64" s="233">
        <f>SUM(C56,C57)</f>
        <v>0</v>
      </c>
      <c r="D64" s="233">
        <f t="shared" si="10"/>
        <v>0</v>
      </c>
      <c r="AI64" s="219"/>
    </row>
    <row r="65" spans="1:49" ht="17.149999999999999" customHeight="1">
      <c r="A65" s="232" t="s">
        <v>120</v>
      </c>
      <c r="B65" s="233">
        <f>B55</f>
        <v>0</v>
      </c>
      <c r="C65" s="233">
        <f>C55</f>
        <v>0</v>
      </c>
      <c r="D65" s="233">
        <f t="shared" si="10"/>
        <v>0</v>
      </c>
      <c r="AI65" s="219"/>
      <c r="AU65" s="30"/>
      <c r="AV65" s="238"/>
      <c r="AW65" s="239"/>
    </row>
    <row r="66" spans="1:49" ht="17.149999999999999" customHeight="1">
      <c r="A66" s="232" t="s">
        <v>55</v>
      </c>
      <c r="B66" s="233">
        <f>SUM(B53)</f>
        <v>0</v>
      </c>
      <c r="C66" s="233">
        <f>SUM(C53)</f>
        <v>0</v>
      </c>
      <c r="D66" s="233">
        <f t="shared" si="10"/>
        <v>0</v>
      </c>
      <c r="AI66" s="219"/>
      <c r="AU66" s="31"/>
      <c r="AV66" s="238"/>
      <c r="AW66" s="239"/>
    </row>
    <row r="67" spans="1:49" ht="17.149999999999999" customHeight="1">
      <c r="A67" s="87" t="s">
        <v>62</v>
      </c>
      <c r="B67" s="237">
        <f>SUM(B63:B66)</f>
        <v>0</v>
      </c>
      <c r="C67" s="237">
        <f>SUM(C63:C66)</f>
        <v>0</v>
      </c>
      <c r="D67" s="237">
        <f t="shared" si="10"/>
        <v>0</v>
      </c>
      <c r="AI67" s="219"/>
      <c r="AU67" s="240"/>
      <c r="AV67" s="238"/>
      <c r="AW67" s="239"/>
    </row>
    <row r="68" spans="1:49" ht="17.149999999999999" customHeight="1">
      <c r="A68" s="40"/>
      <c r="AI68" s="219"/>
      <c r="AU68" s="241"/>
      <c r="AV68" s="241"/>
      <c r="AW68" s="239"/>
    </row>
    <row r="69" spans="1:49" ht="17.149999999999999" customHeight="1">
      <c r="A69" s="42" t="s">
        <v>155</v>
      </c>
      <c r="AI69" s="219"/>
      <c r="AU69" s="242"/>
      <c r="AV69" s="238"/>
      <c r="AW69" s="239"/>
    </row>
    <row r="70" spans="1:49" ht="15" customHeight="1">
      <c r="A70" s="232" t="s">
        <v>154</v>
      </c>
      <c r="B70" s="233" t="s">
        <v>86</v>
      </c>
      <c r="C70" s="233" t="s">
        <v>99</v>
      </c>
      <c r="D70" s="233" t="s">
        <v>84</v>
      </c>
      <c r="E70" s="243"/>
      <c r="AI70" s="219"/>
    </row>
    <row r="71" spans="1:49" ht="15" customHeight="1">
      <c r="A71" s="232" t="s">
        <v>136</v>
      </c>
      <c r="B71" s="233">
        <f>+(AB39/$D$42)*$D$43</f>
        <v>0</v>
      </c>
      <c r="C71" s="233">
        <f>+AB38</f>
        <v>0</v>
      </c>
      <c r="D71" s="233">
        <f>+C71-B71</f>
        <v>0</v>
      </c>
      <c r="E71" s="243"/>
      <c r="AI71" s="219"/>
    </row>
    <row r="72" spans="1:49" ht="15" customHeight="1">
      <c r="A72" s="232" t="s">
        <v>137</v>
      </c>
      <c r="B72" s="233">
        <f>+(AC39/$D$42)*$D$43</f>
        <v>0</v>
      </c>
      <c r="C72" s="233">
        <f>+AC38</f>
        <v>0</v>
      </c>
      <c r="D72" s="233">
        <f>+C72-B72</f>
        <v>0</v>
      </c>
      <c r="E72" s="243"/>
      <c r="AI72" s="219"/>
    </row>
    <row r="73" spans="1:49" ht="15" customHeight="1">
      <c r="A73" s="232" t="s">
        <v>53</v>
      </c>
      <c r="B73" s="233">
        <f>+(AD39/$D$42)*$D$43</f>
        <v>0</v>
      </c>
      <c r="C73" s="233">
        <f>+AD38</f>
        <v>0</v>
      </c>
      <c r="D73" s="233">
        <f>+C73-B73</f>
        <v>0</v>
      </c>
      <c r="E73" s="243"/>
      <c r="AI73" s="219"/>
    </row>
    <row r="74" spans="1:49" ht="15" customHeight="1">
      <c r="A74" s="87" t="s">
        <v>62</v>
      </c>
      <c r="B74" s="237">
        <f>SUM(B71:B73)</f>
        <v>0</v>
      </c>
      <c r="C74" s="237">
        <f>SUM(C71:C73)</f>
        <v>0</v>
      </c>
      <c r="D74" s="237">
        <f>+C74-B74</f>
        <v>0</v>
      </c>
      <c r="E74" s="243"/>
      <c r="AA74" s="29"/>
      <c r="AB74" s="29"/>
      <c r="AC74" s="29"/>
      <c r="AD74" s="29"/>
      <c r="AE74" s="29"/>
      <c r="AG74" s="244"/>
      <c r="AH74" s="244"/>
      <c r="AI74" s="219"/>
    </row>
    <row r="75" spans="1:49" ht="13">
      <c r="A75" s="255"/>
      <c r="B75" s="256"/>
      <c r="C75" s="256"/>
      <c r="D75" s="256"/>
      <c r="E75" s="243"/>
      <c r="I75" s="9"/>
      <c r="J75" s="9"/>
      <c r="S75" s="9"/>
      <c r="T75" s="9"/>
      <c r="U75" s="9"/>
      <c r="V75" s="9"/>
      <c r="W75" s="9"/>
      <c r="X75" s="9"/>
      <c r="Y75" s="9"/>
      <c r="Z75" s="9"/>
      <c r="AA75" s="260"/>
      <c r="AB75" s="260"/>
      <c r="AC75" s="260"/>
      <c r="AD75" s="260"/>
      <c r="AE75" s="260"/>
      <c r="AF75" s="9"/>
      <c r="AG75" s="244"/>
      <c r="AH75" s="244"/>
      <c r="AI75" s="219"/>
    </row>
    <row r="76" spans="1:49" ht="13" thickBot="1">
      <c r="A76" s="245"/>
      <c r="B76" s="246"/>
      <c r="C76" s="246"/>
      <c r="D76" s="246"/>
      <c r="E76" s="246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247"/>
      <c r="AB76" s="247"/>
      <c r="AC76" s="247"/>
      <c r="AD76" s="247"/>
      <c r="AE76" s="247"/>
      <c r="AF76" s="55"/>
      <c r="AG76" s="248"/>
      <c r="AH76" s="248"/>
      <c r="AI76" s="231"/>
    </row>
    <row r="77" spans="1:49" s="9" customFormat="1" ht="13">
      <c r="A77" s="249"/>
      <c r="B77" s="243"/>
      <c r="C77" s="243"/>
      <c r="D77" s="243"/>
      <c r="E77" s="24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29"/>
      <c r="AB77" s="29"/>
      <c r="AC77" s="29"/>
      <c r="AD77" s="29"/>
      <c r="AE77" s="29"/>
      <c r="AF77" s="7"/>
    </row>
    <row r="78" spans="1:49">
      <c r="AA78" s="29"/>
      <c r="AB78" s="29"/>
      <c r="AC78" s="29"/>
      <c r="AD78" s="29"/>
      <c r="AE78" s="29"/>
      <c r="AG78" s="244"/>
      <c r="AH78" s="244"/>
    </row>
    <row r="79" spans="1:49">
      <c r="AA79" s="29"/>
      <c r="AB79" s="29"/>
      <c r="AC79" s="29"/>
      <c r="AD79" s="29"/>
      <c r="AE79" s="29"/>
      <c r="AG79" s="244"/>
      <c r="AH79" s="244"/>
    </row>
    <row r="80" spans="1:49">
      <c r="AA80" s="29"/>
      <c r="AB80" s="29"/>
      <c r="AC80" s="29"/>
      <c r="AD80" s="29"/>
      <c r="AE80" s="29"/>
      <c r="AG80" s="244"/>
      <c r="AH80" s="244"/>
    </row>
    <row r="81" spans="33:34">
      <c r="AG81" s="244"/>
      <c r="AH81" s="244"/>
    </row>
    <row r="82" spans="33:34">
      <c r="AG82" s="244"/>
      <c r="AH82" s="244"/>
    </row>
    <row r="83" spans="33:34">
      <c r="AG83" s="244"/>
      <c r="AH83" s="244"/>
    </row>
    <row r="84" spans="33:34">
      <c r="AG84" s="244"/>
      <c r="AH84" s="244"/>
    </row>
    <row r="85" spans="33:34">
      <c r="AG85" s="244"/>
      <c r="AH85" s="244"/>
    </row>
  </sheetData>
  <mergeCells count="32">
    <mergeCell ref="A42:B42"/>
    <mergeCell ref="A43:B43"/>
    <mergeCell ref="A44:B44"/>
    <mergeCell ref="S49:AE49"/>
    <mergeCell ref="V5:W5"/>
    <mergeCell ref="D6:H6"/>
    <mergeCell ref="D39:G39"/>
    <mergeCell ref="J39:U39"/>
    <mergeCell ref="D40:G40"/>
    <mergeCell ref="J40:U40"/>
    <mergeCell ref="J5:K5"/>
    <mergeCell ref="L5:M5"/>
    <mergeCell ref="N5:O5"/>
    <mergeCell ref="P5:Q5"/>
    <mergeCell ref="R5:S5"/>
    <mergeCell ref="T5:U5"/>
    <mergeCell ref="A1:AI1"/>
    <mergeCell ref="A3:A6"/>
    <mergeCell ref="D3:H3"/>
    <mergeCell ref="J3:W3"/>
    <mergeCell ref="X3:X4"/>
    <mergeCell ref="Y3:Y6"/>
    <mergeCell ref="Z3:Z6"/>
    <mergeCell ref="AA3:AA6"/>
    <mergeCell ref="AB3:AB6"/>
    <mergeCell ref="AC3:AC6"/>
    <mergeCell ref="AD3:AD6"/>
    <mergeCell ref="AE3:AE6"/>
    <mergeCell ref="J4:M4"/>
    <mergeCell ref="N4:S4"/>
    <mergeCell ref="T4:U4"/>
    <mergeCell ref="D5:H5"/>
  </mergeCells>
  <printOptions horizontalCentered="1"/>
  <pageMargins left="0" right="0" top="0" bottom="0" header="0" footer="0"/>
  <pageSetup paperSize="9" scale="39" orientation="landscape" r:id="rId1"/>
  <headerFooter alignWithMargins="0"/>
  <ignoredErrors>
    <ignoredError sqref="AE38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0F7D-D850-44BC-8995-C573340DAF8C}">
  <sheetPr>
    <tabColor rgb="FF92D050"/>
    <pageSetUpPr fitToPage="1"/>
  </sheetPr>
  <dimension ref="A1:AW85"/>
  <sheetViews>
    <sheetView showGridLines="0" view="pageBreakPreview" zoomScale="70" zoomScaleSheetLayoutView="70" workbookViewId="0">
      <pane xSplit="1" ySplit="6" topLeftCell="B7" activePane="bottomRight" state="frozen"/>
      <selection sqref="A1:AH2"/>
      <selection pane="topRight" sqref="A1:AH2"/>
      <selection pane="bottomLeft" sqref="A1:AH2"/>
      <selection pane="bottomRight" sqref="A1:AH2"/>
    </sheetView>
  </sheetViews>
  <sheetFormatPr defaultColWidth="8.81640625" defaultRowHeight="12.5"/>
  <cols>
    <col min="1" max="1" width="10.1796875" style="8" customWidth="1"/>
    <col min="2" max="2" width="10.81640625" style="7" bestFit="1" customWidth="1"/>
    <col min="3" max="3" width="12.1796875" style="7" bestFit="1" customWidth="1"/>
    <col min="4" max="11" width="10.453125" style="7" customWidth="1"/>
    <col min="12" max="12" width="11.1796875" style="7" customWidth="1"/>
    <col min="13" max="30" width="10.453125" style="7" customWidth="1"/>
    <col min="31" max="31" width="11.1796875" style="7" customWidth="1"/>
    <col min="32" max="33" width="11.26953125" style="7" customWidth="1"/>
    <col min="34" max="35" width="0.81640625" style="7" customWidth="1"/>
    <col min="36" max="36" width="11.7265625" style="7" customWidth="1"/>
    <col min="37" max="38" width="8.81640625" style="7"/>
    <col min="39" max="47" width="11.81640625" style="7" customWidth="1"/>
    <col min="48" max="16384" width="8.81640625" style="7"/>
  </cols>
  <sheetData>
    <row r="1" spans="1:35" ht="35.15" customHeight="1">
      <c r="A1" s="761">
        <f>+A7</f>
        <v>44774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2"/>
      <c r="AH1" s="762"/>
      <c r="AI1" s="763"/>
    </row>
    <row r="2" spans="1:35" ht="25" customHeight="1" thickBot="1">
      <c r="A2" s="40"/>
      <c r="AI2" s="220" t="s">
        <v>127</v>
      </c>
    </row>
    <row r="3" spans="1:35" ht="17.149999999999999" customHeight="1">
      <c r="A3" s="764" t="s">
        <v>128</v>
      </c>
      <c r="B3" s="114" t="s">
        <v>129</v>
      </c>
      <c r="C3" s="271" t="s">
        <v>130</v>
      </c>
      <c r="D3" s="797"/>
      <c r="E3" s="797"/>
      <c r="F3" s="797"/>
      <c r="G3" s="797"/>
      <c r="H3" s="798"/>
      <c r="I3" s="114" t="s">
        <v>132</v>
      </c>
      <c r="J3" s="799" t="s">
        <v>42</v>
      </c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133</v>
      </c>
      <c r="Z3" s="769" t="s">
        <v>134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5" s="9" customFormat="1" ht="17.149999999999999" customHeight="1">
      <c r="A4" s="765"/>
      <c r="B4" s="115" t="s">
        <v>139</v>
      </c>
      <c r="C4" s="62" t="s">
        <v>69</v>
      </c>
      <c r="D4" s="116" t="s">
        <v>140</v>
      </c>
      <c r="E4" s="64" t="s">
        <v>49</v>
      </c>
      <c r="F4" s="62" t="s">
        <v>141</v>
      </c>
      <c r="G4" s="62" t="s">
        <v>142</v>
      </c>
      <c r="H4" s="116" t="s">
        <v>46</v>
      </c>
      <c r="I4" s="115" t="s">
        <v>88</v>
      </c>
      <c r="J4" s="777" t="s">
        <v>47</v>
      </c>
      <c r="K4" s="782"/>
      <c r="L4" s="782"/>
      <c r="M4" s="778"/>
      <c r="N4" s="777" t="s">
        <v>48</v>
      </c>
      <c r="O4" s="782"/>
      <c r="P4" s="782"/>
      <c r="Q4" s="782"/>
      <c r="R4" s="782"/>
      <c r="S4" s="778"/>
      <c r="T4" s="777" t="s">
        <v>143</v>
      </c>
      <c r="U4" s="778"/>
      <c r="V4" s="254" t="s">
        <v>48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5" ht="30" customHeight="1">
      <c r="A5" s="765"/>
      <c r="B5" s="130" t="s">
        <v>51</v>
      </c>
      <c r="C5" s="130" t="s">
        <v>51</v>
      </c>
      <c r="D5" s="802" t="s">
        <v>51</v>
      </c>
      <c r="E5" s="803"/>
      <c r="F5" s="803"/>
      <c r="G5" s="803"/>
      <c r="H5" s="803"/>
      <c r="I5" s="127" t="s">
        <v>51</v>
      </c>
      <c r="J5" s="818" t="s">
        <v>52</v>
      </c>
      <c r="K5" s="819"/>
      <c r="L5" s="820" t="s">
        <v>53</v>
      </c>
      <c r="M5" s="821"/>
      <c r="N5" s="822" t="s">
        <v>52</v>
      </c>
      <c r="O5" s="823"/>
      <c r="P5" s="820" t="s">
        <v>53</v>
      </c>
      <c r="Q5" s="821"/>
      <c r="R5" s="824" t="s">
        <v>54</v>
      </c>
      <c r="S5" s="825"/>
      <c r="T5" s="824" t="s">
        <v>54</v>
      </c>
      <c r="U5" s="825"/>
      <c r="V5" s="804" t="s">
        <v>50</v>
      </c>
      <c r="W5" s="805"/>
      <c r="X5" s="49" t="s">
        <v>55</v>
      </c>
      <c r="Y5" s="792"/>
      <c r="Z5" s="770"/>
      <c r="AA5" s="773"/>
      <c r="AB5" s="756"/>
      <c r="AC5" s="756"/>
      <c r="AD5" s="756"/>
      <c r="AE5" s="759"/>
      <c r="AG5" s="219"/>
    </row>
    <row r="6" spans="1:35" ht="17.149999999999999" customHeight="1" thickBot="1">
      <c r="A6" s="766"/>
      <c r="B6" s="131" t="s">
        <v>123</v>
      </c>
      <c r="C6" s="128" t="s">
        <v>123</v>
      </c>
      <c r="D6" s="806" t="s">
        <v>123</v>
      </c>
      <c r="E6" s="806"/>
      <c r="F6" s="806"/>
      <c r="G6" s="806"/>
      <c r="H6" s="807"/>
      <c r="I6" s="128" t="s">
        <v>123</v>
      </c>
      <c r="J6" s="65" t="s">
        <v>124</v>
      </c>
      <c r="K6" s="66" t="s">
        <v>123</v>
      </c>
      <c r="L6" s="67" t="s">
        <v>124</v>
      </c>
      <c r="M6" s="68" t="s">
        <v>123</v>
      </c>
      <c r="N6" s="65" t="s">
        <v>124</v>
      </c>
      <c r="O6" s="66" t="s">
        <v>123</v>
      </c>
      <c r="P6" s="67" t="s">
        <v>124</v>
      </c>
      <c r="Q6" s="68" t="s">
        <v>123</v>
      </c>
      <c r="R6" s="69" t="s">
        <v>124</v>
      </c>
      <c r="S6" s="69" t="s">
        <v>123</v>
      </c>
      <c r="T6" s="69" t="s">
        <v>124</v>
      </c>
      <c r="U6" s="69" t="s">
        <v>123</v>
      </c>
      <c r="V6" s="252" t="s">
        <v>124</v>
      </c>
      <c r="W6" s="252" t="s">
        <v>124</v>
      </c>
      <c r="X6" s="70" t="s">
        <v>123</v>
      </c>
      <c r="Y6" s="793"/>
      <c r="Z6" s="771"/>
      <c r="AA6" s="774"/>
      <c r="AB6" s="757"/>
      <c r="AC6" s="757"/>
      <c r="AD6" s="757"/>
      <c r="AE6" s="760"/>
      <c r="AG6" s="219"/>
    </row>
    <row r="7" spans="1:35" ht="17.149999999999999" customHeight="1">
      <c r="A7" s="124">
        <v>44774</v>
      </c>
      <c r="B7" s="123"/>
      <c r="C7" s="121"/>
      <c r="D7" s="122"/>
      <c r="E7" s="123"/>
      <c r="F7" s="121"/>
      <c r="G7" s="122"/>
      <c r="H7" s="122"/>
      <c r="I7" s="121"/>
      <c r="J7" s="119"/>
      <c r="K7" s="120"/>
      <c r="L7" s="121"/>
      <c r="M7" s="119"/>
      <c r="N7" s="122"/>
      <c r="O7" s="122"/>
      <c r="P7" s="121"/>
      <c r="Q7" s="119"/>
      <c r="R7" s="121"/>
      <c r="S7" s="121"/>
      <c r="T7" s="121"/>
      <c r="U7" s="121"/>
      <c r="V7" s="121"/>
      <c r="W7" s="119"/>
      <c r="X7" s="120"/>
      <c r="Y7" s="125">
        <f>SUM(B7,C7,D7,E7,F7,G7,H7,I7,K7,M7,W7,S7,O7,Q7,U7,X7)</f>
        <v>0</v>
      </c>
      <c r="Z7" s="125">
        <f t="shared" ref="Z7:Z34" si="0">SUM(J7,L7,V7,N7,P7,T7,R7)</f>
        <v>0</v>
      </c>
      <c r="AA7" s="126">
        <f t="shared" ref="AA7:AA37" si="1">SUM(B7:X7)</f>
        <v>0</v>
      </c>
      <c r="AB7" s="221"/>
      <c r="AC7" s="106"/>
      <c r="AD7" s="106"/>
      <c r="AE7" s="222">
        <f>SUM(AB7:AD7)</f>
        <v>0</v>
      </c>
      <c r="AG7" s="219"/>
    </row>
    <row r="8" spans="1:35" ht="17.149999999999999" customHeight="1">
      <c r="A8" s="60">
        <f t="shared" ref="A8:A37" si="2">+A7+1</f>
        <v>44775</v>
      </c>
      <c r="B8" s="10"/>
      <c r="C8" s="13"/>
      <c r="D8" s="12"/>
      <c r="E8" s="10"/>
      <c r="F8" s="13"/>
      <c r="G8" s="12"/>
      <c r="H8" s="12"/>
      <c r="I8" s="13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25"/>
      <c r="Y8" s="125">
        <f t="shared" ref="Y8:Y37" si="3">SUM(B8,C8,D8,E8,F8,G8,H8,I8,K8,M8,W8,S8,O8,Q8,U8,X8)</f>
        <v>0</v>
      </c>
      <c r="Z8" s="22">
        <f t="shared" si="0"/>
        <v>0</v>
      </c>
      <c r="AA8" s="21">
        <f t="shared" si="1"/>
        <v>0</v>
      </c>
      <c r="AB8" s="12"/>
      <c r="AC8" s="25"/>
      <c r="AD8" s="25"/>
      <c r="AE8" s="21">
        <f t="shared" ref="AE8:AE34" si="4">SUM(AB8:AD8)</f>
        <v>0</v>
      </c>
      <c r="AG8" s="219"/>
    </row>
    <row r="9" spans="1:35" ht="17.149999999999999" customHeight="1">
      <c r="A9" s="60">
        <f t="shared" si="2"/>
        <v>44776</v>
      </c>
      <c r="B9" s="10"/>
      <c r="C9" s="13"/>
      <c r="D9" s="12"/>
      <c r="E9" s="10"/>
      <c r="F9" s="13"/>
      <c r="G9" s="12"/>
      <c r="H9" s="12"/>
      <c r="I9" s="13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26"/>
      <c r="Y9" s="125">
        <f t="shared" si="3"/>
        <v>0</v>
      </c>
      <c r="Z9" s="22">
        <f t="shared" si="0"/>
        <v>0</v>
      </c>
      <c r="AA9" s="21">
        <f t="shared" si="1"/>
        <v>0</v>
      </c>
      <c r="AB9" s="12"/>
      <c r="AC9" s="26"/>
      <c r="AD9" s="26"/>
      <c r="AE9" s="21">
        <f t="shared" si="4"/>
        <v>0</v>
      </c>
      <c r="AG9" s="219"/>
    </row>
    <row r="10" spans="1:35" ht="17.149999999999999" customHeight="1">
      <c r="A10" s="60">
        <f t="shared" si="2"/>
        <v>44777</v>
      </c>
      <c r="B10" s="10"/>
      <c r="C10" s="13"/>
      <c r="D10" s="12"/>
      <c r="E10" s="10"/>
      <c r="F10" s="13"/>
      <c r="G10" s="12"/>
      <c r="H10" s="12"/>
      <c r="I10" s="13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26"/>
      <c r="Y10" s="125">
        <f t="shared" si="3"/>
        <v>0</v>
      </c>
      <c r="Z10" s="22">
        <f t="shared" si="0"/>
        <v>0</v>
      </c>
      <c r="AA10" s="21">
        <f t="shared" si="1"/>
        <v>0</v>
      </c>
      <c r="AB10" s="12"/>
      <c r="AC10" s="26"/>
      <c r="AD10" s="26"/>
      <c r="AE10" s="21">
        <f t="shared" si="4"/>
        <v>0</v>
      </c>
      <c r="AG10" s="219"/>
    </row>
    <row r="11" spans="1:35" ht="17.149999999999999" customHeight="1">
      <c r="A11" s="60">
        <f t="shared" si="2"/>
        <v>44778</v>
      </c>
      <c r="B11" s="10"/>
      <c r="C11" s="13"/>
      <c r="D11" s="12"/>
      <c r="E11" s="10"/>
      <c r="F11" s="13"/>
      <c r="G11" s="12"/>
      <c r="H11" s="12"/>
      <c r="I11" s="13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26"/>
      <c r="Y11" s="125">
        <f t="shared" si="3"/>
        <v>0</v>
      </c>
      <c r="Z11" s="22">
        <f t="shared" si="0"/>
        <v>0</v>
      </c>
      <c r="AA11" s="21">
        <f t="shared" si="1"/>
        <v>0</v>
      </c>
      <c r="AB11" s="12"/>
      <c r="AC11" s="26"/>
      <c r="AD11" s="26"/>
      <c r="AE11" s="21">
        <f t="shared" si="4"/>
        <v>0</v>
      </c>
      <c r="AG11" s="219"/>
    </row>
    <row r="12" spans="1:35" ht="17.149999999999999" customHeight="1">
      <c r="A12" s="60">
        <f t="shared" si="2"/>
        <v>44779</v>
      </c>
      <c r="B12" s="10"/>
      <c r="C12" s="13"/>
      <c r="D12" s="12"/>
      <c r="E12" s="10"/>
      <c r="F12" s="13"/>
      <c r="G12" s="12"/>
      <c r="H12" s="12"/>
      <c r="I12" s="13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26"/>
      <c r="Y12" s="125">
        <f t="shared" si="3"/>
        <v>0</v>
      </c>
      <c r="Z12" s="22">
        <f t="shared" si="0"/>
        <v>0</v>
      </c>
      <c r="AA12" s="21">
        <f t="shared" si="1"/>
        <v>0</v>
      </c>
      <c r="AB12" s="12"/>
      <c r="AC12" s="26"/>
      <c r="AD12" s="26"/>
      <c r="AE12" s="21">
        <f t="shared" si="4"/>
        <v>0</v>
      </c>
      <c r="AG12" s="219"/>
    </row>
    <row r="13" spans="1:35" ht="17.149999999999999" customHeight="1">
      <c r="A13" s="60">
        <f t="shared" si="2"/>
        <v>44780</v>
      </c>
      <c r="B13" s="10"/>
      <c r="C13" s="13"/>
      <c r="D13" s="12"/>
      <c r="E13" s="10"/>
      <c r="F13" s="13"/>
      <c r="G13" s="12"/>
      <c r="H13" s="12"/>
      <c r="I13" s="13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26"/>
      <c r="Y13" s="125">
        <f t="shared" si="3"/>
        <v>0</v>
      </c>
      <c r="Z13" s="22">
        <f t="shared" si="0"/>
        <v>0</v>
      </c>
      <c r="AA13" s="21">
        <f t="shared" si="1"/>
        <v>0</v>
      </c>
      <c r="AB13" s="12"/>
      <c r="AC13" s="26"/>
      <c r="AD13" s="26"/>
      <c r="AE13" s="21">
        <f t="shared" si="4"/>
        <v>0</v>
      </c>
      <c r="AG13" s="219"/>
    </row>
    <row r="14" spans="1:35" ht="17.149999999999999" customHeight="1">
      <c r="A14" s="60">
        <f t="shared" si="2"/>
        <v>44781</v>
      </c>
      <c r="B14" s="10"/>
      <c r="C14" s="13"/>
      <c r="D14" s="12"/>
      <c r="E14" s="10"/>
      <c r="F14" s="13"/>
      <c r="G14" s="12"/>
      <c r="H14" s="12"/>
      <c r="I14" s="13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6"/>
      <c r="Y14" s="125">
        <f t="shared" si="3"/>
        <v>0</v>
      </c>
      <c r="Z14" s="22">
        <f t="shared" si="0"/>
        <v>0</v>
      </c>
      <c r="AA14" s="21">
        <f t="shared" si="1"/>
        <v>0</v>
      </c>
      <c r="AB14" s="12"/>
      <c r="AC14" s="25"/>
      <c r="AD14" s="25"/>
      <c r="AE14" s="21">
        <f t="shared" si="4"/>
        <v>0</v>
      </c>
      <c r="AG14" s="219"/>
    </row>
    <row r="15" spans="1:35" ht="17.149999999999999" customHeight="1">
      <c r="A15" s="60">
        <f t="shared" si="2"/>
        <v>44782</v>
      </c>
      <c r="B15" s="10"/>
      <c r="C15" s="13"/>
      <c r="D15" s="12"/>
      <c r="E15" s="10"/>
      <c r="F15" s="13"/>
      <c r="G15" s="12"/>
      <c r="H15" s="12"/>
      <c r="I15" s="13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26"/>
      <c r="Y15" s="125">
        <f t="shared" si="3"/>
        <v>0</v>
      </c>
      <c r="Z15" s="22">
        <f t="shared" si="0"/>
        <v>0</v>
      </c>
      <c r="AA15" s="21">
        <f t="shared" si="1"/>
        <v>0</v>
      </c>
      <c r="AB15" s="12"/>
      <c r="AC15" s="26"/>
      <c r="AD15" s="26"/>
      <c r="AE15" s="21">
        <f t="shared" si="4"/>
        <v>0</v>
      </c>
      <c r="AG15" s="219"/>
    </row>
    <row r="16" spans="1:35" ht="17.149999999999999" customHeight="1">
      <c r="A16" s="60">
        <f t="shared" si="2"/>
        <v>44783</v>
      </c>
      <c r="B16" s="10"/>
      <c r="C16" s="13"/>
      <c r="D16" s="12"/>
      <c r="E16" s="10"/>
      <c r="F16" s="13"/>
      <c r="G16" s="12"/>
      <c r="H16" s="12"/>
      <c r="I16" s="13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26"/>
      <c r="Y16" s="125">
        <f t="shared" si="3"/>
        <v>0</v>
      </c>
      <c r="Z16" s="22">
        <f t="shared" si="0"/>
        <v>0</v>
      </c>
      <c r="AA16" s="21">
        <f t="shared" si="1"/>
        <v>0</v>
      </c>
      <c r="AB16" s="12"/>
      <c r="AC16" s="26"/>
      <c r="AD16" s="26"/>
      <c r="AE16" s="21">
        <f t="shared" si="4"/>
        <v>0</v>
      </c>
      <c r="AG16" s="219"/>
    </row>
    <row r="17" spans="1:33" ht="17.149999999999999" customHeight="1">
      <c r="A17" s="60">
        <f t="shared" si="2"/>
        <v>44784</v>
      </c>
      <c r="B17" s="10"/>
      <c r="C17" s="13"/>
      <c r="D17" s="12"/>
      <c r="E17" s="10"/>
      <c r="F17" s="13"/>
      <c r="G17" s="12"/>
      <c r="H17" s="12"/>
      <c r="I17" s="13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26"/>
      <c r="Y17" s="125">
        <f t="shared" si="3"/>
        <v>0</v>
      </c>
      <c r="Z17" s="22">
        <f t="shared" si="0"/>
        <v>0</v>
      </c>
      <c r="AA17" s="21">
        <f t="shared" si="1"/>
        <v>0</v>
      </c>
      <c r="AB17" s="12"/>
      <c r="AC17" s="26"/>
      <c r="AD17" s="26"/>
      <c r="AE17" s="21">
        <f t="shared" si="4"/>
        <v>0</v>
      </c>
      <c r="AG17" s="219"/>
    </row>
    <row r="18" spans="1:33" ht="17.149999999999999" customHeight="1">
      <c r="A18" s="60">
        <f t="shared" si="2"/>
        <v>44785</v>
      </c>
      <c r="B18" s="10"/>
      <c r="C18" s="13"/>
      <c r="D18" s="12"/>
      <c r="E18" s="10"/>
      <c r="F18" s="13"/>
      <c r="G18" s="12"/>
      <c r="H18" s="12"/>
      <c r="I18" s="13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26"/>
      <c r="Y18" s="125">
        <f t="shared" si="3"/>
        <v>0</v>
      </c>
      <c r="Z18" s="22">
        <f t="shared" si="0"/>
        <v>0</v>
      </c>
      <c r="AA18" s="21">
        <f t="shared" si="1"/>
        <v>0</v>
      </c>
      <c r="AB18" s="12"/>
      <c r="AC18" s="26"/>
      <c r="AD18" s="26"/>
      <c r="AE18" s="21">
        <f t="shared" si="4"/>
        <v>0</v>
      </c>
      <c r="AG18" s="219"/>
    </row>
    <row r="19" spans="1:33" ht="17.149999999999999" customHeight="1">
      <c r="A19" s="60">
        <f t="shared" si="2"/>
        <v>44786</v>
      </c>
      <c r="B19" s="10"/>
      <c r="C19" s="13"/>
      <c r="D19" s="12"/>
      <c r="E19" s="10"/>
      <c r="F19" s="13"/>
      <c r="G19" s="12"/>
      <c r="H19" s="12"/>
      <c r="I19" s="13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25"/>
      <c r="Y19" s="125">
        <f t="shared" si="3"/>
        <v>0</v>
      </c>
      <c r="Z19" s="22">
        <f t="shared" si="0"/>
        <v>0</v>
      </c>
      <c r="AA19" s="21">
        <f t="shared" si="1"/>
        <v>0</v>
      </c>
      <c r="AB19" s="12"/>
      <c r="AC19" s="25"/>
      <c r="AD19" s="25"/>
      <c r="AE19" s="21">
        <f t="shared" si="4"/>
        <v>0</v>
      </c>
      <c r="AG19" s="219"/>
    </row>
    <row r="20" spans="1:33" ht="17.149999999999999" customHeight="1">
      <c r="A20" s="60">
        <f t="shared" si="2"/>
        <v>44787</v>
      </c>
      <c r="B20" s="10"/>
      <c r="C20" s="13"/>
      <c r="D20" s="12"/>
      <c r="E20" s="10"/>
      <c r="F20" s="13"/>
      <c r="G20" s="12"/>
      <c r="H20" s="12"/>
      <c r="I20" s="13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27"/>
      <c r="Y20" s="125">
        <f t="shared" si="3"/>
        <v>0</v>
      </c>
      <c r="Z20" s="22">
        <f t="shared" si="0"/>
        <v>0</v>
      </c>
      <c r="AA20" s="21">
        <f t="shared" si="1"/>
        <v>0</v>
      </c>
      <c r="AB20" s="12"/>
      <c r="AC20" s="27"/>
      <c r="AD20" s="27"/>
      <c r="AE20" s="21">
        <f t="shared" si="4"/>
        <v>0</v>
      </c>
      <c r="AG20" s="219"/>
    </row>
    <row r="21" spans="1:33" ht="17.149999999999999" customHeight="1">
      <c r="A21" s="60">
        <f t="shared" si="2"/>
        <v>44788</v>
      </c>
      <c r="B21" s="10"/>
      <c r="C21" s="13"/>
      <c r="D21" s="12"/>
      <c r="E21" s="13"/>
      <c r="F21" s="13"/>
      <c r="G21" s="12"/>
      <c r="H21" s="12"/>
      <c r="I21" s="13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7"/>
      <c r="Y21" s="125">
        <f t="shared" si="3"/>
        <v>0</v>
      </c>
      <c r="Z21" s="22">
        <f t="shared" si="0"/>
        <v>0</v>
      </c>
      <c r="AA21" s="21">
        <f t="shared" si="1"/>
        <v>0</v>
      </c>
      <c r="AB21" s="12"/>
      <c r="AC21" s="27"/>
      <c r="AD21" s="27"/>
      <c r="AE21" s="21">
        <f t="shared" si="4"/>
        <v>0</v>
      </c>
      <c r="AG21" s="219"/>
    </row>
    <row r="22" spans="1:33" ht="17.149999999999999" customHeight="1">
      <c r="A22" s="60">
        <f t="shared" si="2"/>
        <v>44789</v>
      </c>
      <c r="B22" s="10"/>
      <c r="C22" s="13"/>
      <c r="D22" s="12"/>
      <c r="E22" s="10"/>
      <c r="F22" s="13"/>
      <c r="G22" s="12"/>
      <c r="H22" s="12"/>
      <c r="I22" s="13"/>
      <c r="J22" s="11"/>
      <c r="K22" s="13"/>
      <c r="L22" s="13"/>
      <c r="M22" s="266"/>
      <c r="N22" s="266"/>
      <c r="O22" s="13"/>
      <c r="P22" s="13"/>
      <c r="Q22" s="266"/>
      <c r="R22" s="13"/>
      <c r="S22" s="13"/>
      <c r="T22" s="13"/>
      <c r="U22" s="13"/>
      <c r="V22" s="13"/>
      <c r="W22" s="266"/>
      <c r="X22" s="267"/>
      <c r="Y22" s="125">
        <f t="shared" si="3"/>
        <v>0</v>
      </c>
      <c r="Z22" s="22">
        <f t="shared" si="0"/>
        <v>0</v>
      </c>
      <c r="AA22" s="21">
        <f t="shared" si="1"/>
        <v>0</v>
      </c>
      <c r="AB22" s="12"/>
      <c r="AC22" s="25"/>
      <c r="AD22" s="25"/>
      <c r="AE22" s="21">
        <f t="shared" si="4"/>
        <v>0</v>
      </c>
      <c r="AG22" s="219"/>
    </row>
    <row r="23" spans="1:33" ht="17.149999999999999" customHeight="1">
      <c r="A23" s="60">
        <f t="shared" si="2"/>
        <v>44790</v>
      </c>
      <c r="B23" s="10"/>
      <c r="C23" s="13"/>
      <c r="D23" s="12"/>
      <c r="E23" s="10"/>
      <c r="F23" s="13"/>
      <c r="G23" s="12"/>
      <c r="H23" s="12"/>
      <c r="I23" s="13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26"/>
      <c r="Y23" s="125">
        <f t="shared" si="3"/>
        <v>0</v>
      </c>
      <c r="Z23" s="22">
        <f t="shared" si="0"/>
        <v>0</v>
      </c>
      <c r="AA23" s="21">
        <f t="shared" si="1"/>
        <v>0</v>
      </c>
      <c r="AB23" s="12"/>
      <c r="AC23" s="26"/>
      <c r="AD23" s="26"/>
      <c r="AE23" s="21">
        <f t="shared" si="4"/>
        <v>0</v>
      </c>
      <c r="AG23" s="219"/>
    </row>
    <row r="24" spans="1:33" ht="17.149999999999999" customHeight="1">
      <c r="A24" s="60">
        <f t="shared" si="2"/>
        <v>44791</v>
      </c>
      <c r="B24" s="10"/>
      <c r="C24" s="13"/>
      <c r="D24" s="12"/>
      <c r="E24" s="10"/>
      <c r="F24" s="13"/>
      <c r="G24" s="12"/>
      <c r="H24" s="12"/>
      <c r="I24" s="13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6"/>
      <c r="Y24" s="125">
        <f t="shared" si="3"/>
        <v>0</v>
      </c>
      <c r="Z24" s="22">
        <f t="shared" si="0"/>
        <v>0</v>
      </c>
      <c r="AA24" s="21">
        <f t="shared" si="1"/>
        <v>0</v>
      </c>
      <c r="AB24" s="12"/>
      <c r="AC24" s="26"/>
      <c r="AD24" s="26"/>
      <c r="AE24" s="21">
        <f t="shared" si="4"/>
        <v>0</v>
      </c>
      <c r="AG24" s="219"/>
    </row>
    <row r="25" spans="1:33" ht="17.149999999999999" customHeight="1">
      <c r="A25" s="60">
        <f t="shared" si="2"/>
        <v>44792</v>
      </c>
      <c r="B25" s="10"/>
      <c r="C25" s="13"/>
      <c r="D25" s="12"/>
      <c r="E25" s="10"/>
      <c r="F25" s="13"/>
      <c r="G25" s="12"/>
      <c r="H25" s="12"/>
      <c r="I25" s="13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26"/>
      <c r="Y25" s="125">
        <f t="shared" si="3"/>
        <v>0</v>
      </c>
      <c r="Z25" s="22">
        <f t="shared" si="0"/>
        <v>0</v>
      </c>
      <c r="AA25" s="21">
        <f t="shared" si="1"/>
        <v>0</v>
      </c>
      <c r="AB25" s="12"/>
      <c r="AC25" s="26"/>
      <c r="AD25" s="26"/>
      <c r="AE25" s="21">
        <f t="shared" si="4"/>
        <v>0</v>
      </c>
      <c r="AG25" s="219"/>
    </row>
    <row r="26" spans="1:33" ht="17.149999999999999" customHeight="1">
      <c r="A26" s="60">
        <f t="shared" si="2"/>
        <v>44793</v>
      </c>
      <c r="B26" s="10"/>
      <c r="C26" s="13"/>
      <c r="D26" s="12"/>
      <c r="E26" s="10"/>
      <c r="F26" s="13"/>
      <c r="G26" s="12"/>
      <c r="H26" s="12"/>
      <c r="I26" s="13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26"/>
      <c r="Y26" s="125">
        <f t="shared" si="3"/>
        <v>0</v>
      </c>
      <c r="Z26" s="22">
        <f t="shared" si="0"/>
        <v>0</v>
      </c>
      <c r="AA26" s="21">
        <f t="shared" si="1"/>
        <v>0</v>
      </c>
      <c r="AB26" s="12"/>
      <c r="AC26" s="26"/>
      <c r="AD26" s="26"/>
      <c r="AE26" s="21">
        <f t="shared" si="4"/>
        <v>0</v>
      </c>
      <c r="AG26" s="219"/>
    </row>
    <row r="27" spans="1:33" ht="17.149999999999999" customHeight="1">
      <c r="A27" s="60">
        <f t="shared" si="2"/>
        <v>44794</v>
      </c>
      <c r="B27" s="10"/>
      <c r="C27" s="13"/>
      <c r="D27" s="57"/>
      <c r="E27" s="13"/>
      <c r="F27" s="13"/>
      <c r="G27" s="12"/>
      <c r="H27" s="12"/>
      <c r="I27" s="13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26"/>
      <c r="Y27" s="125">
        <f t="shared" si="3"/>
        <v>0</v>
      </c>
      <c r="Z27" s="22">
        <f t="shared" si="0"/>
        <v>0</v>
      </c>
      <c r="AA27" s="21">
        <f t="shared" si="1"/>
        <v>0</v>
      </c>
      <c r="AB27" s="12"/>
      <c r="AC27" s="26"/>
      <c r="AD27" s="26"/>
      <c r="AE27" s="21">
        <f t="shared" si="4"/>
        <v>0</v>
      </c>
      <c r="AG27" s="219"/>
    </row>
    <row r="28" spans="1:33" ht="17.149999999999999" customHeight="1">
      <c r="A28" s="60">
        <f t="shared" si="2"/>
        <v>44795</v>
      </c>
      <c r="B28" s="10"/>
      <c r="C28" s="13"/>
      <c r="D28" s="12"/>
      <c r="E28" s="10"/>
      <c r="F28" s="13"/>
      <c r="G28" s="12"/>
      <c r="H28" s="12"/>
      <c r="I28" s="13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26"/>
      <c r="Y28" s="125">
        <f t="shared" si="3"/>
        <v>0</v>
      </c>
      <c r="Z28" s="22">
        <f t="shared" si="0"/>
        <v>0</v>
      </c>
      <c r="AA28" s="21">
        <f t="shared" si="1"/>
        <v>0</v>
      </c>
      <c r="AB28" s="12"/>
      <c r="AC28" s="26"/>
      <c r="AD28" s="26"/>
      <c r="AE28" s="21">
        <f t="shared" si="4"/>
        <v>0</v>
      </c>
      <c r="AG28" s="219"/>
    </row>
    <row r="29" spans="1:33" ht="17.149999999999999" customHeight="1">
      <c r="A29" s="60">
        <f t="shared" si="2"/>
        <v>44796</v>
      </c>
      <c r="B29" s="10"/>
      <c r="C29" s="13"/>
      <c r="D29" s="12"/>
      <c r="E29" s="13"/>
      <c r="F29" s="12"/>
      <c r="G29" s="12"/>
      <c r="H29" s="12"/>
      <c r="I29" s="13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6"/>
      <c r="Y29" s="125">
        <f t="shared" si="3"/>
        <v>0</v>
      </c>
      <c r="Z29" s="22">
        <f t="shared" si="0"/>
        <v>0</v>
      </c>
      <c r="AA29" s="21">
        <f t="shared" si="1"/>
        <v>0</v>
      </c>
      <c r="AB29" s="12"/>
      <c r="AC29" s="26"/>
      <c r="AD29" s="26"/>
      <c r="AE29" s="21">
        <f t="shared" si="4"/>
        <v>0</v>
      </c>
      <c r="AG29" s="219"/>
    </row>
    <row r="30" spans="1:33" ht="17.149999999999999" customHeight="1">
      <c r="A30" s="60">
        <f t="shared" si="2"/>
        <v>44797</v>
      </c>
      <c r="B30" s="10"/>
      <c r="C30" s="13"/>
      <c r="D30" s="12"/>
      <c r="E30" s="10"/>
      <c r="F30" s="13"/>
      <c r="G30" s="12"/>
      <c r="H30" s="12"/>
      <c r="I30" s="13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26"/>
      <c r="Y30" s="125">
        <f t="shared" si="3"/>
        <v>0</v>
      </c>
      <c r="Z30" s="22">
        <f t="shared" si="0"/>
        <v>0</v>
      </c>
      <c r="AA30" s="21">
        <f t="shared" si="1"/>
        <v>0</v>
      </c>
      <c r="AB30" s="12"/>
      <c r="AC30" s="26"/>
      <c r="AD30" s="26"/>
      <c r="AE30" s="21">
        <f t="shared" si="4"/>
        <v>0</v>
      </c>
      <c r="AG30" s="219"/>
    </row>
    <row r="31" spans="1:33" ht="17.149999999999999" customHeight="1">
      <c r="A31" s="60">
        <f t="shared" si="2"/>
        <v>44798</v>
      </c>
      <c r="B31" s="10"/>
      <c r="C31" s="13"/>
      <c r="D31" s="272"/>
      <c r="E31" s="10"/>
      <c r="F31" s="10"/>
      <c r="G31" s="10"/>
      <c r="H31" s="10"/>
      <c r="I31" s="13"/>
      <c r="J31" s="11"/>
      <c r="K31" s="13"/>
      <c r="L31" s="11"/>
      <c r="M31" s="11"/>
      <c r="N31" s="11"/>
      <c r="O31" s="13"/>
      <c r="P31" s="11"/>
      <c r="Q31" s="11"/>
      <c r="R31" s="11"/>
      <c r="S31" s="11"/>
      <c r="T31" s="11"/>
      <c r="U31" s="11"/>
      <c r="V31" s="11"/>
      <c r="W31" s="11"/>
      <c r="X31" s="11"/>
      <c r="Y31" s="125">
        <f t="shared" si="3"/>
        <v>0</v>
      </c>
      <c r="Z31" s="22">
        <f t="shared" si="0"/>
        <v>0</v>
      </c>
      <c r="AA31" s="21">
        <f t="shared" si="1"/>
        <v>0</v>
      </c>
      <c r="AB31" s="12"/>
      <c r="AC31" s="11"/>
      <c r="AD31" s="12"/>
      <c r="AE31" s="21">
        <f t="shared" si="4"/>
        <v>0</v>
      </c>
      <c r="AG31" s="219"/>
    </row>
    <row r="32" spans="1:33" ht="17.149999999999999" customHeight="1">
      <c r="A32" s="60">
        <f t="shared" si="2"/>
        <v>44799</v>
      </c>
      <c r="B32" s="25"/>
      <c r="C32" s="13"/>
      <c r="D32" s="272"/>
      <c r="E32" s="10"/>
      <c r="F32" s="10"/>
      <c r="G32" s="10"/>
      <c r="H32" s="10"/>
      <c r="I32" s="13"/>
      <c r="J32" s="11"/>
      <c r="K32" s="13"/>
      <c r="L32" s="10"/>
      <c r="M32" s="10"/>
      <c r="N32" s="10"/>
      <c r="O32" s="13"/>
      <c r="P32" s="10"/>
      <c r="Q32" s="10"/>
      <c r="R32" s="10"/>
      <c r="S32" s="10"/>
      <c r="T32" s="10"/>
      <c r="U32" s="10"/>
      <c r="V32" s="10"/>
      <c r="W32" s="10"/>
      <c r="X32" s="10"/>
      <c r="Y32" s="125">
        <f t="shared" si="3"/>
        <v>0</v>
      </c>
      <c r="Z32" s="22">
        <f t="shared" si="0"/>
        <v>0</v>
      </c>
      <c r="AA32" s="21">
        <f t="shared" si="1"/>
        <v>0</v>
      </c>
      <c r="AB32" s="12"/>
      <c r="AC32" s="10"/>
      <c r="AD32" s="25"/>
      <c r="AE32" s="21">
        <f t="shared" si="4"/>
        <v>0</v>
      </c>
      <c r="AG32" s="219"/>
    </row>
    <row r="33" spans="1:35" ht="17.149999999999999" customHeight="1">
      <c r="A33" s="60">
        <f t="shared" si="2"/>
        <v>44800</v>
      </c>
      <c r="B33" s="10"/>
      <c r="C33" s="13"/>
      <c r="D33" s="12"/>
      <c r="E33" s="10"/>
      <c r="F33" s="13"/>
      <c r="G33" s="12"/>
      <c r="H33" s="12"/>
      <c r="I33" s="13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26"/>
      <c r="Y33" s="125">
        <f t="shared" si="3"/>
        <v>0</v>
      </c>
      <c r="Z33" s="22">
        <f t="shared" si="0"/>
        <v>0</v>
      </c>
      <c r="AA33" s="21">
        <f t="shared" si="1"/>
        <v>0</v>
      </c>
      <c r="AB33" s="12"/>
      <c r="AC33" s="26"/>
      <c r="AD33" s="26"/>
      <c r="AE33" s="21">
        <f t="shared" si="4"/>
        <v>0</v>
      </c>
      <c r="AG33" s="219"/>
    </row>
    <row r="34" spans="1:35" ht="17.149999999999999" customHeight="1">
      <c r="A34" s="60">
        <f t="shared" si="2"/>
        <v>44801</v>
      </c>
      <c r="B34" s="10"/>
      <c r="C34" s="13"/>
      <c r="D34" s="12"/>
      <c r="E34" s="10"/>
      <c r="F34" s="13"/>
      <c r="G34" s="12"/>
      <c r="H34" s="12"/>
      <c r="I34" s="13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26"/>
      <c r="Y34" s="125">
        <f t="shared" si="3"/>
        <v>0</v>
      </c>
      <c r="Z34" s="22">
        <f t="shared" si="0"/>
        <v>0</v>
      </c>
      <c r="AA34" s="21">
        <f t="shared" si="1"/>
        <v>0</v>
      </c>
      <c r="AB34" s="12"/>
      <c r="AC34" s="26"/>
      <c r="AD34" s="26"/>
      <c r="AE34" s="21">
        <f t="shared" si="4"/>
        <v>0</v>
      </c>
      <c r="AG34" s="219"/>
    </row>
    <row r="35" spans="1:35" ht="17.149999999999999" customHeight="1">
      <c r="A35" s="60">
        <f t="shared" si="2"/>
        <v>44802</v>
      </c>
      <c r="B35" s="10"/>
      <c r="C35" s="13"/>
      <c r="D35" s="12"/>
      <c r="E35" s="10"/>
      <c r="F35" s="13"/>
      <c r="G35" s="12"/>
      <c r="H35" s="12"/>
      <c r="I35" s="13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26"/>
      <c r="Y35" s="125">
        <f t="shared" si="3"/>
        <v>0</v>
      </c>
      <c r="Z35" s="22">
        <f t="shared" ref="Z35:Z37" si="5">SUM(J35,L35,V35,N35,P35,T35,R35)</f>
        <v>0</v>
      </c>
      <c r="AA35" s="21">
        <f t="shared" si="1"/>
        <v>0</v>
      </c>
      <c r="AB35" s="12"/>
      <c r="AC35" s="26"/>
      <c r="AD35" s="26"/>
      <c r="AE35" s="21">
        <f t="shared" ref="AE35:AE37" si="6">SUM(AB35:AD35)</f>
        <v>0</v>
      </c>
      <c r="AG35" s="219"/>
    </row>
    <row r="36" spans="1:35" ht="17.149999999999999" customHeight="1">
      <c r="A36" s="60">
        <f t="shared" si="2"/>
        <v>44803</v>
      </c>
      <c r="B36" s="10"/>
      <c r="C36" s="13"/>
      <c r="D36" s="12"/>
      <c r="E36" s="10"/>
      <c r="F36" s="13"/>
      <c r="G36" s="12"/>
      <c r="H36" s="12"/>
      <c r="I36" s="13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26"/>
      <c r="Y36" s="125">
        <f t="shared" si="3"/>
        <v>0</v>
      </c>
      <c r="Z36" s="22">
        <f t="shared" si="5"/>
        <v>0</v>
      </c>
      <c r="AA36" s="21">
        <f t="shared" si="1"/>
        <v>0</v>
      </c>
      <c r="AB36" s="12"/>
      <c r="AC36" s="26"/>
      <c r="AD36" s="26"/>
      <c r="AE36" s="21">
        <f t="shared" si="6"/>
        <v>0</v>
      </c>
      <c r="AG36" s="219"/>
    </row>
    <row r="37" spans="1:35" ht="17.149999999999999" customHeight="1">
      <c r="A37" s="60">
        <f t="shared" si="2"/>
        <v>44804</v>
      </c>
      <c r="B37" s="10"/>
      <c r="C37" s="13"/>
      <c r="D37" s="12"/>
      <c r="E37" s="10"/>
      <c r="F37" s="13"/>
      <c r="G37" s="12"/>
      <c r="H37" s="12"/>
      <c r="I37" s="13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26"/>
      <c r="Y37" s="125">
        <f t="shared" si="3"/>
        <v>0</v>
      </c>
      <c r="Z37" s="22">
        <f t="shared" si="5"/>
        <v>0</v>
      </c>
      <c r="AA37" s="21">
        <f t="shared" si="1"/>
        <v>0</v>
      </c>
      <c r="AB37" s="12"/>
      <c r="AC37" s="26"/>
      <c r="AD37" s="26"/>
      <c r="AE37" s="21">
        <f t="shared" si="6"/>
        <v>0</v>
      </c>
      <c r="AG37" s="219"/>
    </row>
    <row r="38" spans="1:35" s="14" customFormat="1" ht="17.149999999999999" customHeight="1">
      <c r="A38" s="71" t="s">
        <v>38</v>
      </c>
      <c r="B38" s="72">
        <f t="shared" ref="B38:AE38" si="7">SUM(B7:B37)</f>
        <v>0</v>
      </c>
      <c r="C38" s="72">
        <f t="shared" si="7"/>
        <v>0</v>
      </c>
      <c r="D38" s="269">
        <f t="shared" si="7"/>
        <v>0</v>
      </c>
      <c r="E38" s="72">
        <f t="shared" si="7"/>
        <v>0</v>
      </c>
      <c r="F38" s="72">
        <f t="shared" si="7"/>
        <v>0</v>
      </c>
      <c r="G38" s="72">
        <f t="shared" si="7"/>
        <v>0</v>
      </c>
      <c r="H38" s="72">
        <f t="shared" si="7"/>
        <v>0</v>
      </c>
      <c r="I38" s="72">
        <f t="shared" si="7"/>
        <v>0</v>
      </c>
      <c r="J38" s="73">
        <f t="shared" si="7"/>
        <v>0</v>
      </c>
      <c r="K38" s="73">
        <f t="shared" si="7"/>
        <v>0</v>
      </c>
      <c r="L38" s="74">
        <f t="shared" si="7"/>
        <v>0</v>
      </c>
      <c r="M38" s="74">
        <f t="shared" si="7"/>
        <v>0</v>
      </c>
      <c r="N38" s="73">
        <f t="shared" si="7"/>
        <v>0</v>
      </c>
      <c r="O38" s="73">
        <f t="shared" si="7"/>
        <v>0</v>
      </c>
      <c r="P38" s="74">
        <f t="shared" si="7"/>
        <v>0</v>
      </c>
      <c r="Q38" s="74">
        <f t="shared" si="7"/>
        <v>0</v>
      </c>
      <c r="R38" s="75">
        <f t="shared" si="7"/>
        <v>0</v>
      </c>
      <c r="S38" s="75">
        <f t="shared" si="7"/>
        <v>0</v>
      </c>
      <c r="T38" s="75">
        <f t="shared" si="7"/>
        <v>0</v>
      </c>
      <c r="U38" s="75">
        <f t="shared" si="7"/>
        <v>0</v>
      </c>
      <c r="V38" s="63">
        <f t="shared" si="7"/>
        <v>0</v>
      </c>
      <c r="W38" s="63">
        <f t="shared" si="7"/>
        <v>0</v>
      </c>
      <c r="X38" s="76">
        <f t="shared" si="7"/>
        <v>0</v>
      </c>
      <c r="Y38" s="77">
        <f t="shared" si="7"/>
        <v>0</v>
      </c>
      <c r="Z38" s="78">
        <f t="shared" si="7"/>
        <v>0</v>
      </c>
      <c r="AA38" s="79">
        <f t="shared" si="7"/>
        <v>0</v>
      </c>
      <c r="AB38" s="223">
        <f t="shared" si="7"/>
        <v>0</v>
      </c>
      <c r="AC38" s="224">
        <f t="shared" si="7"/>
        <v>0</v>
      </c>
      <c r="AD38" s="224">
        <f t="shared" si="7"/>
        <v>0</v>
      </c>
      <c r="AE38" s="225">
        <f t="shared" si="7"/>
        <v>0</v>
      </c>
      <c r="AG38" s="234"/>
    </row>
    <row r="39" spans="1:35" s="14" customFormat="1" ht="17.149999999999999" customHeight="1">
      <c r="A39" s="71" t="s">
        <v>86</v>
      </c>
      <c r="B39" s="117"/>
      <c r="C39" s="72"/>
      <c r="D39" s="808"/>
      <c r="E39" s="808"/>
      <c r="F39" s="808"/>
      <c r="G39" s="809"/>
      <c r="H39" s="72"/>
      <c r="I39" s="129"/>
      <c r="J39" s="810"/>
      <c r="K39" s="811"/>
      <c r="L39" s="811"/>
      <c r="M39" s="811"/>
      <c r="N39" s="811"/>
      <c r="O39" s="811"/>
      <c r="P39" s="811"/>
      <c r="Q39" s="811"/>
      <c r="R39" s="811"/>
      <c r="S39" s="811"/>
      <c r="T39" s="811"/>
      <c r="U39" s="812"/>
      <c r="V39" s="253"/>
      <c r="W39" s="253"/>
      <c r="X39" s="76"/>
      <c r="Y39" s="77">
        <f>SUM(B39:I39,X39)</f>
        <v>0</v>
      </c>
      <c r="Z39" s="78">
        <f>SUM(J39:W39)</f>
        <v>0</v>
      </c>
      <c r="AA39" s="79">
        <f>+Y39+Z39</f>
        <v>0</v>
      </c>
      <c r="AB39" s="223"/>
      <c r="AC39" s="224"/>
      <c r="AD39" s="224"/>
      <c r="AE39" s="225">
        <f>SUM(AB39:AD39)</f>
        <v>0</v>
      </c>
      <c r="AG39" s="234"/>
    </row>
    <row r="40" spans="1:35" s="14" customFormat="1" ht="17.149999999999999" customHeight="1" thickBot="1">
      <c r="A40" s="80" t="s">
        <v>144</v>
      </c>
      <c r="B40" s="118">
        <f>SUM(B38)-B39</f>
        <v>0</v>
      </c>
      <c r="C40" s="82">
        <f>C38-C39</f>
        <v>0</v>
      </c>
      <c r="D40" s="813">
        <f>SUM(D38:G38)-D39</f>
        <v>0</v>
      </c>
      <c r="E40" s="813"/>
      <c r="F40" s="813"/>
      <c r="G40" s="814"/>
      <c r="H40" s="82">
        <f>+H38-H39</f>
        <v>0</v>
      </c>
      <c r="I40" s="118">
        <f>I38-I39</f>
        <v>0</v>
      </c>
      <c r="J40" s="815">
        <f>SUM(J38:U38)-J39</f>
        <v>0</v>
      </c>
      <c r="K40" s="816"/>
      <c r="L40" s="816"/>
      <c r="M40" s="816"/>
      <c r="N40" s="816"/>
      <c r="O40" s="816"/>
      <c r="P40" s="816"/>
      <c r="Q40" s="816"/>
      <c r="R40" s="816"/>
      <c r="S40" s="816"/>
      <c r="T40" s="816"/>
      <c r="U40" s="817"/>
      <c r="V40" s="253">
        <f t="shared" ref="V40:W40" si="8">(V38)-V39</f>
        <v>0</v>
      </c>
      <c r="W40" s="253">
        <f t="shared" si="8"/>
        <v>0</v>
      </c>
      <c r="X40" s="83">
        <f>(X38)-X39</f>
        <v>0</v>
      </c>
      <c r="Y40" s="84">
        <f>Y38-Y39</f>
        <v>0</v>
      </c>
      <c r="Z40" s="85">
        <f>Z38-Z39</f>
        <v>0</v>
      </c>
      <c r="AA40" s="86">
        <f>AA38-AA39</f>
        <v>0</v>
      </c>
      <c r="AB40" s="226">
        <f t="shared" ref="AB40:AE40" si="9">AB38-AB39</f>
        <v>0</v>
      </c>
      <c r="AC40" s="227">
        <f t="shared" si="9"/>
        <v>0</v>
      </c>
      <c r="AD40" s="227">
        <f t="shared" si="9"/>
        <v>0</v>
      </c>
      <c r="AE40" s="228">
        <f t="shared" si="9"/>
        <v>0</v>
      </c>
      <c r="AG40" s="234"/>
    </row>
    <row r="41" spans="1:35" ht="17.149999999999999" customHeight="1" thickBot="1">
      <c r="A41" s="40"/>
      <c r="AI41" s="219"/>
    </row>
    <row r="42" spans="1:35" ht="17.149999999999999" customHeight="1">
      <c r="A42" s="767" t="s">
        <v>145</v>
      </c>
      <c r="B42" s="768"/>
      <c r="C42" s="36">
        <v>30.5</v>
      </c>
      <c r="D42" s="36">
        <v>28.5</v>
      </c>
      <c r="E42" s="229" t="s">
        <v>146</v>
      </c>
      <c r="AI42" s="219"/>
    </row>
    <row r="43" spans="1:35" ht="17.149999999999999" customHeight="1">
      <c r="A43" s="786" t="s">
        <v>147</v>
      </c>
      <c r="B43" s="787"/>
      <c r="C43" s="258">
        <v>0</v>
      </c>
      <c r="D43" s="258">
        <v>0</v>
      </c>
      <c r="E43" s="219" t="s">
        <v>146</v>
      </c>
      <c r="AI43" s="219"/>
    </row>
    <row r="44" spans="1:35" ht="17.149999999999999" customHeight="1" thickBot="1">
      <c r="A44" s="788" t="s">
        <v>148</v>
      </c>
      <c r="B44" s="789"/>
      <c r="C44" s="230">
        <f>+C42-C43</f>
        <v>30.5</v>
      </c>
      <c r="D44" s="230">
        <f>+D42-D43</f>
        <v>28.5</v>
      </c>
      <c r="E44" s="231" t="s">
        <v>146</v>
      </c>
      <c r="AI44" s="219"/>
    </row>
    <row r="45" spans="1:35" ht="17.149999999999999" customHeight="1">
      <c r="A45" s="41"/>
      <c r="AI45" s="219"/>
    </row>
    <row r="46" spans="1:35" ht="17.149999999999999" customHeight="1">
      <c r="A46" s="42" t="s">
        <v>149</v>
      </c>
      <c r="AI46" s="219"/>
    </row>
    <row r="47" spans="1:35" ht="17.149999999999999" customHeight="1">
      <c r="A47" s="232" t="s">
        <v>72</v>
      </c>
      <c r="B47" s="233" t="s">
        <v>86</v>
      </c>
      <c r="C47" s="233" t="s">
        <v>99</v>
      </c>
      <c r="D47" s="233" t="s">
        <v>84</v>
      </c>
      <c r="AG47" s="259"/>
      <c r="AH47" s="259"/>
      <c r="AI47" s="234"/>
    </row>
    <row r="48" spans="1:35" ht="17.149999999999999" customHeight="1">
      <c r="A48" s="232" t="s">
        <v>39</v>
      </c>
      <c r="B48" s="233">
        <f>(B39/$C$42)*$C$43</f>
        <v>0</v>
      </c>
      <c r="C48" s="233">
        <f>SUM(B38:B38)</f>
        <v>0</v>
      </c>
      <c r="D48" s="233">
        <f t="shared" ref="D48:D59" si="10">+C48-B48</f>
        <v>0</v>
      </c>
      <c r="S48" s="23"/>
      <c r="Z48" s="23"/>
      <c r="AA48" s="23"/>
      <c r="AB48" s="23"/>
      <c r="AC48" s="23"/>
      <c r="AD48" s="23"/>
      <c r="AE48" s="23"/>
      <c r="AI48" s="219"/>
    </row>
    <row r="49" spans="1:36" ht="17.149999999999999" customHeight="1">
      <c r="A49" s="232" t="s">
        <v>40</v>
      </c>
      <c r="B49" s="233">
        <f>(C39/$C$42)*$C$43</f>
        <v>0</v>
      </c>
      <c r="C49" s="233">
        <f>SUM(C38:C38)</f>
        <v>0</v>
      </c>
      <c r="D49" s="233">
        <f t="shared" si="10"/>
        <v>0</v>
      </c>
      <c r="N49" s="9"/>
      <c r="O49" s="9"/>
      <c r="P49" s="9"/>
      <c r="Q49" s="9"/>
      <c r="R49" s="9"/>
      <c r="S49" s="790"/>
      <c r="T49" s="790"/>
      <c r="U49" s="790"/>
      <c r="V49" s="790"/>
      <c r="W49" s="790"/>
      <c r="X49" s="790"/>
      <c r="Y49" s="790"/>
      <c r="Z49" s="790"/>
      <c r="AA49" s="790"/>
      <c r="AB49" s="790"/>
      <c r="AC49" s="790"/>
      <c r="AD49" s="790"/>
      <c r="AE49" s="790"/>
      <c r="AF49" s="235"/>
      <c r="AG49" s="235"/>
      <c r="AH49" s="235"/>
      <c r="AI49" s="236"/>
      <c r="AJ49" s="235"/>
    </row>
    <row r="50" spans="1:36" ht="17.149999999999999" customHeight="1">
      <c r="A50" s="232" t="s">
        <v>150</v>
      </c>
      <c r="B50" s="233">
        <f>+(D39/$C$42)*$C$43</f>
        <v>0</v>
      </c>
      <c r="C50" s="233">
        <f>SUM(D38:G38)</f>
        <v>0</v>
      </c>
      <c r="D50" s="233">
        <f t="shared" si="10"/>
        <v>0</v>
      </c>
      <c r="AI50" s="219"/>
    </row>
    <row r="51" spans="1:36" ht="17.149999999999999" customHeight="1">
      <c r="A51" s="232" t="s">
        <v>87</v>
      </c>
      <c r="B51" s="233">
        <f>+(H39/$C$42)*$C$43</f>
        <v>0</v>
      </c>
      <c r="C51" s="233">
        <f>SUM(H38)</f>
        <v>0</v>
      </c>
      <c r="D51" s="233">
        <f t="shared" si="10"/>
        <v>0</v>
      </c>
      <c r="AI51" s="219"/>
    </row>
    <row r="52" spans="1:36" ht="17.149999999999999" customHeight="1">
      <c r="A52" s="250" t="s">
        <v>88</v>
      </c>
      <c r="B52" s="251">
        <f>+(I39/$C$42)*$C$43</f>
        <v>0</v>
      </c>
      <c r="C52" s="251">
        <f>+I38</f>
        <v>0</v>
      </c>
      <c r="D52" s="251">
        <f t="shared" si="10"/>
        <v>0</v>
      </c>
      <c r="AI52" s="219"/>
    </row>
    <row r="53" spans="1:36" ht="17.149999999999999" customHeight="1">
      <c r="A53" s="232" t="s">
        <v>43</v>
      </c>
      <c r="B53" s="233">
        <f>+(X39/$C$42)*$C$43</f>
        <v>0</v>
      </c>
      <c r="C53" s="233">
        <f>+X38</f>
        <v>0</v>
      </c>
      <c r="D53" s="233">
        <f t="shared" si="10"/>
        <v>0</v>
      </c>
      <c r="T53" s="9"/>
      <c r="U53" s="9"/>
      <c r="V53" s="9"/>
      <c r="W53" s="9"/>
      <c r="X53" s="9"/>
      <c r="AI53" s="219"/>
    </row>
    <row r="54" spans="1:36" ht="17.149999999999999" customHeight="1">
      <c r="A54" s="87" t="s">
        <v>151</v>
      </c>
      <c r="B54" s="237">
        <f>SUM(B48:B53)</f>
        <v>0</v>
      </c>
      <c r="C54" s="237">
        <f>SUM(C48:C53)</f>
        <v>0</v>
      </c>
      <c r="D54" s="237">
        <f t="shared" si="10"/>
        <v>0</v>
      </c>
      <c r="T54" s="9"/>
      <c r="U54" s="9"/>
      <c r="V54" s="9"/>
      <c r="W54" s="9"/>
      <c r="X54" s="9"/>
      <c r="AI54" s="219"/>
    </row>
    <row r="55" spans="1:36" ht="17.149999999999999" customHeight="1">
      <c r="A55" s="232" t="s">
        <v>91</v>
      </c>
      <c r="B55" s="233">
        <f>+(J39/$C$42)*$C$43</f>
        <v>0</v>
      </c>
      <c r="C55" s="233">
        <f>SUM(J38:U38)</f>
        <v>0</v>
      </c>
      <c r="D55" s="233">
        <f t="shared" si="10"/>
        <v>0</v>
      </c>
      <c r="T55" s="9"/>
      <c r="U55" s="9"/>
      <c r="V55" s="9"/>
      <c r="W55" s="9"/>
      <c r="X55" s="9"/>
      <c r="AI55" s="219"/>
    </row>
    <row r="56" spans="1:36" ht="17.149999999999999" customHeight="1">
      <c r="A56" s="232" t="s">
        <v>92</v>
      </c>
      <c r="B56" s="233">
        <f>+(V39/$C$42)*$C$43</f>
        <v>0</v>
      </c>
      <c r="C56" s="233">
        <f>+V38</f>
        <v>0</v>
      </c>
      <c r="D56" s="233">
        <f t="shared" si="10"/>
        <v>0</v>
      </c>
      <c r="T56" s="9"/>
      <c r="U56" s="9"/>
      <c r="V56" s="9"/>
      <c r="W56" s="9"/>
      <c r="X56" s="9"/>
      <c r="AI56" s="219"/>
    </row>
    <row r="57" spans="1:36" ht="17.149999999999999" customHeight="1">
      <c r="A57" s="232" t="s">
        <v>93</v>
      </c>
      <c r="B57" s="233">
        <f>+(W39/$C$42)*$C$43</f>
        <v>0</v>
      </c>
      <c r="C57" s="233">
        <f>+W38</f>
        <v>0</v>
      </c>
      <c r="D57" s="233">
        <f t="shared" si="10"/>
        <v>0</v>
      </c>
      <c r="AI57" s="219"/>
    </row>
    <row r="58" spans="1:36" ht="17.149999999999999" customHeight="1">
      <c r="A58" s="87" t="s">
        <v>152</v>
      </c>
      <c r="B58" s="237">
        <f>SUM(B55:B57)</f>
        <v>0</v>
      </c>
      <c r="C58" s="237">
        <f>SUM(C55:C57)</f>
        <v>0</v>
      </c>
      <c r="D58" s="237">
        <f t="shared" si="10"/>
        <v>0</v>
      </c>
      <c r="AI58" s="219"/>
    </row>
    <row r="59" spans="1:36" ht="17.149999999999999" customHeight="1">
      <c r="A59" s="87" t="s">
        <v>94</v>
      </c>
      <c r="B59" s="237">
        <f>SUM(B54,B58)</f>
        <v>0</v>
      </c>
      <c r="C59" s="237">
        <f>SUM(C54,C58)</f>
        <v>0</v>
      </c>
      <c r="D59" s="237">
        <f t="shared" si="10"/>
        <v>0</v>
      </c>
      <c r="AI59" s="219"/>
    </row>
    <row r="60" spans="1:36" ht="17.149999999999999" customHeight="1">
      <c r="A60" s="40"/>
      <c r="AI60" s="219"/>
    </row>
    <row r="61" spans="1:36" ht="17.149999999999999" customHeight="1">
      <c r="A61" s="42" t="s">
        <v>153</v>
      </c>
      <c r="AI61" s="219"/>
    </row>
    <row r="62" spans="1:36" ht="17.149999999999999" customHeight="1">
      <c r="A62" s="232" t="s">
        <v>154</v>
      </c>
      <c r="B62" s="233" t="s">
        <v>86</v>
      </c>
      <c r="C62" s="233" t="s">
        <v>99</v>
      </c>
      <c r="D62" s="233" t="s">
        <v>84</v>
      </c>
      <c r="AI62" s="219"/>
    </row>
    <row r="63" spans="1:36" ht="17.149999999999999" customHeight="1">
      <c r="A63" s="232" t="s">
        <v>51</v>
      </c>
      <c r="B63" s="233">
        <f>SUM(B50,B51,B48,B49)</f>
        <v>0</v>
      </c>
      <c r="C63" s="233">
        <f>SUM(C50,C51)</f>
        <v>0</v>
      </c>
      <c r="D63" s="233">
        <f t="shared" ref="D63:D67" si="11">+C63-B63</f>
        <v>0</v>
      </c>
      <c r="AI63" s="219"/>
    </row>
    <row r="64" spans="1:36" ht="17.149999999999999" customHeight="1">
      <c r="A64" s="232" t="s">
        <v>50</v>
      </c>
      <c r="B64" s="233">
        <f>SUM(B56,B57)</f>
        <v>0</v>
      </c>
      <c r="C64" s="233">
        <f>SUM(C48,C49,C57)</f>
        <v>0</v>
      </c>
      <c r="D64" s="233">
        <f t="shared" si="11"/>
        <v>0</v>
      </c>
      <c r="AI64" s="219"/>
    </row>
    <row r="65" spans="1:49" ht="17.149999999999999" customHeight="1">
      <c r="A65" s="232" t="s">
        <v>120</v>
      </c>
      <c r="B65" s="233">
        <f>B55</f>
        <v>0</v>
      </c>
      <c r="C65" s="233">
        <f>C55</f>
        <v>0</v>
      </c>
      <c r="D65" s="233">
        <f t="shared" si="11"/>
        <v>0</v>
      </c>
      <c r="AI65" s="219"/>
      <c r="AU65" s="30"/>
      <c r="AV65" s="238"/>
      <c r="AW65" s="239"/>
    </row>
    <row r="66" spans="1:49" ht="17.149999999999999" customHeight="1">
      <c r="A66" s="232" t="s">
        <v>55</v>
      </c>
      <c r="B66" s="233">
        <f>SUM(B53)</f>
        <v>0</v>
      </c>
      <c r="C66" s="233">
        <f>SUM(C53)</f>
        <v>0</v>
      </c>
      <c r="D66" s="233">
        <f t="shared" si="11"/>
        <v>0</v>
      </c>
      <c r="AI66" s="219"/>
      <c r="AU66" s="31"/>
      <c r="AV66" s="238"/>
      <c r="AW66" s="239"/>
    </row>
    <row r="67" spans="1:49" ht="17.149999999999999" customHeight="1">
      <c r="A67" s="87" t="s">
        <v>62</v>
      </c>
      <c r="B67" s="237">
        <f>SUM(B63:B66)</f>
        <v>0</v>
      </c>
      <c r="C67" s="237">
        <f>SUM(C63:C66)</f>
        <v>0</v>
      </c>
      <c r="D67" s="237">
        <f t="shared" si="11"/>
        <v>0</v>
      </c>
      <c r="AI67" s="219"/>
      <c r="AU67" s="240"/>
      <c r="AV67" s="238"/>
      <c r="AW67" s="239"/>
    </row>
    <row r="68" spans="1:49" ht="17.149999999999999" customHeight="1">
      <c r="A68" s="40"/>
      <c r="AI68" s="219"/>
      <c r="AU68" s="241"/>
      <c r="AV68" s="241"/>
      <c r="AW68" s="239"/>
    </row>
    <row r="69" spans="1:49" ht="17.149999999999999" customHeight="1">
      <c r="A69" s="42" t="s">
        <v>155</v>
      </c>
      <c r="AI69" s="219"/>
      <c r="AU69" s="242"/>
      <c r="AV69" s="238"/>
      <c r="AW69" s="239"/>
    </row>
    <row r="70" spans="1:49" ht="15" customHeight="1">
      <c r="A70" s="232" t="s">
        <v>154</v>
      </c>
      <c r="B70" s="233" t="s">
        <v>86</v>
      </c>
      <c r="C70" s="233" t="s">
        <v>99</v>
      </c>
      <c r="D70" s="233" t="s">
        <v>84</v>
      </c>
      <c r="E70" s="243"/>
      <c r="AI70" s="219"/>
    </row>
    <row r="71" spans="1:49" ht="15" customHeight="1">
      <c r="A71" s="232" t="s">
        <v>136</v>
      </c>
      <c r="B71" s="233">
        <f>+(AB39/$D$42)*$D$43</f>
        <v>0</v>
      </c>
      <c r="C71" s="233">
        <f>+AB38</f>
        <v>0</v>
      </c>
      <c r="D71" s="233">
        <f>+C71-B71</f>
        <v>0</v>
      </c>
      <c r="E71" s="243"/>
      <c r="AI71" s="219"/>
    </row>
    <row r="72" spans="1:49" ht="15" customHeight="1">
      <c r="A72" s="232" t="s">
        <v>137</v>
      </c>
      <c r="B72" s="233">
        <f>+(AC39/$D$42)*$D$43</f>
        <v>0</v>
      </c>
      <c r="C72" s="233">
        <f>+AC38</f>
        <v>0</v>
      </c>
      <c r="D72" s="233">
        <f>+C72-B72</f>
        <v>0</v>
      </c>
      <c r="E72" s="243"/>
      <c r="AI72" s="219"/>
    </row>
    <row r="73" spans="1:49" ht="15" customHeight="1">
      <c r="A73" s="232" t="s">
        <v>53</v>
      </c>
      <c r="B73" s="233">
        <f>+(AD39/$D$42)*$D$43</f>
        <v>0</v>
      </c>
      <c r="C73" s="233">
        <f>+AD38</f>
        <v>0</v>
      </c>
      <c r="D73" s="233">
        <f>+C73-B73</f>
        <v>0</v>
      </c>
      <c r="E73" s="243"/>
      <c r="AI73" s="219"/>
    </row>
    <row r="74" spans="1:49" ht="15" customHeight="1">
      <c r="A74" s="87" t="s">
        <v>62</v>
      </c>
      <c r="B74" s="237">
        <f>SUM(B71:B73)</f>
        <v>0</v>
      </c>
      <c r="C74" s="237">
        <f>SUM(C71:C73)</f>
        <v>0</v>
      </c>
      <c r="D74" s="237">
        <f>+C74-B74</f>
        <v>0</v>
      </c>
      <c r="E74" s="243"/>
      <c r="AA74" s="29"/>
      <c r="AB74" s="29"/>
      <c r="AC74" s="29"/>
      <c r="AD74" s="29"/>
      <c r="AE74" s="29"/>
      <c r="AG74" s="244"/>
      <c r="AH74" s="244"/>
      <c r="AI74" s="219"/>
    </row>
    <row r="75" spans="1:49" ht="13">
      <c r="A75" s="255"/>
      <c r="B75" s="256"/>
      <c r="C75" s="256"/>
      <c r="D75" s="256"/>
      <c r="E75" s="243"/>
      <c r="I75" s="9"/>
      <c r="J75" s="9"/>
      <c r="S75" s="9"/>
      <c r="T75" s="9"/>
      <c r="U75" s="9"/>
      <c r="V75" s="9"/>
      <c r="W75" s="9"/>
      <c r="X75" s="9"/>
      <c r="Y75" s="9"/>
      <c r="Z75" s="9"/>
      <c r="AA75" s="260"/>
      <c r="AB75" s="260"/>
      <c r="AC75" s="260"/>
      <c r="AD75" s="260"/>
      <c r="AE75" s="260"/>
      <c r="AF75" s="9"/>
      <c r="AG75" s="244"/>
      <c r="AH75" s="244"/>
      <c r="AI75" s="219"/>
    </row>
    <row r="76" spans="1:49" ht="13" thickBot="1">
      <c r="A76" s="245"/>
      <c r="B76" s="246"/>
      <c r="C76" s="246"/>
      <c r="D76" s="246"/>
      <c r="E76" s="246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247"/>
      <c r="AB76" s="247"/>
      <c r="AC76" s="247"/>
      <c r="AD76" s="247"/>
      <c r="AE76" s="247"/>
      <c r="AF76" s="55"/>
      <c r="AG76" s="248"/>
      <c r="AH76" s="248"/>
      <c r="AI76" s="231"/>
    </row>
    <row r="77" spans="1:49" s="9" customFormat="1" ht="13">
      <c r="A77" s="249"/>
      <c r="B77" s="243"/>
      <c r="C77" s="243"/>
      <c r="D77" s="243"/>
      <c r="E77" s="24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29"/>
      <c r="AB77" s="29"/>
      <c r="AC77" s="29"/>
      <c r="AD77" s="29"/>
      <c r="AE77" s="29"/>
      <c r="AF77" s="7"/>
    </row>
    <row r="78" spans="1:49">
      <c r="AA78" s="29"/>
      <c r="AB78" s="29"/>
      <c r="AC78" s="29"/>
      <c r="AD78" s="29"/>
      <c r="AE78" s="29"/>
      <c r="AG78" s="244"/>
      <c r="AH78" s="244"/>
    </row>
    <row r="79" spans="1:49">
      <c r="AA79" s="29"/>
      <c r="AB79" s="29"/>
      <c r="AC79" s="29"/>
      <c r="AD79" s="29"/>
      <c r="AE79" s="29"/>
      <c r="AG79" s="244"/>
      <c r="AH79" s="244"/>
    </row>
    <row r="80" spans="1:49">
      <c r="AA80" s="29"/>
      <c r="AB80" s="29"/>
      <c r="AC80" s="29"/>
      <c r="AD80" s="29"/>
      <c r="AE80" s="29"/>
      <c r="AG80" s="244"/>
      <c r="AH80" s="244"/>
    </row>
    <row r="81" spans="33:34">
      <c r="AG81" s="244"/>
      <c r="AH81" s="244"/>
    </row>
    <row r="82" spans="33:34">
      <c r="AG82" s="244"/>
      <c r="AH82" s="244"/>
    </row>
    <row r="83" spans="33:34">
      <c r="AG83" s="244"/>
      <c r="AH83" s="244"/>
    </row>
    <row r="84" spans="33:34">
      <c r="AG84" s="244"/>
      <c r="AH84" s="244"/>
    </row>
    <row r="85" spans="33:34">
      <c r="AG85" s="244"/>
      <c r="AH85" s="244"/>
    </row>
  </sheetData>
  <mergeCells count="32">
    <mergeCell ref="A42:B42"/>
    <mergeCell ref="A43:B43"/>
    <mergeCell ref="A44:B44"/>
    <mergeCell ref="S49:AE49"/>
    <mergeCell ref="V5:W5"/>
    <mergeCell ref="D6:H6"/>
    <mergeCell ref="D39:G39"/>
    <mergeCell ref="J39:U39"/>
    <mergeCell ref="D40:G40"/>
    <mergeCell ref="J40:U40"/>
    <mergeCell ref="J5:K5"/>
    <mergeCell ref="L5:M5"/>
    <mergeCell ref="N5:O5"/>
    <mergeCell ref="P5:Q5"/>
    <mergeCell ref="R5:S5"/>
    <mergeCell ref="T5:U5"/>
    <mergeCell ref="A1:AI1"/>
    <mergeCell ref="A3:A6"/>
    <mergeCell ref="D3:H3"/>
    <mergeCell ref="J3:W3"/>
    <mergeCell ref="X3:X4"/>
    <mergeCell ref="Y3:Y6"/>
    <mergeCell ref="Z3:Z6"/>
    <mergeCell ref="AA3:AA6"/>
    <mergeCell ref="AB3:AB6"/>
    <mergeCell ref="AC3:AC6"/>
    <mergeCell ref="AD3:AD6"/>
    <mergeCell ref="AE3:AE6"/>
    <mergeCell ref="J4:M4"/>
    <mergeCell ref="N4:S4"/>
    <mergeCell ref="T4:U4"/>
    <mergeCell ref="D5:H5"/>
  </mergeCells>
  <printOptions horizontalCentered="1"/>
  <pageMargins left="0" right="0" top="0" bottom="0" header="0" footer="0"/>
  <pageSetup paperSize="9" scale="42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F167-2498-41DD-9AD8-9423CD26EC43}">
  <sheetPr>
    <tabColor rgb="FF92D050"/>
    <pageSetUpPr fitToPage="1"/>
  </sheetPr>
  <dimension ref="A1:AW84"/>
  <sheetViews>
    <sheetView showGridLines="0" view="pageBreakPreview" zoomScale="70" zoomScaleSheetLayoutView="70" workbookViewId="0">
      <pane xSplit="1" ySplit="6" topLeftCell="B28" activePane="bottomRight" state="frozen"/>
      <selection sqref="A1:AH2"/>
      <selection pane="topRight" sqref="A1:AH2"/>
      <selection pane="bottomLeft" sqref="A1:AH2"/>
      <selection pane="bottomRight" sqref="A1:AH2"/>
    </sheetView>
  </sheetViews>
  <sheetFormatPr defaultColWidth="8.81640625" defaultRowHeight="12.5"/>
  <cols>
    <col min="1" max="1" width="10.1796875" style="8" customWidth="1"/>
    <col min="2" max="2" width="10.81640625" style="7" bestFit="1" customWidth="1"/>
    <col min="3" max="3" width="12.1796875" style="7" bestFit="1" customWidth="1"/>
    <col min="4" max="11" width="10.453125" style="7" customWidth="1"/>
    <col min="12" max="12" width="11.1796875" style="7" customWidth="1"/>
    <col min="13" max="30" width="10.453125" style="7" customWidth="1"/>
    <col min="31" max="31" width="11.1796875" style="7" customWidth="1"/>
    <col min="32" max="33" width="11.26953125" style="7" customWidth="1"/>
    <col min="34" max="35" width="0.81640625" style="7" customWidth="1"/>
    <col min="36" max="36" width="11.7265625" style="7" customWidth="1"/>
    <col min="37" max="38" width="8.81640625" style="7"/>
    <col min="39" max="47" width="11.81640625" style="7" customWidth="1"/>
    <col min="48" max="16384" width="8.81640625" style="7"/>
  </cols>
  <sheetData>
    <row r="1" spans="1:35" ht="35.15" customHeight="1">
      <c r="A1" s="761">
        <f>+A7</f>
        <v>44805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2"/>
      <c r="AH1" s="762"/>
      <c r="AI1" s="763"/>
    </row>
    <row r="2" spans="1:35" ht="25" customHeight="1" thickBot="1">
      <c r="A2" s="40"/>
      <c r="AI2" s="220" t="s">
        <v>127</v>
      </c>
    </row>
    <row r="3" spans="1:35" ht="17.149999999999999" customHeight="1">
      <c r="A3" s="764" t="s">
        <v>128</v>
      </c>
      <c r="B3" s="114" t="s">
        <v>129</v>
      </c>
      <c r="C3" s="271" t="s">
        <v>130</v>
      </c>
      <c r="D3" s="797"/>
      <c r="E3" s="797"/>
      <c r="F3" s="797"/>
      <c r="G3" s="797"/>
      <c r="H3" s="798"/>
      <c r="I3" s="114" t="s">
        <v>132</v>
      </c>
      <c r="J3" s="799" t="s">
        <v>42</v>
      </c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172</v>
      </c>
      <c r="Z3" s="769" t="s">
        <v>173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5" s="9" customFormat="1" ht="17.149999999999999" customHeight="1">
      <c r="A4" s="765"/>
      <c r="B4" s="115" t="s">
        <v>139</v>
      </c>
      <c r="C4" s="62" t="s">
        <v>69</v>
      </c>
      <c r="D4" s="116" t="s">
        <v>140</v>
      </c>
      <c r="E4" s="64" t="s">
        <v>49</v>
      </c>
      <c r="F4" s="62" t="s">
        <v>141</v>
      </c>
      <c r="G4" s="62" t="s">
        <v>142</v>
      </c>
      <c r="H4" s="116" t="s">
        <v>46</v>
      </c>
      <c r="I4" s="115" t="s">
        <v>88</v>
      </c>
      <c r="J4" s="777" t="s">
        <v>47</v>
      </c>
      <c r="K4" s="782"/>
      <c r="L4" s="782"/>
      <c r="M4" s="778"/>
      <c r="N4" s="777" t="s">
        <v>48</v>
      </c>
      <c r="O4" s="782"/>
      <c r="P4" s="782"/>
      <c r="Q4" s="782"/>
      <c r="R4" s="782"/>
      <c r="S4" s="778"/>
      <c r="T4" s="777" t="s">
        <v>143</v>
      </c>
      <c r="U4" s="778"/>
      <c r="V4" s="254" t="s">
        <v>48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5" ht="30" customHeight="1">
      <c r="A5" s="765"/>
      <c r="B5" s="130" t="s">
        <v>51</v>
      </c>
      <c r="C5" s="130" t="s">
        <v>51</v>
      </c>
      <c r="D5" s="802" t="s">
        <v>51</v>
      </c>
      <c r="E5" s="803"/>
      <c r="F5" s="803"/>
      <c r="G5" s="803"/>
      <c r="H5" s="803"/>
      <c r="I5" s="127" t="s">
        <v>51</v>
      </c>
      <c r="J5" s="818" t="s">
        <v>52</v>
      </c>
      <c r="K5" s="819"/>
      <c r="L5" s="820" t="s">
        <v>53</v>
      </c>
      <c r="M5" s="821"/>
      <c r="N5" s="822" t="s">
        <v>52</v>
      </c>
      <c r="O5" s="823"/>
      <c r="P5" s="820" t="s">
        <v>53</v>
      </c>
      <c r="Q5" s="821"/>
      <c r="R5" s="824" t="s">
        <v>54</v>
      </c>
      <c r="S5" s="825"/>
      <c r="T5" s="824" t="s">
        <v>54</v>
      </c>
      <c r="U5" s="825"/>
      <c r="V5" s="804" t="s">
        <v>50</v>
      </c>
      <c r="W5" s="805"/>
      <c r="X5" s="49" t="s">
        <v>55</v>
      </c>
      <c r="Y5" s="792"/>
      <c r="Z5" s="770"/>
      <c r="AA5" s="773"/>
      <c r="AB5" s="756"/>
      <c r="AC5" s="756"/>
      <c r="AD5" s="756"/>
      <c r="AE5" s="759"/>
      <c r="AG5" s="219"/>
    </row>
    <row r="6" spans="1:35" ht="17.149999999999999" customHeight="1" thickBot="1">
      <c r="A6" s="766"/>
      <c r="B6" s="131" t="s">
        <v>123</v>
      </c>
      <c r="C6" s="128" t="s">
        <v>123</v>
      </c>
      <c r="D6" s="806" t="s">
        <v>123</v>
      </c>
      <c r="E6" s="806"/>
      <c r="F6" s="806"/>
      <c r="G6" s="806"/>
      <c r="H6" s="807"/>
      <c r="I6" s="128" t="s">
        <v>123</v>
      </c>
      <c r="J6" s="65" t="s">
        <v>124</v>
      </c>
      <c r="K6" s="66" t="s">
        <v>123</v>
      </c>
      <c r="L6" s="67" t="s">
        <v>124</v>
      </c>
      <c r="M6" s="68" t="s">
        <v>123</v>
      </c>
      <c r="N6" s="65" t="s">
        <v>124</v>
      </c>
      <c r="O6" s="66" t="s">
        <v>123</v>
      </c>
      <c r="P6" s="67" t="s">
        <v>124</v>
      </c>
      <c r="Q6" s="68" t="s">
        <v>123</v>
      </c>
      <c r="R6" s="69" t="s">
        <v>124</v>
      </c>
      <c r="S6" s="69" t="s">
        <v>123</v>
      </c>
      <c r="T6" s="69" t="s">
        <v>124</v>
      </c>
      <c r="U6" s="69" t="s">
        <v>123</v>
      </c>
      <c r="V6" s="252" t="s">
        <v>124</v>
      </c>
      <c r="W6" s="252" t="s">
        <v>124</v>
      </c>
      <c r="X6" s="70" t="s">
        <v>123</v>
      </c>
      <c r="Y6" s="793"/>
      <c r="Z6" s="771"/>
      <c r="AA6" s="774"/>
      <c r="AB6" s="757"/>
      <c r="AC6" s="757"/>
      <c r="AD6" s="757"/>
      <c r="AE6" s="760"/>
      <c r="AG6" s="219"/>
    </row>
    <row r="7" spans="1:35" ht="17.149999999999999" customHeight="1">
      <c r="A7" s="124">
        <v>44805</v>
      </c>
      <c r="B7" s="123"/>
      <c r="C7" s="121"/>
      <c r="D7" s="122"/>
      <c r="E7" s="123"/>
      <c r="F7" s="121"/>
      <c r="G7" s="122"/>
      <c r="H7" s="122"/>
      <c r="I7" s="121"/>
      <c r="J7" s="119"/>
      <c r="K7" s="120"/>
      <c r="L7" s="121"/>
      <c r="M7" s="119"/>
      <c r="N7" s="122"/>
      <c r="O7" s="122"/>
      <c r="P7" s="121"/>
      <c r="Q7" s="119"/>
      <c r="R7" s="121"/>
      <c r="S7" s="121"/>
      <c r="T7" s="121"/>
      <c r="U7" s="121"/>
      <c r="V7" s="121"/>
      <c r="W7" s="119"/>
      <c r="X7" s="120"/>
      <c r="Y7" s="125">
        <f>SUM(B7:I7,X7)</f>
        <v>0</v>
      </c>
      <c r="Z7" s="125">
        <f>SUM(J7:W7)</f>
        <v>0</v>
      </c>
      <c r="AA7" s="126">
        <f t="shared" ref="AA7:AA36" si="0">SUM(B7:X7)</f>
        <v>0</v>
      </c>
      <c r="AB7" s="221"/>
      <c r="AC7" s="106"/>
      <c r="AD7" s="106"/>
      <c r="AE7" s="222">
        <f>SUM(AB7:AD7)</f>
        <v>0</v>
      </c>
      <c r="AG7" s="219"/>
    </row>
    <row r="8" spans="1:35" ht="17.149999999999999" customHeight="1">
      <c r="A8" s="60">
        <f t="shared" ref="A8:A36" si="1">+A7+1</f>
        <v>44806</v>
      </c>
      <c r="B8" s="10"/>
      <c r="C8" s="13"/>
      <c r="D8" s="12"/>
      <c r="E8" s="10"/>
      <c r="F8" s="13"/>
      <c r="G8" s="12"/>
      <c r="H8" s="12"/>
      <c r="I8" s="13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25"/>
      <c r="Y8" s="125">
        <f t="shared" ref="Y8:Y36" si="2">SUM(B8:I8,X8)</f>
        <v>0</v>
      </c>
      <c r="Z8" s="125">
        <f t="shared" ref="Z8:Z36" si="3">SUM(J8:W8)</f>
        <v>0</v>
      </c>
      <c r="AA8" s="126">
        <f t="shared" si="0"/>
        <v>0</v>
      </c>
      <c r="AB8" s="221"/>
      <c r="AC8" s="106"/>
      <c r="AD8" s="106"/>
      <c r="AE8" s="222">
        <f t="shared" ref="AE8:AE36" si="4">SUM(AB8:AD8)</f>
        <v>0</v>
      </c>
      <c r="AG8" s="219"/>
    </row>
    <row r="9" spans="1:35" ht="17.149999999999999" customHeight="1">
      <c r="A9" s="60">
        <f t="shared" si="1"/>
        <v>44807</v>
      </c>
      <c r="B9" s="10"/>
      <c r="C9" s="13"/>
      <c r="D9" s="12"/>
      <c r="E9" s="10"/>
      <c r="F9" s="13"/>
      <c r="G9" s="12"/>
      <c r="H9" s="12"/>
      <c r="I9" s="13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26"/>
      <c r="Y9" s="125">
        <f t="shared" si="2"/>
        <v>0</v>
      </c>
      <c r="Z9" s="125">
        <f t="shared" si="3"/>
        <v>0</v>
      </c>
      <c r="AA9" s="126">
        <f t="shared" si="0"/>
        <v>0</v>
      </c>
      <c r="AB9" s="221"/>
      <c r="AC9" s="106"/>
      <c r="AD9" s="106"/>
      <c r="AE9" s="222">
        <f t="shared" si="4"/>
        <v>0</v>
      </c>
      <c r="AG9" s="219"/>
    </row>
    <row r="10" spans="1:35" ht="17.149999999999999" customHeight="1">
      <c r="A10" s="60">
        <f t="shared" si="1"/>
        <v>44808</v>
      </c>
      <c r="B10" s="10"/>
      <c r="C10" s="13"/>
      <c r="D10" s="12"/>
      <c r="E10" s="10"/>
      <c r="F10" s="13"/>
      <c r="G10" s="12"/>
      <c r="H10" s="12"/>
      <c r="I10" s="13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26"/>
      <c r="Y10" s="125">
        <f t="shared" si="2"/>
        <v>0</v>
      </c>
      <c r="Z10" s="125">
        <f t="shared" si="3"/>
        <v>0</v>
      </c>
      <c r="AA10" s="126">
        <f t="shared" si="0"/>
        <v>0</v>
      </c>
      <c r="AB10" s="221"/>
      <c r="AC10" s="106"/>
      <c r="AD10" s="106"/>
      <c r="AE10" s="222">
        <f t="shared" si="4"/>
        <v>0</v>
      </c>
      <c r="AG10" s="219"/>
    </row>
    <row r="11" spans="1:35" ht="17.149999999999999" customHeight="1">
      <c r="A11" s="60">
        <f t="shared" si="1"/>
        <v>44809</v>
      </c>
      <c r="B11" s="10"/>
      <c r="C11" s="13"/>
      <c r="D11" s="12"/>
      <c r="E11" s="10"/>
      <c r="F11" s="13"/>
      <c r="G11" s="12"/>
      <c r="H11" s="12"/>
      <c r="I11" s="13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26"/>
      <c r="Y11" s="125">
        <f t="shared" si="2"/>
        <v>0</v>
      </c>
      <c r="Z11" s="125">
        <f t="shared" si="3"/>
        <v>0</v>
      </c>
      <c r="AA11" s="126">
        <f t="shared" si="0"/>
        <v>0</v>
      </c>
      <c r="AB11" s="221"/>
      <c r="AC11" s="106"/>
      <c r="AD11" s="106"/>
      <c r="AE11" s="222">
        <f t="shared" si="4"/>
        <v>0</v>
      </c>
      <c r="AG11" s="219"/>
    </row>
    <row r="12" spans="1:35" ht="17.149999999999999" customHeight="1">
      <c r="A12" s="60">
        <f t="shared" si="1"/>
        <v>44810</v>
      </c>
      <c r="B12" s="10"/>
      <c r="C12" s="13"/>
      <c r="D12" s="12"/>
      <c r="E12" s="10"/>
      <c r="F12" s="13"/>
      <c r="G12" s="12"/>
      <c r="H12" s="12"/>
      <c r="I12" s="13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26"/>
      <c r="Y12" s="125">
        <f t="shared" si="2"/>
        <v>0</v>
      </c>
      <c r="Z12" s="125">
        <f t="shared" si="3"/>
        <v>0</v>
      </c>
      <c r="AA12" s="126">
        <f t="shared" si="0"/>
        <v>0</v>
      </c>
      <c r="AB12" s="221"/>
      <c r="AC12" s="106"/>
      <c r="AD12" s="106"/>
      <c r="AE12" s="222">
        <f t="shared" si="4"/>
        <v>0</v>
      </c>
      <c r="AG12" s="219"/>
    </row>
    <row r="13" spans="1:35" ht="17.149999999999999" customHeight="1">
      <c r="A13" s="60">
        <f t="shared" si="1"/>
        <v>44811</v>
      </c>
      <c r="B13" s="10"/>
      <c r="C13" s="13"/>
      <c r="D13" s="12"/>
      <c r="E13" s="10"/>
      <c r="F13" s="13"/>
      <c r="G13" s="12"/>
      <c r="H13" s="12"/>
      <c r="I13" s="13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26"/>
      <c r="Y13" s="125">
        <f t="shared" si="2"/>
        <v>0</v>
      </c>
      <c r="Z13" s="125">
        <f t="shared" si="3"/>
        <v>0</v>
      </c>
      <c r="AA13" s="126">
        <f t="shared" si="0"/>
        <v>0</v>
      </c>
      <c r="AB13" s="221"/>
      <c r="AC13" s="106"/>
      <c r="AD13" s="106"/>
      <c r="AE13" s="222">
        <f t="shared" si="4"/>
        <v>0</v>
      </c>
      <c r="AG13" s="219"/>
    </row>
    <row r="14" spans="1:35" ht="17.149999999999999" customHeight="1">
      <c r="A14" s="60">
        <f t="shared" si="1"/>
        <v>44812</v>
      </c>
      <c r="B14" s="10"/>
      <c r="C14" s="13"/>
      <c r="D14" s="12"/>
      <c r="E14" s="10"/>
      <c r="F14" s="13"/>
      <c r="G14" s="12"/>
      <c r="H14" s="12"/>
      <c r="I14" s="13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6"/>
      <c r="Y14" s="125">
        <f t="shared" si="2"/>
        <v>0</v>
      </c>
      <c r="Z14" s="125">
        <f t="shared" si="3"/>
        <v>0</v>
      </c>
      <c r="AA14" s="126">
        <f t="shared" si="0"/>
        <v>0</v>
      </c>
      <c r="AB14" s="221"/>
      <c r="AC14" s="106"/>
      <c r="AD14" s="106"/>
      <c r="AE14" s="222">
        <f t="shared" si="4"/>
        <v>0</v>
      </c>
      <c r="AG14" s="219"/>
    </row>
    <row r="15" spans="1:35" ht="17.149999999999999" customHeight="1">
      <c r="A15" s="60">
        <f t="shared" si="1"/>
        <v>44813</v>
      </c>
      <c r="B15" s="10"/>
      <c r="C15" s="13"/>
      <c r="D15" s="12"/>
      <c r="E15" s="10"/>
      <c r="F15" s="13"/>
      <c r="G15" s="12"/>
      <c r="H15" s="12"/>
      <c r="I15" s="13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26"/>
      <c r="Y15" s="125">
        <f t="shared" si="2"/>
        <v>0</v>
      </c>
      <c r="Z15" s="125">
        <f t="shared" si="3"/>
        <v>0</v>
      </c>
      <c r="AA15" s="126">
        <f t="shared" si="0"/>
        <v>0</v>
      </c>
      <c r="AB15" s="221"/>
      <c r="AC15" s="106"/>
      <c r="AD15" s="106"/>
      <c r="AE15" s="222">
        <f t="shared" si="4"/>
        <v>0</v>
      </c>
      <c r="AG15" s="219"/>
    </row>
    <row r="16" spans="1:35" ht="17.149999999999999" customHeight="1">
      <c r="A16" s="60">
        <f t="shared" si="1"/>
        <v>44814</v>
      </c>
      <c r="B16" s="10"/>
      <c r="C16" s="13"/>
      <c r="D16" s="12"/>
      <c r="E16" s="10"/>
      <c r="F16" s="13"/>
      <c r="G16" s="12"/>
      <c r="H16" s="12"/>
      <c r="I16" s="13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26"/>
      <c r="Y16" s="125">
        <f t="shared" si="2"/>
        <v>0</v>
      </c>
      <c r="Z16" s="125">
        <f t="shared" si="3"/>
        <v>0</v>
      </c>
      <c r="AA16" s="126">
        <f t="shared" si="0"/>
        <v>0</v>
      </c>
      <c r="AB16" s="221"/>
      <c r="AC16" s="106"/>
      <c r="AD16" s="106"/>
      <c r="AE16" s="222">
        <f t="shared" si="4"/>
        <v>0</v>
      </c>
      <c r="AG16" s="219"/>
    </row>
    <row r="17" spans="1:33" ht="17.149999999999999" customHeight="1">
      <c r="A17" s="60">
        <f t="shared" si="1"/>
        <v>44815</v>
      </c>
      <c r="B17" s="10"/>
      <c r="C17" s="13"/>
      <c r="D17" s="12"/>
      <c r="E17" s="10"/>
      <c r="F17" s="13"/>
      <c r="G17" s="12"/>
      <c r="H17" s="12"/>
      <c r="I17" s="13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26"/>
      <c r="Y17" s="125">
        <f t="shared" si="2"/>
        <v>0</v>
      </c>
      <c r="Z17" s="125">
        <f t="shared" si="3"/>
        <v>0</v>
      </c>
      <c r="AA17" s="126">
        <f t="shared" si="0"/>
        <v>0</v>
      </c>
      <c r="AB17" s="221"/>
      <c r="AC17" s="106"/>
      <c r="AD17" s="106"/>
      <c r="AE17" s="222">
        <f t="shared" si="4"/>
        <v>0</v>
      </c>
      <c r="AG17" s="219"/>
    </row>
    <row r="18" spans="1:33" ht="17.149999999999999" customHeight="1">
      <c r="A18" s="60">
        <f t="shared" si="1"/>
        <v>44816</v>
      </c>
      <c r="B18" s="10"/>
      <c r="C18" s="13"/>
      <c r="D18" s="12"/>
      <c r="E18" s="10"/>
      <c r="F18" s="13"/>
      <c r="G18" s="12"/>
      <c r="H18" s="12"/>
      <c r="I18" s="13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26"/>
      <c r="Y18" s="125">
        <f t="shared" si="2"/>
        <v>0</v>
      </c>
      <c r="Z18" s="125">
        <f t="shared" si="3"/>
        <v>0</v>
      </c>
      <c r="AA18" s="126">
        <f t="shared" si="0"/>
        <v>0</v>
      </c>
      <c r="AB18" s="221"/>
      <c r="AC18" s="106"/>
      <c r="AD18" s="106"/>
      <c r="AE18" s="222">
        <f t="shared" si="4"/>
        <v>0</v>
      </c>
      <c r="AG18" s="219"/>
    </row>
    <row r="19" spans="1:33" ht="17.149999999999999" customHeight="1">
      <c r="A19" s="60">
        <f t="shared" si="1"/>
        <v>44817</v>
      </c>
      <c r="B19" s="10"/>
      <c r="C19" s="13"/>
      <c r="D19" s="12"/>
      <c r="E19" s="10"/>
      <c r="F19" s="13"/>
      <c r="G19" s="12"/>
      <c r="H19" s="12"/>
      <c r="I19" s="13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25"/>
      <c r="Y19" s="125">
        <f t="shared" si="2"/>
        <v>0</v>
      </c>
      <c r="Z19" s="125">
        <f t="shared" si="3"/>
        <v>0</v>
      </c>
      <c r="AA19" s="126">
        <f t="shared" si="0"/>
        <v>0</v>
      </c>
      <c r="AB19" s="221"/>
      <c r="AC19" s="106"/>
      <c r="AD19" s="106"/>
      <c r="AE19" s="222">
        <f t="shared" si="4"/>
        <v>0</v>
      </c>
      <c r="AG19" s="219"/>
    </row>
    <row r="20" spans="1:33" ht="17.149999999999999" customHeight="1">
      <c r="A20" s="60">
        <f t="shared" si="1"/>
        <v>44818</v>
      </c>
      <c r="B20" s="10"/>
      <c r="C20" s="13"/>
      <c r="D20" s="12"/>
      <c r="E20" s="10"/>
      <c r="F20" s="13"/>
      <c r="G20" s="12"/>
      <c r="H20" s="12"/>
      <c r="I20" s="13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27"/>
      <c r="Y20" s="125">
        <f t="shared" si="2"/>
        <v>0</v>
      </c>
      <c r="Z20" s="125">
        <f t="shared" si="3"/>
        <v>0</v>
      </c>
      <c r="AA20" s="126">
        <f t="shared" si="0"/>
        <v>0</v>
      </c>
      <c r="AB20" s="221"/>
      <c r="AC20" s="106"/>
      <c r="AD20" s="106"/>
      <c r="AE20" s="222">
        <f t="shared" si="4"/>
        <v>0</v>
      </c>
      <c r="AG20" s="219"/>
    </row>
    <row r="21" spans="1:33" ht="17.149999999999999" customHeight="1">
      <c r="A21" s="60">
        <f t="shared" si="1"/>
        <v>44819</v>
      </c>
      <c r="B21" s="10"/>
      <c r="C21" s="13"/>
      <c r="D21" s="12"/>
      <c r="E21" s="13"/>
      <c r="F21" s="13"/>
      <c r="G21" s="12"/>
      <c r="H21" s="12"/>
      <c r="I21" s="13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7"/>
      <c r="Y21" s="125">
        <f t="shared" si="2"/>
        <v>0</v>
      </c>
      <c r="Z21" s="125">
        <f t="shared" si="3"/>
        <v>0</v>
      </c>
      <c r="AA21" s="126">
        <f t="shared" si="0"/>
        <v>0</v>
      </c>
      <c r="AB21" s="221"/>
      <c r="AC21" s="106"/>
      <c r="AD21" s="106"/>
      <c r="AE21" s="222">
        <f t="shared" si="4"/>
        <v>0</v>
      </c>
      <c r="AG21" s="219"/>
    </row>
    <row r="22" spans="1:33" ht="17.149999999999999" customHeight="1">
      <c r="A22" s="60">
        <f t="shared" si="1"/>
        <v>44820</v>
      </c>
      <c r="B22" s="10"/>
      <c r="C22" s="13"/>
      <c r="D22" s="12"/>
      <c r="E22" s="10"/>
      <c r="F22" s="13"/>
      <c r="G22" s="12"/>
      <c r="H22" s="12"/>
      <c r="I22" s="13"/>
      <c r="J22" s="11"/>
      <c r="K22" s="13"/>
      <c r="L22" s="13"/>
      <c r="M22" s="266"/>
      <c r="N22" s="266"/>
      <c r="O22" s="13"/>
      <c r="P22" s="13"/>
      <c r="Q22" s="266"/>
      <c r="R22" s="13"/>
      <c r="S22" s="13"/>
      <c r="T22" s="13"/>
      <c r="U22" s="13"/>
      <c r="V22" s="13"/>
      <c r="W22" s="266"/>
      <c r="X22" s="267"/>
      <c r="Y22" s="125">
        <f t="shared" si="2"/>
        <v>0</v>
      </c>
      <c r="Z22" s="125">
        <f t="shared" si="3"/>
        <v>0</v>
      </c>
      <c r="AA22" s="126">
        <f t="shared" si="0"/>
        <v>0</v>
      </c>
      <c r="AB22" s="221"/>
      <c r="AC22" s="106"/>
      <c r="AD22" s="106"/>
      <c r="AE22" s="222">
        <f t="shared" si="4"/>
        <v>0</v>
      </c>
      <c r="AG22" s="219"/>
    </row>
    <row r="23" spans="1:33" ht="17.149999999999999" customHeight="1">
      <c r="A23" s="60">
        <f t="shared" si="1"/>
        <v>44821</v>
      </c>
      <c r="B23" s="10"/>
      <c r="C23" s="13"/>
      <c r="D23" s="12"/>
      <c r="E23" s="10"/>
      <c r="F23" s="13"/>
      <c r="G23" s="12"/>
      <c r="H23" s="12"/>
      <c r="I23" s="13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26"/>
      <c r="Y23" s="125">
        <f t="shared" si="2"/>
        <v>0</v>
      </c>
      <c r="Z23" s="125">
        <f t="shared" si="3"/>
        <v>0</v>
      </c>
      <c r="AA23" s="126">
        <f t="shared" si="0"/>
        <v>0</v>
      </c>
      <c r="AB23" s="221"/>
      <c r="AC23" s="106"/>
      <c r="AD23" s="106"/>
      <c r="AE23" s="222">
        <f t="shared" si="4"/>
        <v>0</v>
      </c>
      <c r="AG23" s="219"/>
    </row>
    <row r="24" spans="1:33" ht="17.149999999999999" customHeight="1">
      <c r="A24" s="60">
        <f t="shared" si="1"/>
        <v>44822</v>
      </c>
      <c r="B24" s="10"/>
      <c r="C24" s="13"/>
      <c r="D24" s="12"/>
      <c r="E24" s="10"/>
      <c r="F24" s="13"/>
      <c r="G24" s="12"/>
      <c r="H24" s="12"/>
      <c r="I24" s="13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6"/>
      <c r="Y24" s="125">
        <f t="shared" si="2"/>
        <v>0</v>
      </c>
      <c r="Z24" s="125">
        <f t="shared" si="3"/>
        <v>0</v>
      </c>
      <c r="AA24" s="126">
        <f t="shared" si="0"/>
        <v>0</v>
      </c>
      <c r="AB24" s="221"/>
      <c r="AC24" s="106"/>
      <c r="AD24" s="106"/>
      <c r="AE24" s="222">
        <f t="shared" si="4"/>
        <v>0</v>
      </c>
      <c r="AG24" s="219"/>
    </row>
    <row r="25" spans="1:33" ht="17.149999999999999" customHeight="1">
      <c r="A25" s="60">
        <f t="shared" si="1"/>
        <v>44823</v>
      </c>
      <c r="B25" s="10"/>
      <c r="C25" s="13"/>
      <c r="D25" s="12"/>
      <c r="E25" s="10"/>
      <c r="F25" s="13"/>
      <c r="G25" s="12"/>
      <c r="H25" s="12"/>
      <c r="I25" s="13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26"/>
      <c r="Y25" s="125">
        <f t="shared" si="2"/>
        <v>0</v>
      </c>
      <c r="Z25" s="125">
        <f t="shared" si="3"/>
        <v>0</v>
      </c>
      <c r="AA25" s="126">
        <f t="shared" si="0"/>
        <v>0</v>
      </c>
      <c r="AB25" s="221"/>
      <c r="AC25" s="106"/>
      <c r="AD25" s="106"/>
      <c r="AE25" s="222">
        <f t="shared" si="4"/>
        <v>0</v>
      </c>
      <c r="AG25" s="219"/>
    </row>
    <row r="26" spans="1:33" ht="17.149999999999999" customHeight="1">
      <c r="A26" s="60">
        <f t="shared" si="1"/>
        <v>44824</v>
      </c>
      <c r="B26" s="10"/>
      <c r="C26" s="13"/>
      <c r="D26" s="12"/>
      <c r="E26" s="10"/>
      <c r="F26" s="13"/>
      <c r="G26" s="12"/>
      <c r="H26" s="12"/>
      <c r="I26" s="13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26"/>
      <c r="Y26" s="125">
        <f t="shared" si="2"/>
        <v>0</v>
      </c>
      <c r="Z26" s="125">
        <f t="shared" si="3"/>
        <v>0</v>
      </c>
      <c r="AA26" s="126">
        <f t="shared" si="0"/>
        <v>0</v>
      </c>
      <c r="AB26" s="221"/>
      <c r="AC26" s="106"/>
      <c r="AD26" s="106"/>
      <c r="AE26" s="222">
        <f t="shared" si="4"/>
        <v>0</v>
      </c>
      <c r="AG26" s="219"/>
    </row>
    <row r="27" spans="1:33" ht="17.149999999999999" customHeight="1">
      <c r="A27" s="60">
        <f t="shared" si="1"/>
        <v>44825</v>
      </c>
      <c r="B27" s="10"/>
      <c r="C27" s="13"/>
      <c r="D27" s="57"/>
      <c r="E27" s="13"/>
      <c r="F27" s="13"/>
      <c r="G27" s="12"/>
      <c r="H27" s="12"/>
      <c r="I27" s="13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26"/>
      <c r="Y27" s="125">
        <f t="shared" si="2"/>
        <v>0</v>
      </c>
      <c r="Z27" s="125">
        <f t="shared" si="3"/>
        <v>0</v>
      </c>
      <c r="AA27" s="126">
        <f t="shared" si="0"/>
        <v>0</v>
      </c>
      <c r="AB27" s="221"/>
      <c r="AC27" s="106"/>
      <c r="AD27" s="106"/>
      <c r="AE27" s="222">
        <f t="shared" si="4"/>
        <v>0</v>
      </c>
      <c r="AG27" s="219"/>
    </row>
    <row r="28" spans="1:33" ht="17.149999999999999" customHeight="1">
      <c r="A28" s="60">
        <f t="shared" si="1"/>
        <v>44826</v>
      </c>
      <c r="B28" s="10"/>
      <c r="C28" s="13"/>
      <c r="D28" s="12"/>
      <c r="E28" s="10"/>
      <c r="F28" s="13"/>
      <c r="G28" s="12"/>
      <c r="H28" s="12"/>
      <c r="I28" s="13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26"/>
      <c r="Y28" s="125">
        <f t="shared" si="2"/>
        <v>0</v>
      </c>
      <c r="Z28" s="125">
        <f t="shared" si="3"/>
        <v>0</v>
      </c>
      <c r="AA28" s="126">
        <f t="shared" si="0"/>
        <v>0</v>
      </c>
      <c r="AB28" s="221"/>
      <c r="AC28" s="106"/>
      <c r="AD28" s="106"/>
      <c r="AE28" s="222">
        <f t="shared" si="4"/>
        <v>0</v>
      </c>
      <c r="AG28" s="219"/>
    </row>
    <row r="29" spans="1:33" ht="17.149999999999999" customHeight="1">
      <c r="A29" s="60">
        <f t="shared" si="1"/>
        <v>44827</v>
      </c>
      <c r="B29" s="10"/>
      <c r="C29" s="13"/>
      <c r="D29" s="12"/>
      <c r="E29" s="13"/>
      <c r="F29" s="12"/>
      <c r="G29" s="12"/>
      <c r="H29" s="12"/>
      <c r="I29" s="13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6"/>
      <c r="Y29" s="125">
        <f t="shared" si="2"/>
        <v>0</v>
      </c>
      <c r="Z29" s="125">
        <f t="shared" si="3"/>
        <v>0</v>
      </c>
      <c r="AA29" s="126">
        <f t="shared" si="0"/>
        <v>0</v>
      </c>
      <c r="AB29" s="221"/>
      <c r="AC29" s="106"/>
      <c r="AD29" s="106"/>
      <c r="AE29" s="222">
        <f t="shared" si="4"/>
        <v>0</v>
      </c>
      <c r="AG29" s="219"/>
    </row>
    <row r="30" spans="1:33" ht="17.149999999999999" customHeight="1">
      <c r="A30" s="60">
        <f t="shared" si="1"/>
        <v>44828</v>
      </c>
      <c r="B30" s="10"/>
      <c r="C30" s="13"/>
      <c r="D30" s="12"/>
      <c r="E30" s="10"/>
      <c r="F30" s="13"/>
      <c r="G30" s="12"/>
      <c r="H30" s="12"/>
      <c r="I30" s="13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26"/>
      <c r="Y30" s="125">
        <f t="shared" si="2"/>
        <v>0</v>
      </c>
      <c r="Z30" s="125">
        <f t="shared" si="3"/>
        <v>0</v>
      </c>
      <c r="AA30" s="126">
        <f t="shared" si="0"/>
        <v>0</v>
      </c>
      <c r="AB30" s="221"/>
      <c r="AC30" s="106"/>
      <c r="AD30" s="106"/>
      <c r="AE30" s="222">
        <f t="shared" si="4"/>
        <v>0</v>
      </c>
      <c r="AG30" s="219"/>
    </row>
    <row r="31" spans="1:33" ht="17.149999999999999" customHeight="1">
      <c r="A31" s="60">
        <f t="shared" si="1"/>
        <v>44829</v>
      </c>
      <c r="B31" s="10"/>
      <c r="C31" s="13"/>
      <c r="D31" s="272"/>
      <c r="E31" s="10"/>
      <c r="F31" s="10"/>
      <c r="G31" s="10"/>
      <c r="H31" s="10"/>
      <c r="I31" s="13"/>
      <c r="J31" s="11"/>
      <c r="K31" s="13"/>
      <c r="L31" s="11"/>
      <c r="M31" s="11"/>
      <c r="N31" s="11"/>
      <c r="O31" s="13"/>
      <c r="P31" s="11"/>
      <c r="Q31" s="11"/>
      <c r="R31" s="11"/>
      <c r="S31" s="11"/>
      <c r="T31" s="11"/>
      <c r="U31" s="11"/>
      <c r="V31" s="11"/>
      <c r="W31" s="11"/>
      <c r="X31" s="11"/>
      <c r="Y31" s="125">
        <f t="shared" si="2"/>
        <v>0</v>
      </c>
      <c r="Z31" s="125">
        <f t="shared" si="3"/>
        <v>0</v>
      </c>
      <c r="AA31" s="126">
        <f t="shared" si="0"/>
        <v>0</v>
      </c>
      <c r="AB31" s="221"/>
      <c r="AC31" s="106"/>
      <c r="AD31" s="106"/>
      <c r="AE31" s="222">
        <f t="shared" si="4"/>
        <v>0</v>
      </c>
      <c r="AG31" s="219"/>
    </row>
    <row r="32" spans="1:33" ht="17.149999999999999" customHeight="1">
      <c r="A32" s="60">
        <f t="shared" si="1"/>
        <v>44830</v>
      </c>
      <c r="B32" s="25"/>
      <c r="C32" s="13"/>
      <c r="D32" s="272"/>
      <c r="E32" s="10"/>
      <c r="F32" s="10"/>
      <c r="G32" s="10"/>
      <c r="H32" s="10"/>
      <c r="I32" s="13"/>
      <c r="J32" s="11"/>
      <c r="K32" s="13"/>
      <c r="L32" s="10"/>
      <c r="M32" s="10"/>
      <c r="N32" s="10"/>
      <c r="O32" s="13"/>
      <c r="P32" s="10"/>
      <c r="Q32" s="10"/>
      <c r="R32" s="10"/>
      <c r="S32" s="10"/>
      <c r="T32" s="10"/>
      <c r="U32" s="10"/>
      <c r="V32" s="10"/>
      <c r="W32" s="10"/>
      <c r="X32" s="10"/>
      <c r="Y32" s="125">
        <f t="shared" si="2"/>
        <v>0</v>
      </c>
      <c r="Z32" s="125">
        <f t="shared" si="3"/>
        <v>0</v>
      </c>
      <c r="AA32" s="126">
        <f t="shared" si="0"/>
        <v>0</v>
      </c>
      <c r="AB32" s="221"/>
      <c r="AC32" s="106"/>
      <c r="AD32" s="106"/>
      <c r="AE32" s="222">
        <f t="shared" si="4"/>
        <v>0</v>
      </c>
      <c r="AG32" s="219"/>
    </row>
    <row r="33" spans="1:36" ht="17.149999999999999" customHeight="1">
      <c r="A33" s="60">
        <f t="shared" si="1"/>
        <v>44831</v>
      </c>
      <c r="B33" s="10"/>
      <c r="C33" s="13"/>
      <c r="D33" s="12"/>
      <c r="E33" s="10"/>
      <c r="F33" s="13"/>
      <c r="G33" s="12"/>
      <c r="H33" s="12"/>
      <c r="I33" s="13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26"/>
      <c r="Y33" s="125">
        <f t="shared" si="2"/>
        <v>0</v>
      </c>
      <c r="Z33" s="125">
        <f t="shared" si="3"/>
        <v>0</v>
      </c>
      <c r="AA33" s="126">
        <f t="shared" si="0"/>
        <v>0</v>
      </c>
      <c r="AB33" s="221"/>
      <c r="AC33" s="106"/>
      <c r="AD33" s="106"/>
      <c r="AE33" s="222">
        <f t="shared" si="4"/>
        <v>0</v>
      </c>
      <c r="AG33" s="219"/>
    </row>
    <row r="34" spans="1:36" ht="17.149999999999999" customHeight="1">
      <c r="A34" s="60">
        <f t="shared" si="1"/>
        <v>44832</v>
      </c>
      <c r="B34" s="10"/>
      <c r="C34" s="13"/>
      <c r="D34" s="12"/>
      <c r="E34" s="10"/>
      <c r="F34" s="13"/>
      <c r="G34" s="12"/>
      <c r="H34" s="12"/>
      <c r="I34" s="13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26"/>
      <c r="Y34" s="125">
        <f t="shared" si="2"/>
        <v>0</v>
      </c>
      <c r="Z34" s="125">
        <f t="shared" si="3"/>
        <v>0</v>
      </c>
      <c r="AA34" s="126">
        <f t="shared" si="0"/>
        <v>0</v>
      </c>
      <c r="AB34" s="221"/>
      <c r="AC34" s="106"/>
      <c r="AD34" s="106"/>
      <c r="AE34" s="222">
        <f t="shared" si="4"/>
        <v>0</v>
      </c>
      <c r="AG34" s="219"/>
    </row>
    <row r="35" spans="1:36" ht="17.149999999999999" customHeight="1">
      <c r="A35" s="60">
        <f t="shared" si="1"/>
        <v>44833</v>
      </c>
      <c r="B35" s="10"/>
      <c r="C35" s="13"/>
      <c r="D35" s="12"/>
      <c r="E35" s="10"/>
      <c r="F35" s="13"/>
      <c r="G35" s="12"/>
      <c r="H35" s="12"/>
      <c r="I35" s="13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26"/>
      <c r="Y35" s="125">
        <f t="shared" si="2"/>
        <v>0</v>
      </c>
      <c r="Z35" s="125">
        <f t="shared" si="3"/>
        <v>0</v>
      </c>
      <c r="AA35" s="126">
        <f t="shared" si="0"/>
        <v>0</v>
      </c>
      <c r="AB35" s="221"/>
      <c r="AC35" s="106"/>
      <c r="AD35" s="106"/>
      <c r="AE35" s="222">
        <f t="shared" si="4"/>
        <v>0</v>
      </c>
      <c r="AG35" s="219"/>
    </row>
    <row r="36" spans="1:36" ht="17.149999999999999" customHeight="1">
      <c r="A36" s="60">
        <f t="shared" si="1"/>
        <v>44834</v>
      </c>
      <c r="B36" s="10"/>
      <c r="C36" s="13"/>
      <c r="D36" s="268"/>
      <c r="E36" s="10"/>
      <c r="F36" s="13"/>
      <c r="G36" s="12"/>
      <c r="H36" s="12"/>
      <c r="I36" s="13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26"/>
      <c r="Y36" s="125">
        <f t="shared" si="2"/>
        <v>0</v>
      </c>
      <c r="Z36" s="125">
        <f t="shared" si="3"/>
        <v>0</v>
      </c>
      <c r="AA36" s="126">
        <f t="shared" si="0"/>
        <v>0</v>
      </c>
      <c r="AB36" s="221"/>
      <c r="AC36" s="106"/>
      <c r="AD36" s="106"/>
      <c r="AE36" s="222">
        <f t="shared" si="4"/>
        <v>0</v>
      </c>
      <c r="AG36" s="219"/>
    </row>
    <row r="37" spans="1:36" s="14" customFormat="1" ht="17.149999999999999" customHeight="1">
      <c r="A37" s="71" t="s">
        <v>38</v>
      </c>
      <c r="B37" s="72">
        <f t="shared" ref="B37:AE37" si="5">SUM(B7:B36)</f>
        <v>0</v>
      </c>
      <c r="C37" s="72">
        <f t="shared" si="5"/>
        <v>0</v>
      </c>
      <c r="D37" s="269">
        <f t="shared" si="5"/>
        <v>0</v>
      </c>
      <c r="E37" s="72">
        <f t="shared" si="5"/>
        <v>0</v>
      </c>
      <c r="F37" s="72">
        <f t="shared" si="5"/>
        <v>0</v>
      </c>
      <c r="G37" s="72">
        <f t="shared" si="5"/>
        <v>0</v>
      </c>
      <c r="H37" s="72">
        <f t="shared" si="5"/>
        <v>0</v>
      </c>
      <c r="I37" s="72">
        <f t="shared" si="5"/>
        <v>0</v>
      </c>
      <c r="J37" s="73">
        <f t="shared" si="5"/>
        <v>0</v>
      </c>
      <c r="K37" s="73">
        <f t="shared" si="5"/>
        <v>0</v>
      </c>
      <c r="L37" s="74">
        <f t="shared" si="5"/>
        <v>0</v>
      </c>
      <c r="M37" s="74">
        <f t="shared" si="5"/>
        <v>0</v>
      </c>
      <c r="N37" s="73">
        <f t="shared" si="5"/>
        <v>0</v>
      </c>
      <c r="O37" s="73">
        <f t="shared" si="5"/>
        <v>0</v>
      </c>
      <c r="P37" s="74">
        <f t="shared" si="5"/>
        <v>0</v>
      </c>
      <c r="Q37" s="74">
        <f t="shared" si="5"/>
        <v>0</v>
      </c>
      <c r="R37" s="75">
        <f t="shared" si="5"/>
        <v>0</v>
      </c>
      <c r="S37" s="75">
        <f t="shared" si="5"/>
        <v>0</v>
      </c>
      <c r="T37" s="75">
        <f t="shared" si="5"/>
        <v>0</v>
      </c>
      <c r="U37" s="75">
        <f t="shared" si="5"/>
        <v>0</v>
      </c>
      <c r="V37" s="63">
        <f t="shared" si="5"/>
        <v>0</v>
      </c>
      <c r="W37" s="63">
        <f t="shared" si="5"/>
        <v>0</v>
      </c>
      <c r="X37" s="76">
        <f t="shared" si="5"/>
        <v>0</v>
      </c>
      <c r="Y37" s="77">
        <f t="shared" si="5"/>
        <v>0</v>
      </c>
      <c r="Z37" s="78">
        <f t="shared" si="5"/>
        <v>0</v>
      </c>
      <c r="AA37" s="79">
        <f t="shared" si="5"/>
        <v>0</v>
      </c>
      <c r="AB37" s="223">
        <f t="shared" si="5"/>
        <v>0</v>
      </c>
      <c r="AC37" s="224">
        <f t="shared" si="5"/>
        <v>0</v>
      </c>
      <c r="AD37" s="224">
        <f t="shared" si="5"/>
        <v>0</v>
      </c>
      <c r="AE37" s="225">
        <f t="shared" si="5"/>
        <v>0</v>
      </c>
      <c r="AG37" s="234"/>
    </row>
    <row r="38" spans="1:36" s="14" customFormat="1" ht="17.149999999999999" customHeight="1">
      <c r="A38" s="71" t="s">
        <v>86</v>
      </c>
      <c r="B38" s="117"/>
      <c r="C38" s="72"/>
      <c r="D38" s="808"/>
      <c r="E38" s="808"/>
      <c r="F38" s="808"/>
      <c r="G38" s="809"/>
      <c r="H38" s="72"/>
      <c r="I38" s="129"/>
      <c r="J38" s="810"/>
      <c r="K38" s="811"/>
      <c r="L38" s="811"/>
      <c r="M38" s="811"/>
      <c r="N38" s="811"/>
      <c r="O38" s="811"/>
      <c r="P38" s="811"/>
      <c r="Q38" s="811"/>
      <c r="R38" s="811"/>
      <c r="S38" s="811"/>
      <c r="T38" s="811"/>
      <c r="U38" s="812"/>
      <c r="V38" s="253"/>
      <c r="W38" s="253"/>
      <c r="X38" s="76"/>
      <c r="Y38" s="77">
        <f>SUM(B38:I38,X38)</f>
        <v>0</v>
      </c>
      <c r="Z38" s="78">
        <f>SUM(J38:W38)</f>
        <v>0</v>
      </c>
      <c r="AA38" s="79">
        <f>+Y38+Z38</f>
        <v>0</v>
      </c>
      <c r="AB38" s="223"/>
      <c r="AC38" s="224"/>
      <c r="AD38" s="224"/>
      <c r="AE38" s="225">
        <f>SUM(AB38:AD38)</f>
        <v>0</v>
      </c>
      <c r="AG38" s="234"/>
    </row>
    <row r="39" spans="1:36" s="14" customFormat="1" ht="17.149999999999999" customHeight="1" thickBot="1">
      <c r="A39" s="80" t="s">
        <v>144</v>
      </c>
      <c r="B39" s="118">
        <f>SUM(B37)-B38</f>
        <v>0</v>
      </c>
      <c r="C39" s="82">
        <f>C37-C38</f>
        <v>0</v>
      </c>
      <c r="D39" s="813">
        <f>SUM(D37:G37)-D38</f>
        <v>0</v>
      </c>
      <c r="E39" s="813"/>
      <c r="F39" s="813"/>
      <c r="G39" s="814"/>
      <c r="H39" s="82">
        <f>+H37-H38</f>
        <v>0</v>
      </c>
      <c r="I39" s="118">
        <f>I37-I38</f>
        <v>0</v>
      </c>
      <c r="J39" s="815">
        <f>SUM(J37:U37)-J38</f>
        <v>0</v>
      </c>
      <c r="K39" s="816"/>
      <c r="L39" s="816"/>
      <c r="M39" s="816"/>
      <c r="N39" s="816"/>
      <c r="O39" s="816"/>
      <c r="P39" s="816"/>
      <c r="Q39" s="816"/>
      <c r="R39" s="816"/>
      <c r="S39" s="816"/>
      <c r="T39" s="816"/>
      <c r="U39" s="817"/>
      <c r="V39" s="253">
        <f t="shared" ref="V39:W39" si="6">+V37-V38</f>
        <v>0</v>
      </c>
      <c r="W39" s="253">
        <f t="shared" si="6"/>
        <v>0</v>
      </c>
      <c r="X39" s="83">
        <f>(X37)-X38</f>
        <v>0</v>
      </c>
      <c r="Y39" s="84">
        <f>Y37-Y38</f>
        <v>0</v>
      </c>
      <c r="Z39" s="85">
        <f>Z37-Z38</f>
        <v>0</v>
      </c>
      <c r="AA39" s="86">
        <f>AA37-AA38</f>
        <v>0</v>
      </c>
      <c r="AB39" s="226">
        <f t="shared" ref="AB39:AE39" si="7">AB37-AB38</f>
        <v>0</v>
      </c>
      <c r="AC39" s="227">
        <f t="shared" si="7"/>
        <v>0</v>
      </c>
      <c r="AD39" s="227">
        <f t="shared" si="7"/>
        <v>0</v>
      </c>
      <c r="AE39" s="228">
        <f t="shared" si="7"/>
        <v>0</v>
      </c>
      <c r="AG39" s="234"/>
    </row>
    <row r="40" spans="1:36" ht="17.149999999999999" customHeight="1" thickBot="1">
      <c r="A40" s="40"/>
      <c r="AI40" s="219"/>
    </row>
    <row r="41" spans="1:36" ht="17.149999999999999" customHeight="1">
      <c r="A41" s="767" t="s">
        <v>145</v>
      </c>
      <c r="B41" s="768"/>
      <c r="C41" s="275">
        <v>30</v>
      </c>
      <c r="D41" s="275">
        <v>28</v>
      </c>
      <c r="E41" s="229" t="s">
        <v>146</v>
      </c>
      <c r="AI41" s="219"/>
    </row>
    <row r="42" spans="1:36" ht="17.149999999999999" customHeight="1">
      <c r="A42" s="786" t="s">
        <v>147</v>
      </c>
      <c r="B42" s="787"/>
      <c r="C42" s="276">
        <v>0</v>
      </c>
      <c r="D42" s="276">
        <v>0</v>
      </c>
      <c r="E42" s="219" t="s">
        <v>146</v>
      </c>
      <c r="AI42" s="219"/>
    </row>
    <row r="43" spans="1:36" ht="17.149999999999999" customHeight="1" thickBot="1">
      <c r="A43" s="788" t="s">
        <v>148</v>
      </c>
      <c r="B43" s="789"/>
      <c r="C43" s="230">
        <f>+C41-C42</f>
        <v>30</v>
      </c>
      <c r="D43" s="230">
        <f>+D41-D42</f>
        <v>28</v>
      </c>
      <c r="E43" s="231" t="s">
        <v>146</v>
      </c>
      <c r="AI43" s="219"/>
    </row>
    <row r="44" spans="1:36" ht="17.149999999999999" customHeight="1">
      <c r="A44" s="41"/>
      <c r="AI44" s="219"/>
    </row>
    <row r="45" spans="1:36" ht="17.149999999999999" customHeight="1">
      <c r="A45" s="42" t="s">
        <v>149</v>
      </c>
      <c r="AI45" s="219"/>
    </row>
    <row r="46" spans="1:36" ht="17.149999999999999" customHeight="1">
      <c r="A46" s="232" t="s">
        <v>72</v>
      </c>
      <c r="B46" s="233" t="s">
        <v>86</v>
      </c>
      <c r="C46" s="233" t="s">
        <v>99</v>
      </c>
      <c r="D46" s="233" t="s">
        <v>84</v>
      </c>
      <c r="AG46" s="259"/>
      <c r="AH46" s="259"/>
      <c r="AI46" s="234"/>
    </row>
    <row r="47" spans="1:36" ht="17.149999999999999" customHeight="1">
      <c r="A47" s="232" t="s">
        <v>39</v>
      </c>
      <c r="B47" s="233">
        <f>(B38/$C$41)*$C$42</f>
        <v>0</v>
      </c>
      <c r="C47" s="233">
        <f>SUM(B37:B37)</f>
        <v>0</v>
      </c>
      <c r="D47" s="233">
        <f t="shared" ref="D47:D58" si="8">+C47-B47</f>
        <v>0</v>
      </c>
      <c r="S47" s="23"/>
      <c r="Z47" s="23"/>
      <c r="AA47" s="23"/>
      <c r="AB47" s="23"/>
      <c r="AC47" s="23"/>
      <c r="AD47" s="23"/>
      <c r="AE47" s="23"/>
      <c r="AI47" s="219"/>
    </row>
    <row r="48" spans="1:36" ht="17.149999999999999" customHeight="1">
      <c r="A48" s="232" t="s">
        <v>40</v>
      </c>
      <c r="B48" s="233">
        <f>(C38/$C$41)*$C$42</f>
        <v>0</v>
      </c>
      <c r="C48" s="233">
        <f>SUM(C37:C37)</f>
        <v>0</v>
      </c>
      <c r="D48" s="233">
        <f t="shared" si="8"/>
        <v>0</v>
      </c>
      <c r="N48" s="9"/>
      <c r="O48" s="9"/>
      <c r="P48" s="9"/>
      <c r="Q48" s="9"/>
      <c r="R48" s="9"/>
      <c r="S48" s="790"/>
      <c r="T48" s="790"/>
      <c r="U48" s="790"/>
      <c r="V48" s="790"/>
      <c r="W48" s="790"/>
      <c r="X48" s="790"/>
      <c r="Y48" s="790"/>
      <c r="Z48" s="790"/>
      <c r="AA48" s="790"/>
      <c r="AB48" s="790"/>
      <c r="AC48" s="790"/>
      <c r="AD48" s="790"/>
      <c r="AE48" s="790"/>
      <c r="AF48" s="235"/>
      <c r="AG48" s="235"/>
      <c r="AH48" s="235"/>
      <c r="AI48" s="236"/>
      <c r="AJ48" s="235"/>
    </row>
    <row r="49" spans="1:49" ht="17.149999999999999" customHeight="1">
      <c r="A49" s="232" t="s">
        <v>150</v>
      </c>
      <c r="B49" s="233">
        <f>+(D38/$C$41)*$C$42</f>
        <v>0</v>
      </c>
      <c r="C49" s="233">
        <f>SUM(D37:G37)</f>
        <v>0</v>
      </c>
      <c r="D49" s="233">
        <f t="shared" si="8"/>
        <v>0</v>
      </c>
      <c r="AI49" s="219"/>
    </row>
    <row r="50" spans="1:49" ht="17.149999999999999" customHeight="1">
      <c r="A50" s="232" t="s">
        <v>87</v>
      </c>
      <c r="B50" s="233">
        <f>+(H38/$C$41)*$C$42</f>
        <v>0</v>
      </c>
      <c r="C50" s="233">
        <f>SUM(H37)</f>
        <v>0</v>
      </c>
      <c r="D50" s="233">
        <f t="shared" si="8"/>
        <v>0</v>
      </c>
      <c r="AI50" s="219"/>
    </row>
    <row r="51" spans="1:49" ht="17.149999999999999" customHeight="1">
      <c r="A51" s="250" t="s">
        <v>88</v>
      </c>
      <c r="B51" s="251">
        <f>+(I38/$C$41)*$C$42</f>
        <v>0</v>
      </c>
      <c r="C51" s="251">
        <f>+I37</f>
        <v>0</v>
      </c>
      <c r="D51" s="251">
        <f t="shared" si="8"/>
        <v>0</v>
      </c>
      <c r="AI51" s="219"/>
    </row>
    <row r="52" spans="1:49" ht="17.149999999999999" customHeight="1">
      <c r="A52" s="232" t="s">
        <v>43</v>
      </c>
      <c r="B52" s="233">
        <f>+(X38/$C$41)*$C$42</f>
        <v>0</v>
      </c>
      <c r="C52" s="233">
        <f>+X37</f>
        <v>0</v>
      </c>
      <c r="D52" s="233">
        <f t="shared" si="8"/>
        <v>0</v>
      </c>
      <c r="T52" s="9"/>
      <c r="U52" s="9"/>
      <c r="V52" s="9"/>
      <c r="W52" s="9"/>
      <c r="X52" s="9"/>
      <c r="AI52" s="219"/>
    </row>
    <row r="53" spans="1:49" ht="17.149999999999999" customHeight="1">
      <c r="A53" s="87" t="s">
        <v>151</v>
      </c>
      <c r="B53" s="237">
        <f>SUM(B47:B52)</f>
        <v>0</v>
      </c>
      <c r="C53" s="237">
        <f>SUM(C47:C52)</f>
        <v>0</v>
      </c>
      <c r="D53" s="237">
        <f t="shared" si="8"/>
        <v>0</v>
      </c>
      <c r="T53" s="9"/>
      <c r="U53" s="9"/>
      <c r="V53" s="9"/>
      <c r="W53" s="9"/>
      <c r="X53" s="9"/>
      <c r="AI53" s="219"/>
    </row>
    <row r="54" spans="1:49" ht="17.149999999999999" customHeight="1">
      <c r="A54" s="232" t="s">
        <v>91</v>
      </c>
      <c r="B54" s="233">
        <f>+(J38/$C$41)*$C$42</f>
        <v>0</v>
      </c>
      <c r="C54" s="233">
        <f>SUM(J37:U37)</f>
        <v>0</v>
      </c>
      <c r="D54" s="233">
        <f t="shared" si="8"/>
        <v>0</v>
      </c>
      <c r="T54" s="9"/>
      <c r="U54" s="9"/>
      <c r="V54" s="9"/>
      <c r="W54" s="9"/>
      <c r="X54" s="9"/>
      <c r="AI54" s="219"/>
    </row>
    <row r="55" spans="1:49" ht="17.149999999999999" customHeight="1">
      <c r="A55" s="232" t="s">
        <v>92</v>
      </c>
      <c r="B55" s="233">
        <f>+(V38/$C$41)*$C$42</f>
        <v>0</v>
      </c>
      <c r="C55" s="233">
        <f>+V37</f>
        <v>0</v>
      </c>
      <c r="D55" s="233">
        <f t="shared" si="8"/>
        <v>0</v>
      </c>
      <c r="T55" s="9"/>
      <c r="U55" s="9"/>
      <c r="V55" s="9"/>
      <c r="W55" s="9"/>
      <c r="X55" s="9"/>
      <c r="AI55" s="219"/>
    </row>
    <row r="56" spans="1:49" ht="17.149999999999999" customHeight="1">
      <c r="A56" s="232" t="s">
        <v>93</v>
      </c>
      <c r="B56" s="233">
        <f>+(W38/$C$41)*$C$42</f>
        <v>0</v>
      </c>
      <c r="C56" s="233">
        <f>+W37</f>
        <v>0</v>
      </c>
      <c r="D56" s="233">
        <f t="shared" si="8"/>
        <v>0</v>
      </c>
      <c r="AI56" s="219"/>
    </row>
    <row r="57" spans="1:49" ht="17.149999999999999" customHeight="1">
      <c r="A57" s="87" t="s">
        <v>152</v>
      </c>
      <c r="B57" s="237">
        <f>SUM(B54:B56)</f>
        <v>0</v>
      </c>
      <c r="C57" s="237">
        <f>SUM(C54:C56)</f>
        <v>0</v>
      </c>
      <c r="D57" s="237">
        <f t="shared" si="8"/>
        <v>0</v>
      </c>
      <c r="AI57" s="219"/>
    </row>
    <row r="58" spans="1:49" ht="17.149999999999999" customHeight="1">
      <c r="A58" s="87" t="s">
        <v>94</v>
      </c>
      <c r="B58" s="237">
        <f>SUM(B53,B57)</f>
        <v>0</v>
      </c>
      <c r="C58" s="237">
        <f>SUM(C53,C57)</f>
        <v>0</v>
      </c>
      <c r="D58" s="237">
        <f t="shared" si="8"/>
        <v>0</v>
      </c>
      <c r="AI58" s="219"/>
    </row>
    <row r="59" spans="1:49" ht="17.149999999999999" customHeight="1">
      <c r="A59" s="40"/>
      <c r="AI59" s="219"/>
    </row>
    <row r="60" spans="1:49" ht="17.149999999999999" customHeight="1">
      <c r="A60" s="42" t="s">
        <v>153</v>
      </c>
      <c r="AI60" s="219"/>
    </row>
    <row r="61" spans="1:49" ht="17.149999999999999" customHeight="1">
      <c r="A61" s="232" t="s">
        <v>154</v>
      </c>
      <c r="B61" s="233" t="s">
        <v>86</v>
      </c>
      <c r="C61" s="233" t="s">
        <v>99</v>
      </c>
      <c r="D61" s="233" t="s">
        <v>84</v>
      </c>
      <c r="AI61" s="219"/>
    </row>
    <row r="62" spans="1:49" ht="17.149999999999999" customHeight="1">
      <c r="A62" s="232" t="s">
        <v>51</v>
      </c>
      <c r="B62" s="233">
        <f>SUM(B49,B50,B47,B48)</f>
        <v>0</v>
      </c>
      <c r="C62" s="233">
        <f>SUM(C49,C50,C47,C48)</f>
        <v>0</v>
      </c>
      <c r="D62" s="233">
        <f t="shared" ref="D62:D66" si="9">+C62-B62</f>
        <v>0</v>
      </c>
      <c r="AI62" s="219"/>
    </row>
    <row r="63" spans="1:49" ht="17.149999999999999" customHeight="1">
      <c r="A63" s="232" t="s">
        <v>50</v>
      </c>
      <c r="B63" s="233">
        <f>SUM(B55,B56)</f>
        <v>0</v>
      </c>
      <c r="C63" s="233">
        <f>SUM(C55,C56)</f>
        <v>0</v>
      </c>
      <c r="D63" s="233">
        <f t="shared" si="9"/>
        <v>0</v>
      </c>
      <c r="AI63" s="219"/>
    </row>
    <row r="64" spans="1:49" ht="17.149999999999999" customHeight="1">
      <c r="A64" s="232" t="s">
        <v>120</v>
      </c>
      <c r="B64" s="233">
        <f>B54</f>
        <v>0</v>
      </c>
      <c r="C64" s="233">
        <f>C54</f>
        <v>0</v>
      </c>
      <c r="D64" s="233">
        <f t="shared" si="9"/>
        <v>0</v>
      </c>
      <c r="AI64" s="219"/>
      <c r="AU64" s="30"/>
      <c r="AV64" s="238"/>
      <c r="AW64" s="239"/>
    </row>
    <row r="65" spans="1:49" ht="17.149999999999999" customHeight="1">
      <c r="A65" s="232" t="s">
        <v>55</v>
      </c>
      <c r="B65" s="233">
        <f>SUM(B52)</f>
        <v>0</v>
      </c>
      <c r="C65" s="233">
        <f>SUM(C52)</f>
        <v>0</v>
      </c>
      <c r="D65" s="233">
        <f t="shared" si="9"/>
        <v>0</v>
      </c>
      <c r="AI65" s="219"/>
      <c r="AU65" s="31"/>
      <c r="AV65" s="238"/>
      <c r="AW65" s="239"/>
    </row>
    <row r="66" spans="1:49" ht="17.149999999999999" customHeight="1">
      <c r="A66" s="87" t="s">
        <v>62</v>
      </c>
      <c r="B66" s="237">
        <f>SUM(B62:B65)</f>
        <v>0</v>
      </c>
      <c r="C66" s="237">
        <f>SUM(C62:C65)</f>
        <v>0</v>
      </c>
      <c r="D66" s="237">
        <f t="shared" si="9"/>
        <v>0</v>
      </c>
      <c r="AI66" s="219"/>
      <c r="AU66" s="240"/>
      <c r="AV66" s="238"/>
      <c r="AW66" s="239"/>
    </row>
    <row r="67" spans="1:49" ht="17.149999999999999" customHeight="1">
      <c r="A67" s="40"/>
      <c r="AI67" s="219"/>
      <c r="AU67" s="241"/>
      <c r="AV67" s="241"/>
      <c r="AW67" s="239"/>
    </row>
    <row r="68" spans="1:49" ht="17.149999999999999" customHeight="1">
      <c r="A68" s="42" t="s">
        <v>155</v>
      </c>
      <c r="AI68" s="219"/>
      <c r="AU68" s="242"/>
      <c r="AV68" s="238"/>
      <c r="AW68" s="239"/>
    </row>
    <row r="69" spans="1:49" ht="15" customHeight="1">
      <c r="A69" s="232" t="s">
        <v>154</v>
      </c>
      <c r="B69" s="233" t="s">
        <v>86</v>
      </c>
      <c r="C69" s="233" t="s">
        <v>99</v>
      </c>
      <c r="D69" s="233" t="s">
        <v>84</v>
      </c>
      <c r="E69" s="243"/>
      <c r="AI69" s="219"/>
    </row>
    <row r="70" spans="1:49" ht="15" customHeight="1">
      <c r="A70" s="232" t="s">
        <v>136</v>
      </c>
      <c r="B70" s="233">
        <f>+(AB38/$D$41)*$D$42</f>
        <v>0</v>
      </c>
      <c r="C70" s="233">
        <f>+AB37</f>
        <v>0</v>
      </c>
      <c r="D70" s="233">
        <f>+C70-B70</f>
        <v>0</v>
      </c>
      <c r="E70" s="243"/>
      <c r="AI70" s="219"/>
    </row>
    <row r="71" spans="1:49" ht="15" customHeight="1">
      <c r="A71" s="232" t="s">
        <v>137</v>
      </c>
      <c r="B71" s="233">
        <f>+(AC38/$D$41)*$D$42</f>
        <v>0</v>
      </c>
      <c r="C71" s="233">
        <f>+AC37</f>
        <v>0</v>
      </c>
      <c r="D71" s="233">
        <f>+C71-B71</f>
        <v>0</v>
      </c>
      <c r="E71" s="243"/>
      <c r="AI71" s="219"/>
    </row>
    <row r="72" spans="1:49" ht="15" customHeight="1">
      <c r="A72" s="232" t="s">
        <v>53</v>
      </c>
      <c r="B72" s="233">
        <f>+(AD38/$D$41)*$D$42</f>
        <v>0</v>
      </c>
      <c r="C72" s="233">
        <f>+AD37</f>
        <v>0</v>
      </c>
      <c r="D72" s="233">
        <f>+C72-B72</f>
        <v>0</v>
      </c>
      <c r="E72" s="243"/>
      <c r="AI72" s="219"/>
    </row>
    <row r="73" spans="1:49" ht="15" customHeight="1">
      <c r="A73" s="87" t="s">
        <v>62</v>
      </c>
      <c r="B73" s="237">
        <f>SUM(B70:B72)</f>
        <v>0</v>
      </c>
      <c r="C73" s="237">
        <f>SUM(C70:C72)</f>
        <v>0</v>
      </c>
      <c r="D73" s="237">
        <f>+C73-B73</f>
        <v>0</v>
      </c>
      <c r="E73" s="243"/>
      <c r="AA73" s="29"/>
      <c r="AB73" s="29"/>
      <c r="AC73" s="29"/>
      <c r="AD73" s="29"/>
      <c r="AE73" s="29"/>
      <c r="AG73" s="244"/>
      <c r="AH73" s="244"/>
      <c r="AI73" s="219"/>
    </row>
    <row r="74" spans="1:49" ht="13">
      <c r="A74" s="255"/>
      <c r="B74" s="256"/>
      <c r="C74" s="256"/>
      <c r="D74" s="256"/>
      <c r="E74" s="243"/>
      <c r="I74" s="9"/>
      <c r="J74" s="9"/>
      <c r="S74" s="9"/>
      <c r="T74" s="9"/>
      <c r="U74" s="9"/>
      <c r="V74" s="9"/>
      <c r="W74" s="9"/>
      <c r="X74" s="9"/>
      <c r="Y74" s="9"/>
      <c r="Z74" s="9"/>
      <c r="AA74" s="260"/>
      <c r="AB74" s="260"/>
      <c r="AC74" s="260"/>
      <c r="AD74" s="260"/>
      <c r="AE74" s="260"/>
      <c r="AF74" s="9"/>
      <c r="AG74" s="244"/>
      <c r="AH74" s="244"/>
      <c r="AI74" s="219"/>
    </row>
    <row r="75" spans="1:49" ht="13" thickBot="1">
      <c r="A75" s="245"/>
      <c r="B75" s="246"/>
      <c r="C75" s="246"/>
      <c r="D75" s="246"/>
      <c r="E75" s="246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247"/>
      <c r="AB75" s="247"/>
      <c r="AC75" s="247"/>
      <c r="AD75" s="247"/>
      <c r="AE75" s="247"/>
      <c r="AF75" s="55"/>
      <c r="AG75" s="248"/>
      <c r="AH75" s="248"/>
      <c r="AI75" s="231"/>
    </row>
    <row r="76" spans="1:49" s="9" customFormat="1" ht="13">
      <c r="A76" s="249"/>
      <c r="B76" s="243"/>
      <c r="C76" s="243"/>
      <c r="D76" s="243"/>
      <c r="E76" s="243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29"/>
      <c r="AB76" s="29"/>
      <c r="AC76" s="29"/>
      <c r="AD76" s="29"/>
      <c r="AE76" s="29"/>
      <c r="AF76" s="7"/>
    </row>
    <row r="77" spans="1:49">
      <c r="AA77" s="29"/>
      <c r="AB77" s="29"/>
      <c r="AC77" s="29"/>
      <c r="AD77" s="29"/>
      <c r="AE77" s="29"/>
      <c r="AG77" s="244"/>
      <c r="AH77" s="244"/>
    </row>
    <row r="78" spans="1:49">
      <c r="AA78" s="29"/>
      <c r="AB78" s="29"/>
      <c r="AC78" s="29"/>
      <c r="AD78" s="29"/>
      <c r="AE78" s="29"/>
      <c r="AG78" s="244"/>
      <c r="AH78" s="244"/>
    </row>
    <row r="79" spans="1:49">
      <c r="AA79" s="29"/>
      <c r="AB79" s="29"/>
      <c r="AC79" s="29"/>
      <c r="AD79" s="29"/>
      <c r="AE79" s="29"/>
      <c r="AG79" s="244"/>
      <c r="AH79" s="244"/>
    </row>
    <row r="80" spans="1:49">
      <c r="AG80" s="244"/>
      <c r="AH80" s="244"/>
    </row>
    <row r="81" spans="33:34">
      <c r="AG81" s="244"/>
      <c r="AH81" s="244"/>
    </row>
    <row r="82" spans="33:34">
      <c r="AG82" s="244"/>
      <c r="AH82" s="244"/>
    </row>
    <row r="83" spans="33:34">
      <c r="AG83" s="244"/>
      <c r="AH83" s="244"/>
    </row>
    <row r="84" spans="33:34">
      <c r="AG84" s="244"/>
      <c r="AH84" s="244"/>
    </row>
  </sheetData>
  <mergeCells count="32">
    <mergeCell ref="A41:B41"/>
    <mergeCell ref="A42:B42"/>
    <mergeCell ref="A43:B43"/>
    <mergeCell ref="S48:AE48"/>
    <mergeCell ref="V5:W5"/>
    <mergeCell ref="D6:H6"/>
    <mergeCell ref="D38:G38"/>
    <mergeCell ref="J38:U38"/>
    <mergeCell ref="D39:G39"/>
    <mergeCell ref="J39:U39"/>
    <mergeCell ref="J5:K5"/>
    <mergeCell ref="L5:M5"/>
    <mergeCell ref="N5:O5"/>
    <mergeCell ref="P5:Q5"/>
    <mergeCell ref="R5:S5"/>
    <mergeCell ref="T5:U5"/>
    <mergeCell ref="A1:AI1"/>
    <mergeCell ref="A3:A6"/>
    <mergeCell ref="D3:H3"/>
    <mergeCell ref="J3:W3"/>
    <mergeCell ref="X3:X4"/>
    <mergeCell ref="Y3:Y6"/>
    <mergeCell ref="Z3:Z6"/>
    <mergeCell ref="AA3:AA6"/>
    <mergeCell ref="AB3:AB6"/>
    <mergeCell ref="AC3:AC6"/>
    <mergeCell ref="AD3:AD6"/>
    <mergeCell ref="AE3:AE6"/>
    <mergeCell ref="J4:M4"/>
    <mergeCell ref="N4:S4"/>
    <mergeCell ref="T4:U4"/>
    <mergeCell ref="D5:H5"/>
  </mergeCells>
  <printOptions horizontalCentered="1"/>
  <pageMargins left="0" right="0" top="0" bottom="0" header="0" footer="0"/>
  <pageSetup paperSize="9" scale="42" orientation="landscape" r:id="rId1"/>
  <headerFooter alignWithMargins="0"/>
  <ignoredErrors>
    <ignoredError sqref="Y7:AA36" formulaRange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3675-1D99-42C5-B712-D753C0C28BED}">
  <sheetPr>
    <tabColor rgb="FF92D050"/>
    <pageSetUpPr fitToPage="1"/>
  </sheetPr>
  <dimension ref="A1:AW85"/>
  <sheetViews>
    <sheetView showGridLines="0" view="pageBreakPreview" zoomScale="70" zoomScaleSheetLayoutView="70" workbookViewId="0">
      <pane xSplit="1" ySplit="6" topLeftCell="B31" activePane="bottomRight" state="frozen"/>
      <selection sqref="A1:AH2"/>
      <selection pane="topRight" sqref="A1:AH2"/>
      <selection pane="bottomLeft" sqref="A1:AH2"/>
      <selection pane="bottomRight" sqref="A1:AH2"/>
    </sheetView>
  </sheetViews>
  <sheetFormatPr defaultColWidth="8.81640625" defaultRowHeight="12.5"/>
  <cols>
    <col min="1" max="1" width="10.1796875" style="8" customWidth="1"/>
    <col min="2" max="2" width="10.81640625" style="7" bestFit="1" customWidth="1"/>
    <col min="3" max="3" width="12.1796875" style="7" bestFit="1" customWidth="1"/>
    <col min="4" max="11" width="10.453125" style="7" customWidth="1"/>
    <col min="12" max="12" width="11.1796875" style="7" customWidth="1"/>
    <col min="13" max="30" width="10.453125" style="7" customWidth="1"/>
    <col min="31" max="31" width="11.1796875" style="7" customWidth="1"/>
    <col min="32" max="33" width="11.26953125" style="7" customWidth="1"/>
    <col min="34" max="35" width="0.81640625" style="7" customWidth="1"/>
    <col min="36" max="36" width="11.7265625" style="7" customWidth="1"/>
    <col min="37" max="38" width="8.81640625" style="7"/>
    <col min="39" max="47" width="11.81640625" style="7" customWidth="1"/>
    <col min="48" max="16384" width="8.81640625" style="7"/>
  </cols>
  <sheetData>
    <row r="1" spans="1:35" ht="35.15" customHeight="1">
      <c r="A1" s="761">
        <f>+A7</f>
        <v>44835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2"/>
      <c r="AH1" s="762"/>
      <c r="AI1" s="763"/>
    </row>
    <row r="2" spans="1:35" ht="25" customHeight="1" thickBot="1">
      <c r="A2" s="40"/>
      <c r="AI2" s="220" t="s">
        <v>127</v>
      </c>
    </row>
    <row r="3" spans="1:35" ht="17.149999999999999" customHeight="1">
      <c r="A3" s="764" t="s">
        <v>128</v>
      </c>
      <c r="B3" s="114" t="s">
        <v>129</v>
      </c>
      <c r="C3" s="271" t="s">
        <v>130</v>
      </c>
      <c r="D3" s="797"/>
      <c r="E3" s="797"/>
      <c r="F3" s="797"/>
      <c r="G3" s="797"/>
      <c r="H3" s="798"/>
      <c r="I3" s="114" t="s">
        <v>132</v>
      </c>
      <c r="J3" s="799" t="s">
        <v>42</v>
      </c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172</v>
      </c>
      <c r="Z3" s="769" t="s">
        <v>173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5" s="9" customFormat="1" ht="17.149999999999999" customHeight="1">
      <c r="A4" s="765"/>
      <c r="B4" s="115" t="s">
        <v>139</v>
      </c>
      <c r="C4" s="62" t="s">
        <v>69</v>
      </c>
      <c r="D4" s="116" t="s">
        <v>140</v>
      </c>
      <c r="E4" s="64" t="s">
        <v>49</v>
      </c>
      <c r="F4" s="62" t="s">
        <v>141</v>
      </c>
      <c r="G4" s="62" t="s">
        <v>142</v>
      </c>
      <c r="H4" s="116" t="s">
        <v>46</v>
      </c>
      <c r="I4" s="115" t="s">
        <v>88</v>
      </c>
      <c r="J4" s="777" t="s">
        <v>47</v>
      </c>
      <c r="K4" s="782"/>
      <c r="L4" s="782"/>
      <c r="M4" s="778"/>
      <c r="N4" s="777" t="s">
        <v>48</v>
      </c>
      <c r="O4" s="782"/>
      <c r="P4" s="782"/>
      <c r="Q4" s="782"/>
      <c r="R4" s="782"/>
      <c r="S4" s="778"/>
      <c r="T4" s="777" t="s">
        <v>143</v>
      </c>
      <c r="U4" s="778"/>
      <c r="V4" s="254" t="s">
        <v>48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5" ht="30" customHeight="1">
      <c r="A5" s="765"/>
      <c r="B5" s="130" t="s">
        <v>51</v>
      </c>
      <c r="C5" s="130" t="s">
        <v>51</v>
      </c>
      <c r="D5" s="802" t="s">
        <v>51</v>
      </c>
      <c r="E5" s="803"/>
      <c r="F5" s="803"/>
      <c r="G5" s="803"/>
      <c r="H5" s="803"/>
      <c r="I5" s="127" t="s">
        <v>51</v>
      </c>
      <c r="J5" s="818" t="s">
        <v>52</v>
      </c>
      <c r="K5" s="819"/>
      <c r="L5" s="820" t="s">
        <v>53</v>
      </c>
      <c r="M5" s="821"/>
      <c r="N5" s="822" t="s">
        <v>52</v>
      </c>
      <c r="O5" s="823"/>
      <c r="P5" s="820" t="s">
        <v>53</v>
      </c>
      <c r="Q5" s="821"/>
      <c r="R5" s="824" t="s">
        <v>54</v>
      </c>
      <c r="S5" s="825"/>
      <c r="T5" s="824" t="s">
        <v>54</v>
      </c>
      <c r="U5" s="825"/>
      <c r="V5" s="804" t="s">
        <v>50</v>
      </c>
      <c r="W5" s="805"/>
      <c r="X5" s="49" t="s">
        <v>55</v>
      </c>
      <c r="Y5" s="792"/>
      <c r="Z5" s="770"/>
      <c r="AA5" s="773"/>
      <c r="AB5" s="756"/>
      <c r="AC5" s="756"/>
      <c r="AD5" s="756"/>
      <c r="AE5" s="759"/>
      <c r="AG5" s="219"/>
    </row>
    <row r="6" spans="1:35" ht="17.149999999999999" customHeight="1" thickBot="1">
      <c r="A6" s="766"/>
      <c r="B6" s="131" t="s">
        <v>123</v>
      </c>
      <c r="C6" s="128" t="s">
        <v>123</v>
      </c>
      <c r="D6" s="806" t="s">
        <v>123</v>
      </c>
      <c r="E6" s="806"/>
      <c r="F6" s="806"/>
      <c r="G6" s="806"/>
      <c r="H6" s="807"/>
      <c r="I6" s="128" t="s">
        <v>123</v>
      </c>
      <c r="J6" s="65" t="s">
        <v>124</v>
      </c>
      <c r="K6" s="66" t="s">
        <v>123</v>
      </c>
      <c r="L6" s="67" t="s">
        <v>124</v>
      </c>
      <c r="M6" s="68" t="s">
        <v>123</v>
      </c>
      <c r="N6" s="65" t="s">
        <v>124</v>
      </c>
      <c r="O6" s="66" t="s">
        <v>123</v>
      </c>
      <c r="P6" s="67" t="s">
        <v>124</v>
      </c>
      <c r="Q6" s="68" t="s">
        <v>123</v>
      </c>
      <c r="R6" s="69" t="s">
        <v>124</v>
      </c>
      <c r="S6" s="69" t="s">
        <v>123</v>
      </c>
      <c r="T6" s="69" t="s">
        <v>124</v>
      </c>
      <c r="U6" s="69" t="s">
        <v>123</v>
      </c>
      <c r="V6" s="252" t="s">
        <v>124</v>
      </c>
      <c r="W6" s="252" t="s">
        <v>124</v>
      </c>
      <c r="X6" s="70" t="s">
        <v>123</v>
      </c>
      <c r="Y6" s="793"/>
      <c r="Z6" s="771"/>
      <c r="AA6" s="774"/>
      <c r="AB6" s="757"/>
      <c r="AC6" s="757"/>
      <c r="AD6" s="757"/>
      <c r="AE6" s="760"/>
      <c r="AG6" s="219"/>
    </row>
    <row r="7" spans="1:35" ht="17.149999999999999" customHeight="1">
      <c r="A7" s="124">
        <v>44835</v>
      </c>
      <c r="B7" s="123"/>
      <c r="C7" s="121"/>
      <c r="D7" s="122"/>
      <c r="E7" s="123"/>
      <c r="F7" s="121"/>
      <c r="G7" s="122"/>
      <c r="H7" s="122"/>
      <c r="I7" s="121"/>
      <c r="J7" s="119"/>
      <c r="K7" s="120"/>
      <c r="L7" s="121"/>
      <c r="M7" s="119"/>
      <c r="N7" s="122"/>
      <c r="O7" s="122"/>
      <c r="P7" s="121"/>
      <c r="Q7" s="119"/>
      <c r="R7" s="121"/>
      <c r="S7" s="121"/>
      <c r="T7" s="121"/>
      <c r="U7" s="121"/>
      <c r="V7" s="121"/>
      <c r="W7" s="119"/>
      <c r="X7" s="120"/>
      <c r="Y7" s="125">
        <f>SUM(X7,B7:I7)</f>
        <v>0</v>
      </c>
      <c r="Z7" s="125">
        <f t="shared" ref="Z7:Z34" si="0">SUM(J7,L7,V7,N7,P7,T7,R7)</f>
        <v>0</v>
      </c>
      <c r="AA7" s="126">
        <f>SUM(B7:X7)</f>
        <v>0</v>
      </c>
      <c r="AB7" s="221"/>
      <c r="AC7" s="106"/>
      <c r="AD7" s="106"/>
      <c r="AE7" s="222">
        <f>SUM(AB7:AD7)</f>
        <v>0</v>
      </c>
      <c r="AG7" s="219"/>
    </row>
    <row r="8" spans="1:35" ht="17.149999999999999" customHeight="1">
      <c r="A8" s="60">
        <f t="shared" ref="A8:A37" si="1">+A7+1</f>
        <v>44836</v>
      </c>
      <c r="B8" s="10"/>
      <c r="C8" s="13"/>
      <c r="D8" s="12"/>
      <c r="E8" s="10"/>
      <c r="F8" s="13"/>
      <c r="G8" s="12"/>
      <c r="H8" s="12"/>
      <c r="I8" s="13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25"/>
      <c r="Y8" s="125">
        <f t="shared" ref="Y8:Y37" si="2">SUM(X8,B8:I8)</f>
        <v>0</v>
      </c>
      <c r="Z8" s="22">
        <f t="shared" si="0"/>
        <v>0</v>
      </c>
      <c r="AA8" s="21">
        <f>SUM(B8:X8)</f>
        <v>0</v>
      </c>
      <c r="AB8" s="12"/>
      <c r="AC8" s="25"/>
      <c r="AD8" s="25"/>
      <c r="AE8" s="21">
        <f t="shared" ref="AE8:AE34" si="3">SUM(AB8:AD8)</f>
        <v>0</v>
      </c>
      <c r="AG8" s="219"/>
    </row>
    <row r="9" spans="1:35" ht="17.149999999999999" customHeight="1">
      <c r="A9" s="60">
        <f t="shared" si="1"/>
        <v>44837</v>
      </c>
      <c r="B9" s="10"/>
      <c r="C9" s="13"/>
      <c r="D9" s="12"/>
      <c r="E9" s="10"/>
      <c r="F9" s="13"/>
      <c r="G9" s="12"/>
      <c r="H9" s="12"/>
      <c r="I9" s="13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26"/>
      <c r="Y9" s="125">
        <f t="shared" si="2"/>
        <v>0</v>
      </c>
      <c r="Z9" s="22">
        <f t="shared" si="0"/>
        <v>0</v>
      </c>
      <c r="AA9" s="21">
        <f t="shared" ref="AA9:AA37" si="4">SUM(B9:X9)</f>
        <v>0</v>
      </c>
      <c r="AB9" s="12"/>
      <c r="AC9" s="26"/>
      <c r="AD9" s="26"/>
      <c r="AE9" s="21">
        <f t="shared" si="3"/>
        <v>0</v>
      </c>
      <c r="AG9" s="219"/>
    </row>
    <row r="10" spans="1:35" ht="17.149999999999999" customHeight="1">
      <c r="A10" s="60">
        <f t="shared" si="1"/>
        <v>44838</v>
      </c>
      <c r="B10" s="10"/>
      <c r="C10" s="13"/>
      <c r="D10" s="12"/>
      <c r="E10" s="10"/>
      <c r="F10" s="13"/>
      <c r="G10" s="12"/>
      <c r="H10" s="12"/>
      <c r="I10" s="13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26"/>
      <c r="Y10" s="125">
        <f t="shared" si="2"/>
        <v>0</v>
      </c>
      <c r="Z10" s="22">
        <f t="shared" si="0"/>
        <v>0</v>
      </c>
      <c r="AA10" s="21">
        <f t="shared" si="4"/>
        <v>0</v>
      </c>
      <c r="AB10" s="12"/>
      <c r="AC10" s="26"/>
      <c r="AD10" s="26"/>
      <c r="AE10" s="21">
        <f t="shared" si="3"/>
        <v>0</v>
      </c>
      <c r="AG10" s="219"/>
    </row>
    <row r="11" spans="1:35" ht="17.149999999999999" customHeight="1">
      <c r="A11" s="60">
        <f t="shared" si="1"/>
        <v>44839</v>
      </c>
      <c r="B11" s="10"/>
      <c r="C11" s="13"/>
      <c r="D11" s="12"/>
      <c r="E11" s="10"/>
      <c r="F11" s="13"/>
      <c r="G11" s="12"/>
      <c r="H11" s="12"/>
      <c r="I11" s="13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26"/>
      <c r="Y11" s="125">
        <f t="shared" si="2"/>
        <v>0</v>
      </c>
      <c r="Z11" s="22">
        <f t="shared" si="0"/>
        <v>0</v>
      </c>
      <c r="AA11" s="21">
        <f t="shared" si="4"/>
        <v>0</v>
      </c>
      <c r="AB11" s="12"/>
      <c r="AC11" s="26"/>
      <c r="AD11" s="26"/>
      <c r="AE11" s="21">
        <f t="shared" si="3"/>
        <v>0</v>
      </c>
      <c r="AG11" s="219"/>
    </row>
    <row r="12" spans="1:35" ht="17.149999999999999" customHeight="1">
      <c r="A12" s="60">
        <f t="shared" si="1"/>
        <v>44840</v>
      </c>
      <c r="B12" s="10"/>
      <c r="C12" s="13"/>
      <c r="D12" s="12"/>
      <c r="E12" s="10"/>
      <c r="F12" s="13"/>
      <c r="G12" s="12"/>
      <c r="H12" s="12"/>
      <c r="I12" s="13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26"/>
      <c r="Y12" s="125">
        <f t="shared" si="2"/>
        <v>0</v>
      </c>
      <c r="Z12" s="22">
        <f t="shared" si="0"/>
        <v>0</v>
      </c>
      <c r="AA12" s="21">
        <f t="shared" si="4"/>
        <v>0</v>
      </c>
      <c r="AB12" s="12"/>
      <c r="AC12" s="26"/>
      <c r="AD12" s="26"/>
      <c r="AE12" s="21">
        <f t="shared" si="3"/>
        <v>0</v>
      </c>
      <c r="AG12" s="219"/>
    </row>
    <row r="13" spans="1:35" ht="17.149999999999999" customHeight="1">
      <c r="A13" s="60">
        <f t="shared" si="1"/>
        <v>44841</v>
      </c>
      <c r="B13" s="10"/>
      <c r="C13" s="13"/>
      <c r="D13" s="12"/>
      <c r="E13" s="10"/>
      <c r="F13" s="13"/>
      <c r="G13" s="12"/>
      <c r="H13" s="12"/>
      <c r="I13" s="13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26"/>
      <c r="Y13" s="125">
        <f t="shared" si="2"/>
        <v>0</v>
      </c>
      <c r="Z13" s="22">
        <f t="shared" si="0"/>
        <v>0</v>
      </c>
      <c r="AA13" s="21">
        <f t="shared" si="4"/>
        <v>0</v>
      </c>
      <c r="AB13" s="12"/>
      <c r="AC13" s="26"/>
      <c r="AD13" s="26"/>
      <c r="AE13" s="21">
        <f t="shared" si="3"/>
        <v>0</v>
      </c>
      <c r="AG13" s="219"/>
    </row>
    <row r="14" spans="1:35" ht="17.149999999999999" customHeight="1">
      <c r="A14" s="60">
        <f t="shared" si="1"/>
        <v>44842</v>
      </c>
      <c r="B14" s="10"/>
      <c r="C14" s="13"/>
      <c r="D14" s="12"/>
      <c r="E14" s="10"/>
      <c r="F14" s="13"/>
      <c r="G14" s="12"/>
      <c r="H14" s="12"/>
      <c r="I14" s="13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6"/>
      <c r="Y14" s="125">
        <f t="shared" si="2"/>
        <v>0</v>
      </c>
      <c r="Z14" s="22">
        <f t="shared" si="0"/>
        <v>0</v>
      </c>
      <c r="AA14" s="21">
        <f t="shared" si="4"/>
        <v>0</v>
      </c>
      <c r="AB14" s="12"/>
      <c r="AC14" s="25"/>
      <c r="AD14" s="25"/>
      <c r="AE14" s="21">
        <f t="shared" si="3"/>
        <v>0</v>
      </c>
      <c r="AG14" s="219"/>
    </row>
    <row r="15" spans="1:35" ht="17.149999999999999" customHeight="1">
      <c r="A15" s="60">
        <f t="shared" si="1"/>
        <v>44843</v>
      </c>
      <c r="B15" s="10"/>
      <c r="C15" s="13"/>
      <c r="D15" s="12"/>
      <c r="E15" s="10"/>
      <c r="F15" s="13"/>
      <c r="G15" s="12"/>
      <c r="H15" s="12"/>
      <c r="I15" s="13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26"/>
      <c r="Y15" s="125">
        <f t="shared" si="2"/>
        <v>0</v>
      </c>
      <c r="Z15" s="22">
        <f t="shared" si="0"/>
        <v>0</v>
      </c>
      <c r="AA15" s="21">
        <f t="shared" si="4"/>
        <v>0</v>
      </c>
      <c r="AB15" s="12"/>
      <c r="AC15" s="26"/>
      <c r="AD15" s="26"/>
      <c r="AE15" s="21">
        <f t="shared" si="3"/>
        <v>0</v>
      </c>
      <c r="AG15" s="219"/>
    </row>
    <row r="16" spans="1:35" ht="17.149999999999999" customHeight="1">
      <c r="A16" s="60">
        <f t="shared" si="1"/>
        <v>44844</v>
      </c>
      <c r="B16" s="10"/>
      <c r="C16" s="13"/>
      <c r="D16" s="12"/>
      <c r="E16" s="10"/>
      <c r="F16" s="13"/>
      <c r="G16" s="12"/>
      <c r="H16" s="12"/>
      <c r="I16" s="13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26"/>
      <c r="Y16" s="125">
        <f t="shared" si="2"/>
        <v>0</v>
      </c>
      <c r="Z16" s="22">
        <f t="shared" si="0"/>
        <v>0</v>
      </c>
      <c r="AA16" s="21">
        <f t="shared" si="4"/>
        <v>0</v>
      </c>
      <c r="AB16" s="12"/>
      <c r="AC16" s="26"/>
      <c r="AD16" s="26"/>
      <c r="AE16" s="21">
        <f t="shared" si="3"/>
        <v>0</v>
      </c>
      <c r="AG16" s="219"/>
    </row>
    <row r="17" spans="1:33" ht="17.149999999999999" customHeight="1">
      <c r="A17" s="60">
        <f t="shared" si="1"/>
        <v>44845</v>
      </c>
      <c r="B17" s="10"/>
      <c r="C17" s="13"/>
      <c r="D17" s="12"/>
      <c r="E17" s="10"/>
      <c r="F17" s="13"/>
      <c r="G17" s="12"/>
      <c r="H17" s="12"/>
      <c r="I17" s="13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26"/>
      <c r="Y17" s="125">
        <f t="shared" si="2"/>
        <v>0</v>
      </c>
      <c r="Z17" s="22">
        <f t="shared" si="0"/>
        <v>0</v>
      </c>
      <c r="AA17" s="21">
        <f t="shared" si="4"/>
        <v>0</v>
      </c>
      <c r="AB17" s="12"/>
      <c r="AC17" s="26"/>
      <c r="AD17" s="26"/>
      <c r="AE17" s="21">
        <f t="shared" si="3"/>
        <v>0</v>
      </c>
      <c r="AG17" s="219"/>
    </row>
    <row r="18" spans="1:33" ht="17.149999999999999" customHeight="1">
      <c r="A18" s="60">
        <f t="shared" si="1"/>
        <v>44846</v>
      </c>
      <c r="B18" s="10"/>
      <c r="C18" s="13"/>
      <c r="D18" s="12"/>
      <c r="E18" s="10"/>
      <c r="F18" s="13"/>
      <c r="G18" s="12"/>
      <c r="H18" s="12"/>
      <c r="I18" s="13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26"/>
      <c r="Y18" s="125">
        <f t="shared" si="2"/>
        <v>0</v>
      </c>
      <c r="Z18" s="22">
        <f t="shared" si="0"/>
        <v>0</v>
      </c>
      <c r="AA18" s="21">
        <f t="shared" si="4"/>
        <v>0</v>
      </c>
      <c r="AB18" s="12"/>
      <c r="AC18" s="26"/>
      <c r="AD18" s="26"/>
      <c r="AE18" s="21">
        <f t="shared" si="3"/>
        <v>0</v>
      </c>
      <c r="AG18" s="219"/>
    </row>
    <row r="19" spans="1:33" ht="17.149999999999999" customHeight="1">
      <c r="A19" s="60">
        <f t="shared" si="1"/>
        <v>44847</v>
      </c>
      <c r="B19" s="10"/>
      <c r="C19" s="13"/>
      <c r="D19" s="12"/>
      <c r="E19" s="10"/>
      <c r="F19" s="13"/>
      <c r="G19" s="12"/>
      <c r="H19" s="12"/>
      <c r="I19" s="13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25"/>
      <c r="Y19" s="125">
        <f t="shared" si="2"/>
        <v>0</v>
      </c>
      <c r="Z19" s="22">
        <f t="shared" si="0"/>
        <v>0</v>
      </c>
      <c r="AA19" s="21">
        <f t="shared" si="4"/>
        <v>0</v>
      </c>
      <c r="AB19" s="12"/>
      <c r="AC19" s="25"/>
      <c r="AD19" s="25"/>
      <c r="AE19" s="21">
        <f t="shared" si="3"/>
        <v>0</v>
      </c>
      <c r="AG19" s="219"/>
    </row>
    <row r="20" spans="1:33" ht="17.149999999999999" customHeight="1">
      <c r="A20" s="60">
        <f t="shared" si="1"/>
        <v>44848</v>
      </c>
      <c r="B20" s="10"/>
      <c r="C20" s="13"/>
      <c r="D20" s="12"/>
      <c r="E20" s="10"/>
      <c r="F20" s="13"/>
      <c r="G20" s="12"/>
      <c r="H20" s="12"/>
      <c r="I20" s="13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27"/>
      <c r="Y20" s="125">
        <f t="shared" si="2"/>
        <v>0</v>
      </c>
      <c r="Z20" s="22">
        <f t="shared" si="0"/>
        <v>0</v>
      </c>
      <c r="AA20" s="21">
        <f t="shared" si="4"/>
        <v>0</v>
      </c>
      <c r="AB20" s="12"/>
      <c r="AC20" s="27"/>
      <c r="AD20" s="27"/>
      <c r="AE20" s="21">
        <f t="shared" si="3"/>
        <v>0</v>
      </c>
      <c r="AG20" s="219"/>
    </row>
    <row r="21" spans="1:33" ht="17.149999999999999" customHeight="1">
      <c r="A21" s="60">
        <f t="shared" si="1"/>
        <v>44849</v>
      </c>
      <c r="B21" s="10"/>
      <c r="C21" s="13"/>
      <c r="D21" s="12"/>
      <c r="E21" s="13"/>
      <c r="F21" s="13"/>
      <c r="G21" s="12"/>
      <c r="H21" s="12"/>
      <c r="I21" s="13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7"/>
      <c r="Y21" s="125">
        <f t="shared" si="2"/>
        <v>0</v>
      </c>
      <c r="Z21" s="22">
        <f t="shared" si="0"/>
        <v>0</v>
      </c>
      <c r="AA21" s="21">
        <f t="shared" si="4"/>
        <v>0</v>
      </c>
      <c r="AB21" s="12"/>
      <c r="AC21" s="27"/>
      <c r="AD21" s="27"/>
      <c r="AE21" s="21">
        <f t="shared" si="3"/>
        <v>0</v>
      </c>
      <c r="AG21" s="219"/>
    </row>
    <row r="22" spans="1:33" ht="17.149999999999999" customHeight="1">
      <c r="A22" s="60">
        <f t="shared" si="1"/>
        <v>44850</v>
      </c>
      <c r="B22" s="10"/>
      <c r="C22" s="13"/>
      <c r="D22" s="12"/>
      <c r="E22" s="10"/>
      <c r="F22" s="13"/>
      <c r="G22" s="12"/>
      <c r="H22" s="12"/>
      <c r="I22" s="13"/>
      <c r="J22" s="11"/>
      <c r="K22" s="13"/>
      <c r="L22" s="13"/>
      <c r="M22" s="266"/>
      <c r="N22" s="266"/>
      <c r="O22" s="13"/>
      <c r="P22" s="13"/>
      <c r="Q22" s="266"/>
      <c r="R22" s="13"/>
      <c r="S22" s="13"/>
      <c r="T22" s="13"/>
      <c r="U22" s="13"/>
      <c r="V22" s="13"/>
      <c r="W22" s="266"/>
      <c r="X22" s="267"/>
      <c r="Y22" s="125">
        <f t="shared" si="2"/>
        <v>0</v>
      </c>
      <c r="Z22" s="22">
        <f t="shared" si="0"/>
        <v>0</v>
      </c>
      <c r="AA22" s="21">
        <f t="shared" si="4"/>
        <v>0</v>
      </c>
      <c r="AB22" s="12"/>
      <c r="AC22" s="25"/>
      <c r="AD22" s="25"/>
      <c r="AE22" s="21">
        <f t="shared" si="3"/>
        <v>0</v>
      </c>
      <c r="AG22" s="219"/>
    </row>
    <row r="23" spans="1:33" ht="17.149999999999999" customHeight="1">
      <c r="A23" s="60">
        <f t="shared" si="1"/>
        <v>44851</v>
      </c>
      <c r="B23" s="10"/>
      <c r="C23" s="13"/>
      <c r="D23" s="12"/>
      <c r="E23" s="10"/>
      <c r="F23" s="13"/>
      <c r="G23" s="12"/>
      <c r="H23" s="12"/>
      <c r="I23" s="13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26"/>
      <c r="Y23" s="125">
        <f t="shared" si="2"/>
        <v>0</v>
      </c>
      <c r="Z23" s="22">
        <f t="shared" si="0"/>
        <v>0</v>
      </c>
      <c r="AA23" s="21">
        <f t="shared" si="4"/>
        <v>0</v>
      </c>
      <c r="AB23" s="12"/>
      <c r="AC23" s="26"/>
      <c r="AD23" s="26"/>
      <c r="AE23" s="21">
        <f t="shared" si="3"/>
        <v>0</v>
      </c>
      <c r="AG23" s="219"/>
    </row>
    <row r="24" spans="1:33" ht="17.149999999999999" customHeight="1">
      <c r="A24" s="60">
        <f t="shared" si="1"/>
        <v>44852</v>
      </c>
      <c r="B24" s="10"/>
      <c r="C24" s="13"/>
      <c r="D24" s="12"/>
      <c r="E24" s="10"/>
      <c r="F24" s="13"/>
      <c r="G24" s="12"/>
      <c r="H24" s="12"/>
      <c r="I24" s="13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6"/>
      <c r="Y24" s="125">
        <f t="shared" si="2"/>
        <v>0</v>
      </c>
      <c r="Z24" s="22">
        <f t="shared" si="0"/>
        <v>0</v>
      </c>
      <c r="AA24" s="21">
        <f t="shared" si="4"/>
        <v>0</v>
      </c>
      <c r="AB24" s="12"/>
      <c r="AC24" s="26"/>
      <c r="AD24" s="26"/>
      <c r="AE24" s="21">
        <f t="shared" si="3"/>
        <v>0</v>
      </c>
      <c r="AG24" s="219"/>
    </row>
    <row r="25" spans="1:33" ht="17.149999999999999" customHeight="1">
      <c r="A25" s="60">
        <f t="shared" si="1"/>
        <v>44853</v>
      </c>
      <c r="B25" s="10"/>
      <c r="C25" s="13"/>
      <c r="D25" s="12"/>
      <c r="E25" s="10"/>
      <c r="F25" s="13"/>
      <c r="G25" s="12"/>
      <c r="H25" s="12"/>
      <c r="I25" s="13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26"/>
      <c r="Y25" s="125">
        <f t="shared" si="2"/>
        <v>0</v>
      </c>
      <c r="Z25" s="22">
        <f t="shared" si="0"/>
        <v>0</v>
      </c>
      <c r="AA25" s="21">
        <f t="shared" si="4"/>
        <v>0</v>
      </c>
      <c r="AB25" s="12"/>
      <c r="AC25" s="26"/>
      <c r="AD25" s="26"/>
      <c r="AE25" s="21">
        <f t="shared" si="3"/>
        <v>0</v>
      </c>
      <c r="AG25" s="219"/>
    </row>
    <row r="26" spans="1:33" ht="17.149999999999999" customHeight="1">
      <c r="A26" s="60">
        <f t="shared" si="1"/>
        <v>44854</v>
      </c>
      <c r="B26" s="10"/>
      <c r="C26" s="13"/>
      <c r="D26" s="12"/>
      <c r="E26" s="10"/>
      <c r="F26" s="13"/>
      <c r="G26" s="12"/>
      <c r="H26" s="12"/>
      <c r="I26" s="13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26"/>
      <c r="Y26" s="125">
        <f t="shared" si="2"/>
        <v>0</v>
      </c>
      <c r="Z26" s="22">
        <f t="shared" si="0"/>
        <v>0</v>
      </c>
      <c r="AA26" s="21">
        <f t="shared" si="4"/>
        <v>0</v>
      </c>
      <c r="AB26" s="12"/>
      <c r="AC26" s="26"/>
      <c r="AD26" s="26"/>
      <c r="AE26" s="21">
        <f t="shared" si="3"/>
        <v>0</v>
      </c>
      <c r="AG26" s="219"/>
    </row>
    <row r="27" spans="1:33" ht="17.149999999999999" customHeight="1">
      <c r="A27" s="60">
        <f t="shared" si="1"/>
        <v>44855</v>
      </c>
      <c r="B27" s="10"/>
      <c r="C27" s="13"/>
      <c r="D27" s="57"/>
      <c r="E27" s="13"/>
      <c r="F27" s="13"/>
      <c r="G27" s="12"/>
      <c r="H27" s="12"/>
      <c r="I27" s="13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26"/>
      <c r="Y27" s="125">
        <f t="shared" si="2"/>
        <v>0</v>
      </c>
      <c r="Z27" s="22">
        <f t="shared" si="0"/>
        <v>0</v>
      </c>
      <c r="AA27" s="21">
        <f t="shared" si="4"/>
        <v>0</v>
      </c>
      <c r="AB27" s="12"/>
      <c r="AC27" s="26"/>
      <c r="AD27" s="26"/>
      <c r="AE27" s="21">
        <f t="shared" si="3"/>
        <v>0</v>
      </c>
      <c r="AG27" s="219"/>
    </row>
    <row r="28" spans="1:33" ht="17.149999999999999" customHeight="1">
      <c r="A28" s="60">
        <f t="shared" si="1"/>
        <v>44856</v>
      </c>
      <c r="B28" s="10"/>
      <c r="C28" s="13"/>
      <c r="D28" s="12"/>
      <c r="E28" s="10"/>
      <c r="F28" s="13"/>
      <c r="G28" s="12"/>
      <c r="H28" s="12"/>
      <c r="I28" s="13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26"/>
      <c r="Y28" s="125">
        <f t="shared" si="2"/>
        <v>0</v>
      </c>
      <c r="Z28" s="22">
        <f t="shared" si="0"/>
        <v>0</v>
      </c>
      <c r="AA28" s="21">
        <f t="shared" si="4"/>
        <v>0</v>
      </c>
      <c r="AB28" s="12"/>
      <c r="AC28" s="26"/>
      <c r="AD28" s="26"/>
      <c r="AE28" s="21">
        <f t="shared" si="3"/>
        <v>0</v>
      </c>
      <c r="AG28" s="219"/>
    </row>
    <row r="29" spans="1:33" ht="17.149999999999999" customHeight="1">
      <c r="A29" s="60">
        <f t="shared" si="1"/>
        <v>44857</v>
      </c>
      <c r="B29" s="10"/>
      <c r="C29" s="13"/>
      <c r="D29" s="12"/>
      <c r="E29" s="13"/>
      <c r="F29" s="12"/>
      <c r="G29" s="12"/>
      <c r="H29" s="12"/>
      <c r="I29" s="13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6"/>
      <c r="Y29" s="125">
        <f t="shared" si="2"/>
        <v>0</v>
      </c>
      <c r="Z29" s="22">
        <f t="shared" si="0"/>
        <v>0</v>
      </c>
      <c r="AA29" s="21">
        <f t="shared" si="4"/>
        <v>0</v>
      </c>
      <c r="AB29" s="12"/>
      <c r="AC29" s="26"/>
      <c r="AD29" s="26"/>
      <c r="AE29" s="21">
        <f t="shared" si="3"/>
        <v>0</v>
      </c>
      <c r="AG29" s="219"/>
    </row>
    <row r="30" spans="1:33" ht="17.149999999999999" customHeight="1">
      <c r="A30" s="60">
        <f t="shared" si="1"/>
        <v>44858</v>
      </c>
      <c r="B30" s="10"/>
      <c r="C30" s="13"/>
      <c r="D30" s="12"/>
      <c r="E30" s="10"/>
      <c r="F30" s="13"/>
      <c r="G30" s="12"/>
      <c r="H30" s="12"/>
      <c r="I30" s="13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26"/>
      <c r="Y30" s="125">
        <f t="shared" si="2"/>
        <v>0</v>
      </c>
      <c r="Z30" s="22">
        <f t="shared" si="0"/>
        <v>0</v>
      </c>
      <c r="AA30" s="21">
        <f t="shared" si="4"/>
        <v>0</v>
      </c>
      <c r="AB30" s="12"/>
      <c r="AC30" s="26"/>
      <c r="AD30" s="26"/>
      <c r="AE30" s="21">
        <f t="shared" si="3"/>
        <v>0</v>
      </c>
      <c r="AG30" s="219"/>
    </row>
    <row r="31" spans="1:33" ht="17.149999999999999" customHeight="1">
      <c r="A31" s="60">
        <f t="shared" si="1"/>
        <v>44859</v>
      </c>
      <c r="B31" s="10"/>
      <c r="C31" s="13"/>
      <c r="D31" s="272"/>
      <c r="E31" s="10"/>
      <c r="F31" s="10"/>
      <c r="G31" s="10"/>
      <c r="H31" s="10"/>
      <c r="I31" s="13"/>
      <c r="J31" s="11"/>
      <c r="K31" s="13"/>
      <c r="L31" s="11"/>
      <c r="M31" s="11"/>
      <c r="N31" s="11"/>
      <c r="O31" s="13"/>
      <c r="P31" s="11"/>
      <c r="Q31" s="11"/>
      <c r="R31" s="11"/>
      <c r="S31" s="11"/>
      <c r="T31" s="11"/>
      <c r="U31" s="11"/>
      <c r="V31" s="11"/>
      <c r="W31" s="11"/>
      <c r="X31" s="11"/>
      <c r="Y31" s="125">
        <f t="shared" si="2"/>
        <v>0</v>
      </c>
      <c r="Z31" s="22">
        <f t="shared" si="0"/>
        <v>0</v>
      </c>
      <c r="AA31" s="21">
        <f t="shared" si="4"/>
        <v>0</v>
      </c>
      <c r="AB31" s="12"/>
      <c r="AC31" s="11"/>
      <c r="AD31" s="12"/>
      <c r="AE31" s="21">
        <f t="shared" si="3"/>
        <v>0</v>
      </c>
      <c r="AG31" s="219"/>
    </row>
    <row r="32" spans="1:33" ht="17.149999999999999" customHeight="1">
      <c r="A32" s="60">
        <f t="shared" si="1"/>
        <v>44860</v>
      </c>
      <c r="B32" s="25"/>
      <c r="C32" s="13"/>
      <c r="D32" s="272"/>
      <c r="E32" s="10"/>
      <c r="F32" s="10"/>
      <c r="G32" s="10"/>
      <c r="H32" s="10"/>
      <c r="I32" s="13"/>
      <c r="J32" s="11"/>
      <c r="K32" s="13"/>
      <c r="L32" s="10"/>
      <c r="M32" s="10"/>
      <c r="N32" s="10"/>
      <c r="O32" s="13"/>
      <c r="P32" s="10"/>
      <c r="Q32" s="10"/>
      <c r="R32" s="10"/>
      <c r="S32" s="10"/>
      <c r="T32" s="10"/>
      <c r="U32" s="10"/>
      <c r="V32" s="10"/>
      <c r="W32" s="10"/>
      <c r="X32" s="10"/>
      <c r="Y32" s="125">
        <f t="shared" si="2"/>
        <v>0</v>
      </c>
      <c r="Z32" s="22">
        <f t="shared" si="0"/>
        <v>0</v>
      </c>
      <c r="AA32" s="21">
        <f t="shared" si="4"/>
        <v>0</v>
      </c>
      <c r="AB32" s="12"/>
      <c r="AC32" s="10"/>
      <c r="AD32" s="25"/>
      <c r="AE32" s="21">
        <f t="shared" si="3"/>
        <v>0</v>
      </c>
      <c r="AG32" s="219"/>
    </row>
    <row r="33" spans="1:35" ht="17.149999999999999" customHeight="1">
      <c r="A33" s="60">
        <f t="shared" si="1"/>
        <v>44861</v>
      </c>
      <c r="B33" s="10"/>
      <c r="C33" s="13"/>
      <c r="D33" s="12"/>
      <c r="E33" s="10"/>
      <c r="F33" s="13"/>
      <c r="G33" s="12"/>
      <c r="H33" s="12"/>
      <c r="I33" s="13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26"/>
      <c r="Y33" s="125">
        <f t="shared" si="2"/>
        <v>0</v>
      </c>
      <c r="Z33" s="22">
        <f t="shared" si="0"/>
        <v>0</v>
      </c>
      <c r="AA33" s="21">
        <f t="shared" si="4"/>
        <v>0</v>
      </c>
      <c r="AB33" s="12"/>
      <c r="AC33" s="26"/>
      <c r="AD33" s="26"/>
      <c r="AE33" s="21">
        <f t="shared" si="3"/>
        <v>0</v>
      </c>
      <c r="AG33" s="219"/>
    </row>
    <row r="34" spans="1:35" ht="17.149999999999999" customHeight="1">
      <c r="A34" s="60">
        <f t="shared" si="1"/>
        <v>44862</v>
      </c>
      <c r="B34" s="10"/>
      <c r="C34" s="13"/>
      <c r="D34" s="12"/>
      <c r="E34" s="10"/>
      <c r="F34" s="13"/>
      <c r="G34" s="12"/>
      <c r="H34" s="12"/>
      <c r="I34" s="13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26"/>
      <c r="Y34" s="125">
        <f t="shared" si="2"/>
        <v>0</v>
      </c>
      <c r="Z34" s="22">
        <f t="shared" si="0"/>
        <v>0</v>
      </c>
      <c r="AA34" s="21">
        <f t="shared" si="4"/>
        <v>0</v>
      </c>
      <c r="AB34" s="12"/>
      <c r="AC34" s="26"/>
      <c r="AD34" s="26"/>
      <c r="AE34" s="21">
        <f t="shared" si="3"/>
        <v>0</v>
      </c>
      <c r="AG34" s="219"/>
    </row>
    <row r="35" spans="1:35" ht="17.149999999999999" customHeight="1">
      <c r="A35" s="60">
        <f t="shared" si="1"/>
        <v>44863</v>
      </c>
      <c r="B35" s="10"/>
      <c r="C35" s="13"/>
      <c r="D35" s="12"/>
      <c r="E35" s="10"/>
      <c r="F35" s="13"/>
      <c r="G35" s="12"/>
      <c r="H35" s="12"/>
      <c r="I35" s="13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26"/>
      <c r="Y35" s="125">
        <f t="shared" si="2"/>
        <v>0</v>
      </c>
      <c r="Z35" s="22">
        <f t="shared" ref="Z35:Z37" si="5">SUM(J35,L35,V35,N35,P35,T35,R35)</f>
        <v>0</v>
      </c>
      <c r="AA35" s="21">
        <f t="shared" si="4"/>
        <v>0</v>
      </c>
      <c r="AB35" s="12"/>
      <c r="AC35" s="26"/>
      <c r="AD35" s="26"/>
      <c r="AE35" s="21">
        <f t="shared" ref="AE35:AE37" si="6">SUM(AB35:AD35)</f>
        <v>0</v>
      </c>
      <c r="AG35" s="219"/>
    </row>
    <row r="36" spans="1:35" ht="17.149999999999999" customHeight="1">
      <c r="A36" s="60">
        <f t="shared" si="1"/>
        <v>44864</v>
      </c>
      <c r="B36" s="10"/>
      <c r="C36" s="13"/>
      <c r="D36" s="12"/>
      <c r="E36" s="10"/>
      <c r="F36" s="13"/>
      <c r="G36" s="12"/>
      <c r="H36" s="12"/>
      <c r="I36" s="13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26"/>
      <c r="Y36" s="125">
        <f t="shared" si="2"/>
        <v>0</v>
      </c>
      <c r="Z36" s="22">
        <f t="shared" si="5"/>
        <v>0</v>
      </c>
      <c r="AA36" s="21">
        <f t="shared" si="4"/>
        <v>0</v>
      </c>
      <c r="AB36" s="12"/>
      <c r="AC36" s="26"/>
      <c r="AD36" s="26"/>
      <c r="AE36" s="21">
        <f t="shared" si="6"/>
        <v>0</v>
      </c>
      <c r="AG36" s="219"/>
    </row>
    <row r="37" spans="1:35" ht="17.149999999999999" customHeight="1">
      <c r="A37" s="60">
        <f t="shared" si="1"/>
        <v>44865</v>
      </c>
      <c r="B37" s="10"/>
      <c r="C37" s="13"/>
      <c r="D37" s="12"/>
      <c r="E37" s="10"/>
      <c r="F37" s="13"/>
      <c r="G37" s="12"/>
      <c r="H37" s="12"/>
      <c r="I37" s="13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26"/>
      <c r="Y37" s="125">
        <f t="shared" si="2"/>
        <v>0</v>
      </c>
      <c r="Z37" s="22">
        <f t="shared" si="5"/>
        <v>0</v>
      </c>
      <c r="AA37" s="21">
        <f t="shared" si="4"/>
        <v>0</v>
      </c>
      <c r="AB37" s="12"/>
      <c r="AC37" s="26"/>
      <c r="AD37" s="26"/>
      <c r="AE37" s="21">
        <f t="shared" si="6"/>
        <v>0</v>
      </c>
      <c r="AG37" s="219"/>
    </row>
    <row r="38" spans="1:35" s="14" customFormat="1" ht="17.149999999999999" customHeight="1">
      <c r="A38" s="71" t="s">
        <v>38</v>
      </c>
      <c r="B38" s="72">
        <f t="shared" ref="B38:AE38" si="7">SUM(B7:B37)</f>
        <v>0</v>
      </c>
      <c r="C38" s="72">
        <f t="shared" si="7"/>
        <v>0</v>
      </c>
      <c r="D38" s="269">
        <f t="shared" si="7"/>
        <v>0</v>
      </c>
      <c r="E38" s="72">
        <f t="shared" si="7"/>
        <v>0</v>
      </c>
      <c r="F38" s="72">
        <f t="shared" si="7"/>
        <v>0</v>
      </c>
      <c r="G38" s="72">
        <f t="shared" si="7"/>
        <v>0</v>
      </c>
      <c r="H38" s="72">
        <f t="shared" si="7"/>
        <v>0</v>
      </c>
      <c r="I38" s="72">
        <f t="shared" si="7"/>
        <v>0</v>
      </c>
      <c r="J38" s="73">
        <f t="shared" si="7"/>
        <v>0</v>
      </c>
      <c r="K38" s="73">
        <f t="shared" si="7"/>
        <v>0</v>
      </c>
      <c r="L38" s="74">
        <f t="shared" si="7"/>
        <v>0</v>
      </c>
      <c r="M38" s="74">
        <f t="shared" si="7"/>
        <v>0</v>
      </c>
      <c r="N38" s="73">
        <f t="shared" si="7"/>
        <v>0</v>
      </c>
      <c r="O38" s="73">
        <f t="shared" si="7"/>
        <v>0</v>
      </c>
      <c r="P38" s="74">
        <f t="shared" si="7"/>
        <v>0</v>
      </c>
      <c r="Q38" s="74">
        <f t="shared" si="7"/>
        <v>0</v>
      </c>
      <c r="R38" s="75">
        <f t="shared" si="7"/>
        <v>0</v>
      </c>
      <c r="S38" s="75">
        <f t="shared" si="7"/>
        <v>0</v>
      </c>
      <c r="T38" s="75">
        <f t="shared" si="7"/>
        <v>0</v>
      </c>
      <c r="U38" s="75">
        <f t="shared" si="7"/>
        <v>0</v>
      </c>
      <c r="V38" s="63">
        <f t="shared" si="7"/>
        <v>0</v>
      </c>
      <c r="W38" s="63">
        <f t="shared" si="7"/>
        <v>0</v>
      </c>
      <c r="X38" s="76">
        <f t="shared" si="7"/>
        <v>0</v>
      </c>
      <c r="Y38" s="77">
        <f t="shared" si="7"/>
        <v>0</v>
      </c>
      <c r="Z38" s="78">
        <f t="shared" si="7"/>
        <v>0</v>
      </c>
      <c r="AA38" s="79">
        <f t="shared" si="7"/>
        <v>0</v>
      </c>
      <c r="AB38" s="223">
        <f t="shared" si="7"/>
        <v>0</v>
      </c>
      <c r="AC38" s="224">
        <f t="shared" si="7"/>
        <v>0</v>
      </c>
      <c r="AD38" s="224">
        <f t="shared" si="7"/>
        <v>0</v>
      </c>
      <c r="AE38" s="225">
        <f t="shared" si="7"/>
        <v>0</v>
      </c>
      <c r="AG38" s="234"/>
    </row>
    <row r="39" spans="1:35" s="14" customFormat="1" ht="17.149999999999999" customHeight="1">
      <c r="A39" s="71" t="s">
        <v>86</v>
      </c>
      <c r="B39" s="117"/>
      <c r="C39" s="72"/>
      <c r="D39" s="808"/>
      <c r="E39" s="808"/>
      <c r="F39" s="808"/>
      <c r="G39" s="809"/>
      <c r="H39" s="72"/>
      <c r="I39" s="129"/>
      <c r="J39" s="810"/>
      <c r="K39" s="811"/>
      <c r="L39" s="811"/>
      <c r="M39" s="811"/>
      <c r="N39" s="811"/>
      <c r="O39" s="811"/>
      <c r="P39" s="811"/>
      <c r="Q39" s="811"/>
      <c r="R39" s="811"/>
      <c r="S39" s="811"/>
      <c r="T39" s="811"/>
      <c r="U39" s="812"/>
      <c r="V39" s="253"/>
      <c r="W39" s="253"/>
      <c r="X39" s="76"/>
      <c r="Y39" s="77">
        <f>SUM(B39:I39,X39)</f>
        <v>0</v>
      </c>
      <c r="Z39" s="78">
        <f>SUM(J39:W39)</f>
        <v>0</v>
      </c>
      <c r="AA39" s="79">
        <f>+Y39+Z39</f>
        <v>0</v>
      </c>
      <c r="AB39" s="223"/>
      <c r="AC39" s="224"/>
      <c r="AD39" s="224"/>
      <c r="AE39" s="225">
        <f>SUM(AB39:AD39)</f>
        <v>0</v>
      </c>
      <c r="AG39" s="234"/>
    </row>
    <row r="40" spans="1:35" s="14" customFormat="1" ht="17.149999999999999" customHeight="1" thickBot="1">
      <c r="A40" s="80" t="s">
        <v>144</v>
      </c>
      <c r="B40" s="118">
        <f>SUM(B38)-B39</f>
        <v>0</v>
      </c>
      <c r="C40" s="82">
        <f>C38-C39</f>
        <v>0</v>
      </c>
      <c r="D40" s="813">
        <f>SUM(D38:G38)-D39</f>
        <v>0</v>
      </c>
      <c r="E40" s="813"/>
      <c r="F40" s="813"/>
      <c r="G40" s="814"/>
      <c r="H40" s="82">
        <f>+H38-H39</f>
        <v>0</v>
      </c>
      <c r="I40" s="118">
        <f>I38-I39</f>
        <v>0</v>
      </c>
      <c r="J40" s="815">
        <f>SUM(J38:U38)-J39</f>
        <v>0</v>
      </c>
      <c r="K40" s="816"/>
      <c r="L40" s="816"/>
      <c r="M40" s="816"/>
      <c r="N40" s="816"/>
      <c r="O40" s="816"/>
      <c r="P40" s="816"/>
      <c r="Q40" s="816"/>
      <c r="R40" s="816"/>
      <c r="S40" s="816"/>
      <c r="T40" s="816"/>
      <c r="U40" s="817"/>
      <c r="V40" s="81">
        <f t="shared" ref="V40:W40" si="8">(V38)-V39</f>
        <v>0</v>
      </c>
      <c r="W40" s="81">
        <f t="shared" si="8"/>
        <v>0</v>
      </c>
      <c r="X40" s="83">
        <f>(X38)-X39</f>
        <v>0</v>
      </c>
      <c r="Y40" s="84">
        <f>Y38-Y39</f>
        <v>0</v>
      </c>
      <c r="Z40" s="85">
        <f>Z38-Z39</f>
        <v>0</v>
      </c>
      <c r="AA40" s="86">
        <f>AA38-AA39</f>
        <v>0</v>
      </c>
      <c r="AB40" s="226">
        <f t="shared" ref="AB40:AE40" si="9">AB38-AB39</f>
        <v>0</v>
      </c>
      <c r="AC40" s="227">
        <f t="shared" si="9"/>
        <v>0</v>
      </c>
      <c r="AD40" s="227">
        <f t="shared" si="9"/>
        <v>0</v>
      </c>
      <c r="AE40" s="228">
        <f t="shared" si="9"/>
        <v>0</v>
      </c>
      <c r="AG40" s="234"/>
    </row>
    <row r="41" spans="1:35" ht="17.149999999999999" customHeight="1" thickBot="1">
      <c r="A41" s="40"/>
      <c r="AI41" s="219"/>
    </row>
    <row r="42" spans="1:35" ht="17.149999999999999" customHeight="1">
      <c r="A42" s="767" t="s">
        <v>145</v>
      </c>
      <c r="B42" s="768"/>
      <c r="C42" s="275">
        <v>31</v>
      </c>
      <c r="D42" s="275">
        <v>28.5</v>
      </c>
      <c r="E42" s="229" t="s">
        <v>146</v>
      </c>
      <c r="AI42" s="219"/>
    </row>
    <row r="43" spans="1:35" ht="17.149999999999999" customHeight="1">
      <c r="A43" s="786" t="s">
        <v>147</v>
      </c>
      <c r="B43" s="787"/>
      <c r="C43" s="276">
        <v>0</v>
      </c>
      <c r="D43" s="276">
        <v>0</v>
      </c>
      <c r="E43" s="219" t="s">
        <v>146</v>
      </c>
      <c r="AI43" s="219"/>
    </row>
    <row r="44" spans="1:35" ht="17.149999999999999" customHeight="1" thickBot="1">
      <c r="A44" s="788" t="s">
        <v>148</v>
      </c>
      <c r="B44" s="789"/>
      <c r="C44" s="230">
        <f>+C42-C43</f>
        <v>31</v>
      </c>
      <c r="D44" s="230">
        <f>+D42-D43</f>
        <v>28.5</v>
      </c>
      <c r="E44" s="231" t="s">
        <v>146</v>
      </c>
      <c r="AI44" s="219"/>
    </row>
    <row r="45" spans="1:35" ht="17.149999999999999" customHeight="1">
      <c r="A45" s="41"/>
      <c r="AI45" s="219"/>
    </row>
    <row r="46" spans="1:35" ht="17.149999999999999" customHeight="1">
      <c r="A46" s="42" t="s">
        <v>149</v>
      </c>
      <c r="AI46" s="219"/>
    </row>
    <row r="47" spans="1:35" ht="17.149999999999999" customHeight="1">
      <c r="A47" s="232" t="s">
        <v>72</v>
      </c>
      <c r="B47" s="233" t="s">
        <v>86</v>
      </c>
      <c r="C47" s="233" t="s">
        <v>99</v>
      </c>
      <c r="D47" s="233" t="s">
        <v>84</v>
      </c>
      <c r="AG47" s="259"/>
      <c r="AH47" s="259"/>
      <c r="AI47" s="234"/>
    </row>
    <row r="48" spans="1:35" ht="17.149999999999999" customHeight="1">
      <c r="A48" s="232" t="s">
        <v>39</v>
      </c>
      <c r="B48" s="233">
        <f>(B39/$C$42)*$C$43</f>
        <v>0</v>
      </c>
      <c r="C48" s="233">
        <f>SUM(B38:B38)</f>
        <v>0</v>
      </c>
      <c r="D48" s="233">
        <f t="shared" ref="D48:D59" si="10">+C48-B48</f>
        <v>0</v>
      </c>
      <c r="S48" s="23"/>
      <c r="Z48" s="23"/>
      <c r="AA48" s="23"/>
      <c r="AB48" s="23"/>
      <c r="AC48" s="23"/>
      <c r="AD48" s="23"/>
      <c r="AE48" s="23"/>
      <c r="AI48" s="219"/>
    </row>
    <row r="49" spans="1:36" ht="17.149999999999999" customHeight="1">
      <c r="A49" s="232" t="s">
        <v>40</v>
      </c>
      <c r="B49" s="233">
        <f>(C39/$C$42)*$C$43</f>
        <v>0</v>
      </c>
      <c r="C49" s="233">
        <f>C38</f>
        <v>0</v>
      </c>
      <c r="D49" s="233">
        <f t="shared" si="10"/>
        <v>0</v>
      </c>
      <c r="N49" s="9"/>
      <c r="O49" s="9"/>
      <c r="P49" s="9"/>
      <c r="Q49" s="9"/>
      <c r="R49" s="9"/>
      <c r="S49" s="790"/>
      <c r="T49" s="790"/>
      <c r="U49" s="790"/>
      <c r="V49" s="790"/>
      <c r="W49" s="790"/>
      <c r="X49" s="790"/>
      <c r="Y49" s="790"/>
      <c r="Z49" s="790"/>
      <c r="AA49" s="790"/>
      <c r="AB49" s="790"/>
      <c r="AC49" s="790"/>
      <c r="AD49" s="790"/>
      <c r="AE49" s="790"/>
      <c r="AF49" s="235"/>
      <c r="AG49" s="235"/>
      <c r="AH49" s="235"/>
      <c r="AI49" s="236"/>
      <c r="AJ49" s="235"/>
    </row>
    <row r="50" spans="1:36" ht="17.149999999999999" customHeight="1">
      <c r="A50" s="232" t="s">
        <v>150</v>
      </c>
      <c r="B50" s="233">
        <f>+(D39/$C$42)*$C$43</f>
        <v>0</v>
      </c>
      <c r="C50" s="233">
        <f>SUM(D38:G38)</f>
        <v>0</v>
      </c>
      <c r="D50" s="233">
        <f t="shared" si="10"/>
        <v>0</v>
      </c>
      <c r="AI50" s="219"/>
    </row>
    <row r="51" spans="1:36" ht="17.149999999999999" customHeight="1">
      <c r="A51" s="232" t="s">
        <v>87</v>
      </c>
      <c r="B51" s="233">
        <f>+(H39/$C$42)*$C$43</f>
        <v>0</v>
      </c>
      <c r="C51" s="233">
        <f>SUM(H38)</f>
        <v>0</v>
      </c>
      <c r="D51" s="233">
        <f t="shared" si="10"/>
        <v>0</v>
      </c>
      <c r="AI51" s="219"/>
    </row>
    <row r="52" spans="1:36" ht="17.149999999999999" customHeight="1">
      <c r="A52" s="250" t="s">
        <v>88</v>
      </c>
      <c r="B52" s="251">
        <f>+(I39/$C$42)*$C$43</f>
        <v>0</v>
      </c>
      <c r="C52" s="251">
        <f>+I38</f>
        <v>0</v>
      </c>
      <c r="D52" s="251">
        <f t="shared" si="10"/>
        <v>0</v>
      </c>
      <c r="AI52" s="219"/>
    </row>
    <row r="53" spans="1:36" ht="17.149999999999999" customHeight="1">
      <c r="A53" s="232" t="s">
        <v>43</v>
      </c>
      <c r="B53" s="233">
        <f>+(X39/$C$42)*$C$43</f>
        <v>0</v>
      </c>
      <c r="C53" s="233">
        <f>+X38</f>
        <v>0</v>
      </c>
      <c r="D53" s="233">
        <f t="shared" si="10"/>
        <v>0</v>
      </c>
      <c r="T53" s="9"/>
      <c r="U53" s="9"/>
      <c r="V53" s="9"/>
      <c r="W53" s="9"/>
      <c r="X53" s="9"/>
      <c r="AI53" s="219"/>
    </row>
    <row r="54" spans="1:36" ht="17.149999999999999" customHeight="1">
      <c r="A54" s="87" t="s">
        <v>151</v>
      </c>
      <c r="B54" s="237">
        <f>SUM(B48:B53)</f>
        <v>0</v>
      </c>
      <c r="C54" s="237">
        <f>SUM(C48:C53)</f>
        <v>0</v>
      </c>
      <c r="D54" s="237">
        <f t="shared" si="10"/>
        <v>0</v>
      </c>
      <c r="T54" s="9"/>
      <c r="U54" s="9"/>
      <c r="V54" s="9"/>
      <c r="W54" s="9"/>
      <c r="X54" s="9"/>
      <c r="AI54" s="219"/>
    </row>
    <row r="55" spans="1:36" ht="17.149999999999999" customHeight="1">
      <c r="A55" s="232" t="s">
        <v>91</v>
      </c>
      <c r="B55" s="233">
        <f>+(J39/$C$42)*$C$43</f>
        <v>0</v>
      </c>
      <c r="C55" s="233">
        <f>SUM(J38:U38)</f>
        <v>0</v>
      </c>
      <c r="D55" s="233">
        <f t="shared" si="10"/>
        <v>0</v>
      </c>
      <c r="T55" s="9"/>
      <c r="U55" s="9"/>
      <c r="V55" s="9"/>
      <c r="W55" s="9"/>
      <c r="X55" s="9"/>
      <c r="AI55" s="219"/>
    </row>
    <row r="56" spans="1:36" ht="17.149999999999999" customHeight="1">
      <c r="A56" s="232" t="s">
        <v>92</v>
      </c>
      <c r="B56" s="233">
        <f>+(V39/$C$42)*$C$43</f>
        <v>0</v>
      </c>
      <c r="C56" s="233">
        <f>+V38</f>
        <v>0</v>
      </c>
      <c r="D56" s="233">
        <f t="shared" si="10"/>
        <v>0</v>
      </c>
      <c r="T56" s="9"/>
      <c r="U56" s="9"/>
      <c r="V56" s="9"/>
      <c r="W56" s="9"/>
      <c r="X56" s="9"/>
      <c r="AI56" s="219"/>
    </row>
    <row r="57" spans="1:36" ht="17.149999999999999" customHeight="1">
      <c r="A57" s="232" t="s">
        <v>93</v>
      </c>
      <c r="B57" s="233">
        <f>+(W39/$C$42)*$C$43</f>
        <v>0</v>
      </c>
      <c r="C57" s="233">
        <f>+W38</f>
        <v>0</v>
      </c>
      <c r="D57" s="233">
        <f t="shared" si="10"/>
        <v>0</v>
      </c>
      <c r="AI57" s="219"/>
    </row>
    <row r="58" spans="1:36" ht="17.149999999999999" customHeight="1">
      <c r="A58" s="87" t="s">
        <v>152</v>
      </c>
      <c r="B58" s="237">
        <f>SUM(B55:B57)</f>
        <v>0</v>
      </c>
      <c r="C58" s="237">
        <f>SUM(C55:C57)</f>
        <v>0</v>
      </c>
      <c r="D58" s="237">
        <f t="shared" si="10"/>
        <v>0</v>
      </c>
      <c r="AI58" s="219"/>
    </row>
    <row r="59" spans="1:36" ht="17.149999999999999" customHeight="1">
      <c r="A59" s="87" t="s">
        <v>94</v>
      </c>
      <c r="B59" s="237">
        <f>SUM(B54,B58)</f>
        <v>0</v>
      </c>
      <c r="C59" s="237">
        <f>SUM(C54,C58)</f>
        <v>0</v>
      </c>
      <c r="D59" s="237">
        <f t="shared" si="10"/>
        <v>0</v>
      </c>
      <c r="AI59" s="219"/>
    </row>
    <row r="60" spans="1:36" ht="17.149999999999999" customHeight="1">
      <c r="A60" s="40"/>
      <c r="AI60" s="219"/>
    </row>
    <row r="61" spans="1:36" ht="17.149999999999999" customHeight="1">
      <c r="A61" s="42" t="s">
        <v>153</v>
      </c>
      <c r="AI61" s="219"/>
    </row>
    <row r="62" spans="1:36" ht="17.149999999999999" customHeight="1">
      <c r="A62" s="232" t="s">
        <v>154</v>
      </c>
      <c r="B62" s="233" t="s">
        <v>86</v>
      </c>
      <c r="C62" s="233" t="s">
        <v>99</v>
      </c>
      <c r="D62" s="233" t="s">
        <v>84</v>
      </c>
      <c r="AI62" s="219"/>
    </row>
    <row r="63" spans="1:36" ht="17.149999999999999" customHeight="1">
      <c r="A63" s="232" t="s">
        <v>51</v>
      </c>
      <c r="B63" s="233">
        <f>SUM(B48:B52)</f>
        <v>0</v>
      </c>
      <c r="C63" s="233">
        <f>SUM(C48:C52)</f>
        <v>0</v>
      </c>
      <c r="D63" s="233">
        <f t="shared" ref="D63:D67" si="11">+C63-B63</f>
        <v>0</v>
      </c>
      <c r="AI63" s="219"/>
    </row>
    <row r="64" spans="1:36" ht="17.149999999999999" customHeight="1">
      <c r="A64" s="232" t="s">
        <v>50</v>
      </c>
      <c r="B64" s="233">
        <f>SUM(B56:B57)</f>
        <v>0</v>
      </c>
      <c r="C64" s="233">
        <f>SUM(C56:C57)</f>
        <v>0</v>
      </c>
      <c r="D64" s="233">
        <f t="shared" si="11"/>
        <v>0</v>
      </c>
      <c r="AI64" s="219"/>
    </row>
    <row r="65" spans="1:49" ht="17.149999999999999" customHeight="1">
      <c r="A65" s="232" t="s">
        <v>120</v>
      </c>
      <c r="B65" s="233">
        <f>B55</f>
        <v>0</v>
      </c>
      <c r="C65" s="233">
        <f>C55</f>
        <v>0</v>
      </c>
      <c r="D65" s="233">
        <f t="shared" si="11"/>
        <v>0</v>
      </c>
      <c r="AI65" s="219"/>
      <c r="AU65" s="30"/>
      <c r="AV65" s="238"/>
      <c r="AW65" s="239"/>
    </row>
    <row r="66" spans="1:49" ht="17.149999999999999" customHeight="1">
      <c r="A66" s="232" t="s">
        <v>55</v>
      </c>
      <c r="B66" s="233">
        <f>SUM(B53)</f>
        <v>0</v>
      </c>
      <c r="C66" s="233">
        <f>SUM(C53)</f>
        <v>0</v>
      </c>
      <c r="D66" s="233">
        <f t="shared" si="11"/>
        <v>0</v>
      </c>
      <c r="AI66" s="219"/>
      <c r="AU66" s="31"/>
      <c r="AV66" s="238"/>
      <c r="AW66" s="239"/>
    </row>
    <row r="67" spans="1:49" ht="17.149999999999999" customHeight="1">
      <c r="A67" s="87" t="s">
        <v>62</v>
      </c>
      <c r="B67" s="237">
        <f>SUM(B63:B66)</f>
        <v>0</v>
      </c>
      <c r="C67" s="237">
        <f>SUM(C63:C66)</f>
        <v>0</v>
      </c>
      <c r="D67" s="237">
        <f t="shared" si="11"/>
        <v>0</v>
      </c>
      <c r="AI67" s="219"/>
      <c r="AU67" s="240"/>
      <c r="AV67" s="238"/>
      <c r="AW67" s="239"/>
    </row>
    <row r="68" spans="1:49" ht="17.149999999999999" customHeight="1">
      <c r="A68" s="40"/>
      <c r="AI68" s="219"/>
      <c r="AU68" s="241"/>
      <c r="AV68" s="241"/>
      <c r="AW68" s="239"/>
    </row>
    <row r="69" spans="1:49" ht="17.149999999999999" customHeight="1">
      <c r="A69" s="42" t="s">
        <v>155</v>
      </c>
      <c r="AI69" s="219"/>
      <c r="AU69" s="242"/>
      <c r="AV69" s="238"/>
      <c r="AW69" s="239"/>
    </row>
    <row r="70" spans="1:49" ht="15" customHeight="1">
      <c r="A70" s="232" t="s">
        <v>154</v>
      </c>
      <c r="B70" s="233" t="s">
        <v>86</v>
      </c>
      <c r="C70" s="233" t="s">
        <v>99</v>
      </c>
      <c r="D70" s="233" t="s">
        <v>84</v>
      </c>
      <c r="E70" s="243"/>
      <c r="AI70" s="219"/>
    </row>
    <row r="71" spans="1:49" ht="15" customHeight="1">
      <c r="A71" s="232" t="s">
        <v>136</v>
      </c>
      <c r="B71" s="233">
        <f>+(AB39/$D$42)*$D$43</f>
        <v>0</v>
      </c>
      <c r="C71" s="233">
        <f>+AB38</f>
        <v>0</v>
      </c>
      <c r="D71" s="233">
        <f>+C71-B71</f>
        <v>0</v>
      </c>
      <c r="E71" s="243"/>
      <c r="AI71" s="219"/>
    </row>
    <row r="72" spans="1:49" ht="15" customHeight="1">
      <c r="A72" s="232" t="s">
        <v>137</v>
      </c>
      <c r="B72" s="233">
        <f>+(AC39/$D$42)*$D$43</f>
        <v>0</v>
      </c>
      <c r="C72" s="233">
        <f>+AC38</f>
        <v>0</v>
      </c>
      <c r="D72" s="233">
        <f>+C72-B72</f>
        <v>0</v>
      </c>
      <c r="E72" s="243"/>
      <c r="AI72" s="219"/>
    </row>
    <row r="73" spans="1:49" ht="15" customHeight="1">
      <c r="A73" s="232" t="s">
        <v>53</v>
      </c>
      <c r="B73" s="233">
        <f>+(AD39/$D$42)*$D$43</f>
        <v>0</v>
      </c>
      <c r="C73" s="233">
        <f>+AD38</f>
        <v>0</v>
      </c>
      <c r="D73" s="233">
        <f>+C73-B73</f>
        <v>0</v>
      </c>
      <c r="E73" s="243"/>
      <c r="AI73" s="219"/>
    </row>
    <row r="74" spans="1:49" ht="15" customHeight="1">
      <c r="A74" s="87" t="s">
        <v>62</v>
      </c>
      <c r="B74" s="237">
        <f>SUM(B71:B73)</f>
        <v>0</v>
      </c>
      <c r="C74" s="237">
        <f>SUM(C71:C73)</f>
        <v>0</v>
      </c>
      <c r="D74" s="237">
        <f>+C74-B74</f>
        <v>0</v>
      </c>
      <c r="E74" s="243"/>
      <c r="AA74" s="29"/>
      <c r="AB74" s="29"/>
      <c r="AC74" s="29"/>
      <c r="AD74" s="29"/>
      <c r="AE74" s="29"/>
      <c r="AG74" s="244"/>
      <c r="AH74" s="244"/>
      <c r="AI74" s="219"/>
    </row>
    <row r="75" spans="1:49" ht="13">
      <c r="A75" s="255"/>
      <c r="B75" s="256"/>
      <c r="C75" s="256"/>
      <c r="D75" s="256"/>
      <c r="E75" s="243"/>
      <c r="I75" s="9"/>
      <c r="J75" s="9"/>
      <c r="S75" s="9"/>
      <c r="T75" s="9"/>
      <c r="U75" s="9"/>
      <c r="V75" s="9"/>
      <c r="W75" s="9"/>
      <c r="X75" s="9"/>
      <c r="Y75" s="9"/>
      <c r="Z75" s="9"/>
      <c r="AA75" s="260"/>
      <c r="AB75" s="260"/>
      <c r="AC75" s="260"/>
      <c r="AD75" s="260"/>
      <c r="AE75" s="260"/>
      <c r="AF75" s="9"/>
      <c r="AG75" s="244"/>
      <c r="AH75" s="244"/>
      <c r="AI75" s="219"/>
    </row>
    <row r="76" spans="1:49" ht="13" thickBot="1">
      <c r="A76" s="245"/>
      <c r="B76" s="246"/>
      <c r="C76" s="246"/>
      <c r="D76" s="246"/>
      <c r="E76" s="246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247"/>
      <c r="AB76" s="247"/>
      <c r="AC76" s="247"/>
      <c r="AD76" s="247"/>
      <c r="AE76" s="247"/>
      <c r="AF76" s="55"/>
      <c r="AG76" s="248"/>
      <c r="AH76" s="248"/>
      <c r="AI76" s="231"/>
    </row>
    <row r="77" spans="1:49" s="9" customFormat="1" ht="13">
      <c r="A77" s="249"/>
      <c r="B77" s="243"/>
      <c r="C77" s="243"/>
      <c r="D77" s="243"/>
      <c r="E77" s="24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29"/>
      <c r="AB77" s="29"/>
      <c r="AC77" s="29"/>
      <c r="AD77" s="29"/>
      <c r="AE77" s="29"/>
      <c r="AF77" s="7"/>
    </row>
    <row r="78" spans="1:49">
      <c r="AA78" s="29"/>
      <c r="AB78" s="29"/>
      <c r="AC78" s="29"/>
      <c r="AD78" s="29"/>
      <c r="AE78" s="29"/>
      <c r="AG78" s="244"/>
      <c r="AH78" s="244"/>
    </row>
    <row r="79" spans="1:49">
      <c r="AA79" s="29"/>
      <c r="AB79" s="29"/>
      <c r="AC79" s="29"/>
      <c r="AD79" s="29"/>
      <c r="AE79" s="29"/>
      <c r="AG79" s="244"/>
      <c r="AH79" s="244"/>
    </row>
    <row r="80" spans="1:49">
      <c r="AA80" s="29"/>
      <c r="AB80" s="29"/>
      <c r="AC80" s="29"/>
      <c r="AD80" s="29"/>
      <c r="AE80" s="29"/>
      <c r="AG80" s="244"/>
      <c r="AH80" s="244"/>
    </row>
    <row r="81" spans="33:34">
      <c r="AG81" s="244"/>
      <c r="AH81" s="244"/>
    </row>
    <row r="82" spans="33:34">
      <c r="AG82" s="244"/>
      <c r="AH82" s="244"/>
    </row>
    <row r="83" spans="33:34">
      <c r="AG83" s="244"/>
      <c r="AH83" s="244"/>
    </row>
    <row r="84" spans="33:34">
      <c r="AG84" s="244"/>
      <c r="AH84" s="244"/>
    </row>
    <row r="85" spans="33:34">
      <c r="AG85" s="244"/>
      <c r="AH85" s="244"/>
    </row>
  </sheetData>
  <mergeCells count="32">
    <mergeCell ref="A42:B42"/>
    <mergeCell ref="A43:B43"/>
    <mergeCell ref="A44:B44"/>
    <mergeCell ref="S49:AE49"/>
    <mergeCell ref="V5:W5"/>
    <mergeCell ref="D6:H6"/>
    <mergeCell ref="D39:G39"/>
    <mergeCell ref="J39:U39"/>
    <mergeCell ref="D40:G40"/>
    <mergeCell ref="J40:U40"/>
    <mergeCell ref="J5:K5"/>
    <mergeCell ref="L5:M5"/>
    <mergeCell ref="N5:O5"/>
    <mergeCell ref="P5:Q5"/>
    <mergeCell ref="R5:S5"/>
    <mergeCell ref="T5:U5"/>
    <mergeCell ref="A1:AI1"/>
    <mergeCell ref="A3:A6"/>
    <mergeCell ref="D3:H3"/>
    <mergeCell ref="J3:W3"/>
    <mergeCell ref="X3:X4"/>
    <mergeCell ref="Y3:Y6"/>
    <mergeCell ref="Z3:Z6"/>
    <mergeCell ref="AA3:AA6"/>
    <mergeCell ref="AB3:AB6"/>
    <mergeCell ref="AC3:AC6"/>
    <mergeCell ref="AD3:AD6"/>
    <mergeCell ref="AE3:AE6"/>
    <mergeCell ref="J4:M4"/>
    <mergeCell ref="N4:S4"/>
    <mergeCell ref="T4:U4"/>
    <mergeCell ref="D5:H5"/>
  </mergeCells>
  <printOptions horizontalCentered="1"/>
  <pageMargins left="0" right="0" top="0" bottom="0" header="0" footer="0"/>
  <pageSetup paperSize="9" scale="42" orientation="landscape" r:id="rId1"/>
  <headerFooter alignWithMargins="0"/>
  <ignoredErrors>
    <ignoredError sqref="AA7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945C-5575-4345-BFFA-2A30369B867B}">
  <sheetPr>
    <tabColor rgb="FF92D050"/>
    <pageSetUpPr fitToPage="1"/>
  </sheetPr>
  <dimension ref="A1:AW84"/>
  <sheetViews>
    <sheetView showGridLines="0" view="pageBreakPreview" zoomScale="70" zoomScaleSheetLayoutView="70" workbookViewId="0">
      <pane xSplit="1" ySplit="6" topLeftCell="B25" activePane="bottomRight" state="frozen"/>
      <selection sqref="A1:AH2"/>
      <selection pane="topRight" sqref="A1:AH2"/>
      <selection pane="bottomLeft" sqref="A1:AH2"/>
      <selection pane="bottomRight" sqref="A1:AH2"/>
    </sheetView>
  </sheetViews>
  <sheetFormatPr defaultColWidth="8.81640625" defaultRowHeight="12.5"/>
  <cols>
    <col min="1" max="1" width="10.1796875" style="8" customWidth="1"/>
    <col min="2" max="2" width="10.81640625" style="7" bestFit="1" customWidth="1"/>
    <col min="3" max="3" width="12.1796875" style="7" bestFit="1" customWidth="1"/>
    <col min="4" max="11" width="10.453125" style="7" customWidth="1"/>
    <col min="12" max="12" width="11.1796875" style="7" customWidth="1"/>
    <col min="13" max="30" width="10.453125" style="7" customWidth="1"/>
    <col min="31" max="31" width="11.1796875" style="7" customWidth="1"/>
    <col min="32" max="33" width="11.26953125" style="7" customWidth="1"/>
    <col min="34" max="35" width="0.81640625" style="7" customWidth="1"/>
    <col min="36" max="36" width="11.7265625" style="7" customWidth="1"/>
    <col min="37" max="38" width="8.81640625" style="7"/>
    <col min="39" max="47" width="11.81640625" style="7" customWidth="1"/>
    <col min="48" max="16384" width="8.81640625" style="7"/>
  </cols>
  <sheetData>
    <row r="1" spans="1:35" ht="35.15" customHeight="1">
      <c r="A1" s="761">
        <f>+A7</f>
        <v>44866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2"/>
      <c r="AH1" s="762"/>
      <c r="AI1" s="763"/>
    </row>
    <row r="2" spans="1:35" ht="25" customHeight="1" thickBot="1">
      <c r="A2" s="40"/>
      <c r="AI2" s="220" t="s">
        <v>127</v>
      </c>
    </row>
    <row r="3" spans="1:35" ht="17.149999999999999" customHeight="1">
      <c r="A3" s="764" t="s">
        <v>128</v>
      </c>
      <c r="B3" s="114" t="s">
        <v>129</v>
      </c>
      <c r="C3" s="271" t="s">
        <v>130</v>
      </c>
      <c r="D3" s="797"/>
      <c r="E3" s="797"/>
      <c r="F3" s="797"/>
      <c r="G3" s="797"/>
      <c r="H3" s="798"/>
      <c r="I3" s="114" t="s">
        <v>132</v>
      </c>
      <c r="J3" s="799" t="s">
        <v>42</v>
      </c>
      <c r="K3" s="800"/>
      <c r="L3" s="800"/>
      <c r="M3" s="800"/>
      <c r="N3" s="800"/>
      <c r="O3" s="800"/>
      <c r="P3" s="800"/>
      <c r="Q3" s="800"/>
      <c r="R3" s="800"/>
      <c r="S3" s="800"/>
      <c r="T3" s="800"/>
      <c r="U3" s="800"/>
      <c r="V3" s="800"/>
      <c r="W3" s="801"/>
      <c r="X3" s="794" t="s">
        <v>43</v>
      </c>
      <c r="Y3" s="791" t="s">
        <v>172</v>
      </c>
      <c r="Z3" s="769" t="s">
        <v>173</v>
      </c>
      <c r="AA3" s="772" t="s">
        <v>135</v>
      </c>
      <c r="AB3" s="755" t="s">
        <v>136</v>
      </c>
      <c r="AC3" s="755" t="s">
        <v>137</v>
      </c>
      <c r="AD3" s="755" t="s">
        <v>53</v>
      </c>
      <c r="AE3" s="758" t="s">
        <v>138</v>
      </c>
      <c r="AG3" s="219"/>
    </row>
    <row r="4" spans="1:35" s="9" customFormat="1" ht="17.149999999999999" customHeight="1">
      <c r="A4" s="765"/>
      <c r="B4" s="115" t="s">
        <v>139</v>
      </c>
      <c r="C4" s="62" t="s">
        <v>69</v>
      </c>
      <c r="D4" s="116" t="s">
        <v>140</v>
      </c>
      <c r="E4" s="64" t="s">
        <v>49</v>
      </c>
      <c r="F4" s="62" t="s">
        <v>141</v>
      </c>
      <c r="G4" s="62" t="s">
        <v>142</v>
      </c>
      <c r="H4" s="116" t="s">
        <v>46</v>
      </c>
      <c r="I4" s="115" t="s">
        <v>88</v>
      </c>
      <c r="J4" s="777" t="s">
        <v>47</v>
      </c>
      <c r="K4" s="782"/>
      <c r="L4" s="782"/>
      <c r="M4" s="778"/>
      <c r="N4" s="777" t="s">
        <v>48</v>
      </c>
      <c r="O4" s="782"/>
      <c r="P4" s="782"/>
      <c r="Q4" s="782"/>
      <c r="R4" s="782"/>
      <c r="S4" s="778"/>
      <c r="T4" s="777" t="s">
        <v>143</v>
      </c>
      <c r="U4" s="778"/>
      <c r="V4" s="254" t="s">
        <v>48</v>
      </c>
      <c r="W4" s="254" t="s">
        <v>49</v>
      </c>
      <c r="X4" s="795"/>
      <c r="Y4" s="792"/>
      <c r="Z4" s="770"/>
      <c r="AA4" s="773"/>
      <c r="AB4" s="756"/>
      <c r="AC4" s="756"/>
      <c r="AD4" s="756"/>
      <c r="AE4" s="759"/>
      <c r="AG4" s="257"/>
    </row>
    <row r="5" spans="1:35" ht="30" customHeight="1">
      <c r="A5" s="765"/>
      <c r="B5" s="130" t="s">
        <v>51</v>
      </c>
      <c r="C5" s="130" t="s">
        <v>51</v>
      </c>
      <c r="D5" s="802"/>
      <c r="E5" s="803"/>
      <c r="F5" s="803"/>
      <c r="G5" s="803"/>
      <c r="H5" s="803"/>
      <c r="I5" s="127" t="s">
        <v>51</v>
      </c>
      <c r="J5" s="818" t="s">
        <v>52</v>
      </c>
      <c r="K5" s="819"/>
      <c r="L5" s="820" t="s">
        <v>53</v>
      </c>
      <c r="M5" s="821"/>
      <c r="N5" s="822" t="s">
        <v>52</v>
      </c>
      <c r="O5" s="823"/>
      <c r="P5" s="820" t="s">
        <v>53</v>
      </c>
      <c r="Q5" s="821"/>
      <c r="R5" s="824" t="s">
        <v>54</v>
      </c>
      <c r="S5" s="825"/>
      <c r="T5" s="824" t="s">
        <v>54</v>
      </c>
      <c r="U5" s="825"/>
      <c r="V5" s="804" t="s">
        <v>50</v>
      </c>
      <c r="W5" s="805"/>
      <c r="X5" s="49" t="s">
        <v>55</v>
      </c>
      <c r="Y5" s="792"/>
      <c r="Z5" s="770"/>
      <c r="AA5" s="773"/>
      <c r="AB5" s="756"/>
      <c r="AC5" s="756"/>
      <c r="AD5" s="756"/>
      <c r="AE5" s="759"/>
      <c r="AG5" s="219"/>
    </row>
    <row r="6" spans="1:35" ht="17.149999999999999" customHeight="1" thickBot="1">
      <c r="A6" s="766"/>
      <c r="B6" s="131" t="s">
        <v>123</v>
      </c>
      <c r="C6" s="128" t="s">
        <v>123</v>
      </c>
      <c r="D6" s="806"/>
      <c r="E6" s="806"/>
      <c r="F6" s="806"/>
      <c r="G6" s="806"/>
      <c r="H6" s="807"/>
      <c r="I6" s="128" t="s">
        <v>123</v>
      </c>
      <c r="J6" s="65" t="s">
        <v>124</v>
      </c>
      <c r="K6" s="66" t="s">
        <v>123</v>
      </c>
      <c r="L6" s="67" t="s">
        <v>124</v>
      </c>
      <c r="M6" s="68" t="s">
        <v>123</v>
      </c>
      <c r="N6" s="65" t="s">
        <v>124</v>
      </c>
      <c r="O6" s="66" t="s">
        <v>123</v>
      </c>
      <c r="P6" s="67" t="s">
        <v>124</v>
      </c>
      <c r="Q6" s="68" t="s">
        <v>123</v>
      </c>
      <c r="R6" s="69" t="s">
        <v>124</v>
      </c>
      <c r="S6" s="69" t="s">
        <v>123</v>
      </c>
      <c r="T6" s="69" t="s">
        <v>124</v>
      </c>
      <c r="U6" s="69" t="s">
        <v>123</v>
      </c>
      <c r="V6" s="252" t="s">
        <v>124</v>
      </c>
      <c r="W6" s="252" t="s">
        <v>124</v>
      </c>
      <c r="X6" s="70" t="s">
        <v>123</v>
      </c>
      <c r="Y6" s="793"/>
      <c r="Z6" s="771"/>
      <c r="AA6" s="774"/>
      <c r="AB6" s="757"/>
      <c r="AC6" s="757"/>
      <c r="AD6" s="757"/>
      <c r="AE6" s="760"/>
      <c r="AG6" s="219"/>
    </row>
    <row r="7" spans="1:35" ht="17.149999999999999" customHeight="1">
      <c r="A7" s="124">
        <v>44866</v>
      </c>
      <c r="B7" s="123"/>
      <c r="C7" s="121"/>
      <c r="D7" s="122"/>
      <c r="E7" s="123"/>
      <c r="F7" s="121"/>
      <c r="G7" s="122"/>
      <c r="H7" s="122"/>
      <c r="I7" s="121"/>
      <c r="J7" s="119"/>
      <c r="K7" s="120"/>
      <c r="L7" s="121"/>
      <c r="M7" s="119"/>
      <c r="N7" s="122"/>
      <c r="O7" s="122"/>
      <c r="P7" s="121"/>
      <c r="Q7" s="119"/>
      <c r="R7" s="121"/>
      <c r="S7" s="121"/>
      <c r="T7" s="121"/>
      <c r="U7" s="121"/>
      <c r="V7" s="121"/>
      <c r="W7" s="119"/>
      <c r="X7" s="120"/>
      <c r="Y7" s="125">
        <f>SUM(X7,B7:I7)</f>
        <v>0</v>
      </c>
      <c r="Z7" s="125">
        <f>SUM(J7,L7,V7,N7,P7,T7,R7,W7)</f>
        <v>0</v>
      </c>
      <c r="AA7" s="126">
        <f>SUM(B7:X7)</f>
        <v>0</v>
      </c>
      <c r="AB7" s="221"/>
      <c r="AC7" s="106"/>
      <c r="AD7" s="106"/>
      <c r="AE7" s="222">
        <f>SUM(AB7:AD7)</f>
        <v>0</v>
      </c>
      <c r="AG7" s="219"/>
    </row>
    <row r="8" spans="1:35" ht="17.149999999999999" customHeight="1">
      <c r="A8" s="60">
        <f t="shared" ref="A8:A36" si="0">+A7+1</f>
        <v>44867</v>
      </c>
      <c r="B8" s="10"/>
      <c r="C8" s="13"/>
      <c r="D8" s="12"/>
      <c r="E8" s="10"/>
      <c r="F8" s="13"/>
      <c r="G8" s="12"/>
      <c r="H8" s="12"/>
      <c r="I8" s="13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25"/>
      <c r="Y8" s="125">
        <f t="shared" ref="Y8:Y36" si="1">SUM(X8,B8:I8)</f>
        <v>0</v>
      </c>
      <c r="Z8" s="125">
        <f t="shared" ref="Z8:Z36" si="2">SUM(J8,L8,V8,N8,P8,T8,R8,W8)</f>
        <v>0</v>
      </c>
      <c r="AA8" s="126">
        <f t="shared" ref="AA8:AA36" si="3">SUM(B8:X8)</f>
        <v>0</v>
      </c>
      <c r="AB8" s="12"/>
      <c r="AC8" s="25"/>
      <c r="AD8" s="25"/>
      <c r="AE8" s="21">
        <f t="shared" ref="AE8:AE34" si="4">SUM(AB8:AD8)</f>
        <v>0</v>
      </c>
      <c r="AG8" s="219"/>
    </row>
    <row r="9" spans="1:35" ht="17.149999999999999" customHeight="1">
      <c r="A9" s="60">
        <f t="shared" si="0"/>
        <v>44868</v>
      </c>
      <c r="B9" s="10"/>
      <c r="C9" s="13"/>
      <c r="D9" s="12"/>
      <c r="E9" s="10"/>
      <c r="F9" s="13"/>
      <c r="G9" s="12"/>
      <c r="H9" s="12"/>
      <c r="I9" s="13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26"/>
      <c r="Y9" s="125">
        <f t="shared" si="1"/>
        <v>0</v>
      </c>
      <c r="Z9" s="125">
        <f t="shared" si="2"/>
        <v>0</v>
      </c>
      <c r="AA9" s="126">
        <f t="shared" si="3"/>
        <v>0</v>
      </c>
      <c r="AB9" s="12"/>
      <c r="AC9" s="26"/>
      <c r="AD9" s="26"/>
      <c r="AE9" s="21">
        <f t="shared" si="4"/>
        <v>0</v>
      </c>
      <c r="AG9" s="219"/>
    </row>
    <row r="10" spans="1:35" ht="17.149999999999999" customHeight="1">
      <c r="A10" s="60">
        <f t="shared" si="0"/>
        <v>44869</v>
      </c>
      <c r="B10" s="10"/>
      <c r="C10" s="13"/>
      <c r="D10" s="12"/>
      <c r="E10" s="10"/>
      <c r="F10" s="13"/>
      <c r="G10" s="12"/>
      <c r="H10" s="12"/>
      <c r="I10" s="13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26"/>
      <c r="Y10" s="125">
        <f t="shared" si="1"/>
        <v>0</v>
      </c>
      <c r="Z10" s="125">
        <f t="shared" si="2"/>
        <v>0</v>
      </c>
      <c r="AA10" s="126">
        <f t="shared" si="3"/>
        <v>0</v>
      </c>
      <c r="AB10" s="12"/>
      <c r="AC10" s="26"/>
      <c r="AD10" s="26"/>
      <c r="AE10" s="21">
        <f t="shared" si="4"/>
        <v>0</v>
      </c>
      <c r="AG10" s="219"/>
    </row>
    <row r="11" spans="1:35" ht="17.149999999999999" customHeight="1">
      <c r="A11" s="60">
        <f t="shared" si="0"/>
        <v>44870</v>
      </c>
      <c r="B11" s="10"/>
      <c r="C11" s="13"/>
      <c r="D11" s="12"/>
      <c r="E11" s="10"/>
      <c r="F11" s="13"/>
      <c r="G11" s="12"/>
      <c r="H11" s="12"/>
      <c r="I11" s="13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26"/>
      <c r="Y11" s="125">
        <f t="shared" si="1"/>
        <v>0</v>
      </c>
      <c r="Z11" s="125">
        <f t="shared" si="2"/>
        <v>0</v>
      </c>
      <c r="AA11" s="126">
        <f t="shared" si="3"/>
        <v>0</v>
      </c>
      <c r="AB11" s="12"/>
      <c r="AC11" s="26"/>
      <c r="AD11" s="26"/>
      <c r="AE11" s="21">
        <f t="shared" si="4"/>
        <v>0</v>
      </c>
      <c r="AG11" s="219"/>
    </row>
    <row r="12" spans="1:35" ht="17.149999999999999" customHeight="1">
      <c r="A12" s="60">
        <f t="shared" si="0"/>
        <v>44871</v>
      </c>
      <c r="B12" s="10"/>
      <c r="C12" s="13"/>
      <c r="D12" s="12"/>
      <c r="E12" s="10"/>
      <c r="F12" s="13"/>
      <c r="G12" s="12"/>
      <c r="H12" s="12"/>
      <c r="I12" s="13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26"/>
      <c r="Y12" s="125">
        <f t="shared" si="1"/>
        <v>0</v>
      </c>
      <c r="Z12" s="125">
        <f t="shared" si="2"/>
        <v>0</v>
      </c>
      <c r="AA12" s="126">
        <f t="shared" si="3"/>
        <v>0</v>
      </c>
      <c r="AB12" s="12"/>
      <c r="AC12" s="26"/>
      <c r="AD12" s="26"/>
      <c r="AE12" s="21">
        <f t="shared" si="4"/>
        <v>0</v>
      </c>
      <c r="AG12" s="219"/>
    </row>
    <row r="13" spans="1:35" ht="17.149999999999999" customHeight="1">
      <c r="A13" s="60">
        <f t="shared" si="0"/>
        <v>44872</v>
      </c>
      <c r="B13" s="10"/>
      <c r="C13" s="13"/>
      <c r="D13" s="12"/>
      <c r="E13" s="10"/>
      <c r="F13" s="13"/>
      <c r="G13" s="12"/>
      <c r="H13" s="12"/>
      <c r="I13" s="13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26"/>
      <c r="Y13" s="125">
        <f t="shared" si="1"/>
        <v>0</v>
      </c>
      <c r="Z13" s="125">
        <f t="shared" si="2"/>
        <v>0</v>
      </c>
      <c r="AA13" s="126">
        <f t="shared" si="3"/>
        <v>0</v>
      </c>
      <c r="AB13" s="12"/>
      <c r="AC13" s="26"/>
      <c r="AD13" s="26"/>
      <c r="AE13" s="21">
        <f t="shared" si="4"/>
        <v>0</v>
      </c>
      <c r="AG13" s="219"/>
    </row>
    <row r="14" spans="1:35" ht="17.149999999999999" customHeight="1">
      <c r="A14" s="60">
        <f t="shared" si="0"/>
        <v>44873</v>
      </c>
      <c r="B14" s="10"/>
      <c r="C14" s="13"/>
      <c r="D14" s="12"/>
      <c r="E14" s="10"/>
      <c r="F14" s="13"/>
      <c r="G14" s="12"/>
      <c r="H14" s="12"/>
      <c r="I14" s="13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6"/>
      <c r="Y14" s="125">
        <f t="shared" si="1"/>
        <v>0</v>
      </c>
      <c r="Z14" s="125">
        <f t="shared" si="2"/>
        <v>0</v>
      </c>
      <c r="AA14" s="126">
        <f t="shared" si="3"/>
        <v>0</v>
      </c>
      <c r="AB14" s="12"/>
      <c r="AC14" s="25"/>
      <c r="AD14" s="25"/>
      <c r="AE14" s="21">
        <f t="shared" si="4"/>
        <v>0</v>
      </c>
      <c r="AG14" s="219"/>
    </row>
    <row r="15" spans="1:35" ht="17.149999999999999" customHeight="1">
      <c r="A15" s="60">
        <f t="shared" si="0"/>
        <v>44874</v>
      </c>
      <c r="B15" s="10"/>
      <c r="C15" s="13"/>
      <c r="D15" s="12"/>
      <c r="E15" s="10"/>
      <c r="F15" s="13"/>
      <c r="G15" s="12"/>
      <c r="H15" s="12"/>
      <c r="I15" s="13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26"/>
      <c r="Y15" s="125">
        <f t="shared" si="1"/>
        <v>0</v>
      </c>
      <c r="Z15" s="125">
        <f t="shared" si="2"/>
        <v>0</v>
      </c>
      <c r="AA15" s="126">
        <f t="shared" si="3"/>
        <v>0</v>
      </c>
      <c r="AB15" s="12"/>
      <c r="AC15" s="26"/>
      <c r="AD15" s="26"/>
      <c r="AE15" s="21">
        <f t="shared" si="4"/>
        <v>0</v>
      </c>
      <c r="AG15" s="219"/>
    </row>
    <row r="16" spans="1:35" ht="17.149999999999999" customHeight="1">
      <c r="A16" s="60">
        <f t="shared" si="0"/>
        <v>44875</v>
      </c>
      <c r="B16" s="10"/>
      <c r="C16" s="13"/>
      <c r="D16" s="12"/>
      <c r="E16" s="10"/>
      <c r="F16" s="13"/>
      <c r="G16" s="12"/>
      <c r="H16" s="12"/>
      <c r="I16" s="13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26"/>
      <c r="Y16" s="125">
        <f t="shared" si="1"/>
        <v>0</v>
      </c>
      <c r="Z16" s="125">
        <f t="shared" si="2"/>
        <v>0</v>
      </c>
      <c r="AA16" s="126">
        <f t="shared" si="3"/>
        <v>0</v>
      </c>
      <c r="AB16" s="12"/>
      <c r="AC16" s="26"/>
      <c r="AD16" s="26"/>
      <c r="AE16" s="21">
        <f t="shared" si="4"/>
        <v>0</v>
      </c>
      <c r="AG16" s="219"/>
    </row>
    <row r="17" spans="1:33" ht="17.149999999999999" customHeight="1">
      <c r="A17" s="60">
        <f t="shared" si="0"/>
        <v>44876</v>
      </c>
      <c r="B17" s="10"/>
      <c r="C17" s="13"/>
      <c r="D17" s="12"/>
      <c r="E17" s="10"/>
      <c r="F17" s="13"/>
      <c r="G17" s="12"/>
      <c r="H17" s="12"/>
      <c r="I17" s="13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26"/>
      <c r="Y17" s="125">
        <f t="shared" si="1"/>
        <v>0</v>
      </c>
      <c r="Z17" s="125">
        <f t="shared" si="2"/>
        <v>0</v>
      </c>
      <c r="AA17" s="126">
        <f t="shared" si="3"/>
        <v>0</v>
      </c>
      <c r="AB17" s="12"/>
      <c r="AC17" s="26"/>
      <c r="AD17" s="26"/>
      <c r="AE17" s="21">
        <f t="shared" si="4"/>
        <v>0</v>
      </c>
      <c r="AG17" s="219"/>
    </row>
    <row r="18" spans="1:33" ht="17.149999999999999" customHeight="1">
      <c r="A18" s="60">
        <f t="shared" si="0"/>
        <v>44877</v>
      </c>
      <c r="B18" s="10"/>
      <c r="C18" s="13"/>
      <c r="D18" s="12"/>
      <c r="E18" s="10"/>
      <c r="F18" s="13"/>
      <c r="G18" s="12"/>
      <c r="H18" s="12"/>
      <c r="I18" s="13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26"/>
      <c r="Y18" s="125">
        <f t="shared" si="1"/>
        <v>0</v>
      </c>
      <c r="Z18" s="125">
        <f t="shared" si="2"/>
        <v>0</v>
      </c>
      <c r="AA18" s="126">
        <f t="shared" si="3"/>
        <v>0</v>
      </c>
      <c r="AB18" s="12"/>
      <c r="AC18" s="26"/>
      <c r="AD18" s="26"/>
      <c r="AE18" s="21">
        <f t="shared" si="4"/>
        <v>0</v>
      </c>
      <c r="AG18" s="219"/>
    </row>
    <row r="19" spans="1:33" ht="17.149999999999999" customHeight="1">
      <c r="A19" s="60">
        <f t="shared" si="0"/>
        <v>44878</v>
      </c>
      <c r="B19" s="10"/>
      <c r="C19" s="13"/>
      <c r="D19" s="12"/>
      <c r="E19" s="10"/>
      <c r="F19" s="13"/>
      <c r="G19" s="12"/>
      <c r="H19" s="12"/>
      <c r="I19" s="13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25"/>
      <c r="Y19" s="125">
        <f t="shared" si="1"/>
        <v>0</v>
      </c>
      <c r="Z19" s="125">
        <f t="shared" si="2"/>
        <v>0</v>
      </c>
      <c r="AA19" s="126">
        <f t="shared" si="3"/>
        <v>0</v>
      </c>
      <c r="AB19" s="12"/>
      <c r="AC19" s="25"/>
      <c r="AD19" s="25"/>
      <c r="AE19" s="21">
        <f t="shared" si="4"/>
        <v>0</v>
      </c>
      <c r="AG19" s="219"/>
    </row>
    <row r="20" spans="1:33" ht="17.149999999999999" customHeight="1">
      <c r="A20" s="60">
        <f t="shared" si="0"/>
        <v>44879</v>
      </c>
      <c r="B20" s="10"/>
      <c r="C20" s="13"/>
      <c r="D20" s="12"/>
      <c r="E20" s="10"/>
      <c r="F20" s="13"/>
      <c r="G20" s="12"/>
      <c r="H20" s="12"/>
      <c r="I20" s="13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27"/>
      <c r="Y20" s="125">
        <f t="shared" si="1"/>
        <v>0</v>
      </c>
      <c r="Z20" s="125">
        <f t="shared" si="2"/>
        <v>0</v>
      </c>
      <c r="AA20" s="126">
        <f t="shared" si="3"/>
        <v>0</v>
      </c>
      <c r="AB20" s="12"/>
      <c r="AC20" s="27"/>
      <c r="AD20" s="27"/>
      <c r="AE20" s="21">
        <f t="shared" si="4"/>
        <v>0</v>
      </c>
      <c r="AG20" s="219"/>
    </row>
    <row r="21" spans="1:33" ht="17.149999999999999" customHeight="1">
      <c r="A21" s="60">
        <f t="shared" si="0"/>
        <v>44880</v>
      </c>
      <c r="B21" s="10"/>
      <c r="C21" s="13"/>
      <c r="D21" s="12"/>
      <c r="E21" s="13"/>
      <c r="F21" s="13"/>
      <c r="G21" s="12"/>
      <c r="H21" s="12"/>
      <c r="I21" s="13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7"/>
      <c r="Y21" s="125">
        <f t="shared" si="1"/>
        <v>0</v>
      </c>
      <c r="Z21" s="125">
        <f t="shared" si="2"/>
        <v>0</v>
      </c>
      <c r="AA21" s="126">
        <f t="shared" si="3"/>
        <v>0</v>
      </c>
      <c r="AB21" s="12"/>
      <c r="AC21" s="27"/>
      <c r="AD21" s="27"/>
      <c r="AE21" s="21">
        <f t="shared" si="4"/>
        <v>0</v>
      </c>
      <c r="AG21" s="219"/>
    </row>
    <row r="22" spans="1:33" ht="17.149999999999999" customHeight="1">
      <c r="A22" s="60">
        <f t="shared" si="0"/>
        <v>44881</v>
      </c>
      <c r="B22" s="10"/>
      <c r="C22" s="13"/>
      <c r="D22" s="12"/>
      <c r="E22" s="10"/>
      <c r="F22" s="13"/>
      <c r="G22" s="12"/>
      <c r="H22" s="12"/>
      <c r="I22" s="13"/>
      <c r="J22" s="11"/>
      <c r="K22" s="13"/>
      <c r="L22" s="13"/>
      <c r="M22" s="266"/>
      <c r="N22" s="266"/>
      <c r="O22" s="13"/>
      <c r="P22" s="13"/>
      <c r="Q22" s="266"/>
      <c r="R22" s="13"/>
      <c r="S22" s="13"/>
      <c r="T22" s="13"/>
      <c r="U22" s="13"/>
      <c r="V22" s="13"/>
      <c r="W22" s="266"/>
      <c r="X22" s="267"/>
      <c r="Y22" s="125">
        <f t="shared" si="1"/>
        <v>0</v>
      </c>
      <c r="Z22" s="125">
        <f t="shared" si="2"/>
        <v>0</v>
      </c>
      <c r="AA22" s="126">
        <f t="shared" si="3"/>
        <v>0</v>
      </c>
      <c r="AB22" s="12"/>
      <c r="AC22" s="25"/>
      <c r="AD22" s="25"/>
      <c r="AE22" s="21">
        <f t="shared" si="4"/>
        <v>0</v>
      </c>
      <c r="AG22" s="219"/>
    </row>
    <row r="23" spans="1:33" ht="17.149999999999999" customHeight="1">
      <c r="A23" s="60">
        <f t="shared" si="0"/>
        <v>44882</v>
      </c>
      <c r="B23" s="10"/>
      <c r="C23" s="13"/>
      <c r="D23" s="12"/>
      <c r="E23" s="10"/>
      <c r="F23" s="13"/>
      <c r="G23" s="12"/>
      <c r="H23" s="12"/>
      <c r="I23" s="13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26"/>
      <c r="Y23" s="125">
        <f t="shared" si="1"/>
        <v>0</v>
      </c>
      <c r="Z23" s="125">
        <f t="shared" si="2"/>
        <v>0</v>
      </c>
      <c r="AA23" s="126">
        <f t="shared" si="3"/>
        <v>0</v>
      </c>
      <c r="AB23" s="12"/>
      <c r="AC23" s="26"/>
      <c r="AD23" s="26"/>
      <c r="AE23" s="21">
        <f t="shared" si="4"/>
        <v>0</v>
      </c>
      <c r="AG23" s="219"/>
    </row>
    <row r="24" spans="1:33" ht="17.149999999999999" customHeight="1">
      <c r="A24" s="60">
        <f t="shared" si="0"/>
        <v>44883</v>
      </c>
      <c r="B24" s="10"/>
      <c r="C24" s="13"/>
      <c r="D24" s="12"/>
      <c r="E24" s="10"/>
      <c r="F24" s="13"/>
      <c r="G24" s="12"/>
      <c r="H24" s="12"/>
      <c r="I24" s="13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6"/>
      <c r="Y24" s="125">
        <f t="shared" si="1"/>
        <v>0</v>
      </c>
      <c r="Z24" s="125">
        <f t="shared" si="2"/>
        <v>0</v>
      </c>
      <c r="AA24" s="126">
        <f t="shared" si="3"/>
        <v>0</v>
      </c>
      <c r="AB24" s="12"/>
      <c r="AC24" s="26"/>
      <c r="AD24" s="26"/>
      <c r="AE24" s="21">
        <f t="shared" si="4"/>
        <v>0</v>
      </c>
      <c r="AG24" s="219"/>
    </row>
    <row r="25" spans="1:33" ht="17.149999999999999" customHeight="1">
      <c r="A25" s="60">
        <f t="shared" si="0"/>
        <v>44884</v>
      </c>
      <c r="B25" s="10"/>
      <c r="C25" s="13"/>
      <c r="D25" s="12"/>
      <c r="E25" s="10"/>
      <c r="F25" s="13"/>
      <c r="G25" s="12"/>
      <c r="H25" s="12"/>
      <c r="I25" s="13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26"/>
      <c r="Y25" s="125">
        <f t="shared" si="1"/>
        <v>0</v>
      </c>
      <c r="Z25" s="125">
        <f t="shared" si="2"/>
        <v>0</v>
      </c>
      <c r="AA25" s="126">
        <f t="shared" si="3"/>
        <v>0</v>
      </c>
      <c r="AB25" s="12"/>
      <c r="AC25" s="26"/>
      <c r="AD25" s="26"/>
      <c r="AE25" s="21">
        <f t="shared" si="4"/>
        <v>0</v>
      </c>
      <c r="AG25" s="219"/>
    </row>
    <row r="26" spans="1:33" ht="17.149999999999999" customHeight="1">
      <c r="A26" s="60">
        <f t="shared" si="0"/>
        <v>44885</v>
      </c>
      <c r="B26" s="10"/>
      <c r="C26" s="13"/>
      <c r="D26" s="12"/>
      <c r="E26" s="10"/>
      <c r="F26" s="13"/>
      <c r="G26" s="12"/>
      <c r="H26" s="12"/>
      <c r="I26" s="13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26"/>
      <c r="Y26" s="125">
        <f t="shared" si="1"/>
        <v>0</v>
      </c>
      <c r="Z26" s="125">
        <f t="shared" si="2"/>
        <v>0</v>
      </c>
      <c r="AA26" s="126">
        <f t="shared" si="3"/>
        <v>0</v>
      </c>
      <c r="AB26" s="12"/>
      <c r="AC26" s="26"/>
      <c r="AD26" s="26"/>
      <c r="AE26" s="21">
        <f t="shared" si="4"/>
        <v>0</v>
      </c>
      <c r="AG26" s="219"/>
    </row>
    <row r="27" spans="1:33" ht="17.149999999999999" customHeight="1">
      <c r="A27" s="60">
        <f t="shared" si="0"/>
        <v>44886</v>
      </c>
      <c r="B27" s="10"/>
      <c r="C27" s="13"/>
      <c r="D27" s="57"/>
      <c r="E27" s="13"/>
      <c r="F27" s="13"/>
      <c r="G27" s="12"/>
      <c r="H27" s="12"/>
      <c r="I27" s="13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26"/>
      <c r="Y27" s="125">
        <f t="shared" si="1"/>
        <v>0</v>
      </c>
      <c r="Z27" s="125">
        <f t="shared" si="2"/>
        <v>0</v>
      </c>
      <c r="AA27" s="126">
        <f t="shared" si="3"/>
        <v>0</v>
      </c>
      <c r="AB27" s="12"/>
      <c r="AC27" s="26"/>
      <c r="AD27" s="26"/>
      <c r="AE27" s="21">
        <f t="shared" si="4"/>
        <v>0</v>
      </c>
      <c r="AG27" s="219"/>
    </row>
    <row r="28" spans="1:33" ht="17.149999999999999" customHeight="1">
      <c r="A28" s="60">
        <f t="shared" si="0"/>
        <v>44887</v>
      </c>
      <c r="B28" s="10"/>
      <c r="C28" s="13"/>
      <c r="D28" s="12"/>
      <c r="E28" s="10"/>
      <c r="F28" s="13"/>
      <c r="G28" s="12"/>
      <c r="H28" s="12"/>
      <c r="I28" s="13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26"/>
      <c r="Y28" s="125">
        <f t="shared" si="1"/>
        <v>0</v>
      </c>
      <c r="Z28" s="125">
        <f t="shared" si="2"/>
        <v>0</v>
      </c>
      <c r="AA28" s="126">
        <f t="shared" si="3"/>
        <v>0</v>
      </c>
      <c r="AB28" s="12"/>
      <c r="AC28" s="26"/>
      <c r="AD28" s="26"/>
      <c r="AE28" s="21">
        <f t="shared" si="4"/>
        <v>0</v>
      </c>
      <c r="AG28" s="219"/>
    </row>
    <row r="29" spans="1:33" ht="17.149999999999999" customHeight="1">
      <c r="A29" s="60">
        <f t="shared" si="0"/>
        <v>44888</v>
      </c>
      <c r="B29" s="10"/>
      <c r="C29" s="13"/>
      <c r="D29" s="12"/>
      <c r="E29" s="13"/>
      <c r="F29" s="12"/>
      <c r="G29" s="12"/>
      <c r="H29" s="12"/>
      <c r="I29" s="13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6"/>
      <c r="Y29" s="125">
        <f t="shared" si="1"/>
        <v>0</v>
      </c>
      <c r="Z29" s="125">
        <f t="shared" si="2"/>
        <v>0</v>
      </c>
      <c r="AA29" s="126">
        <f t="shared" si="3"/>
        <v>0</v>
      </c>
      <c r="AB29" s="12"/>
      <c r="AC29" s="26"/>
      <c r="AD29" s="26"/>
      <c r="AE29" s="21">
        <f t="shared" si="4"/>
        <v>0</v>
      </c>
      <c r="AG29" s="219"/>
    </row>
    <row r="30" spans="1:33" ht="17.149999999999999" customHeight="1">
      <c r="A30" s="60">
        <f t="shared" si="0"/>
        <v>44889</v>
      </c>
      <c r="B30" s="10"/>
      <c r="C30" s="13"/>
      <c r="D30" s="12"/>
      <c r="E30" s="10"/>
      <c r="F30" s="13"/>
      <c r="G30" s="12"/>
      <c r="H30" s="12"/>
      <c r="I30" s="13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26"/>
      <c r="Y30" s="125">
        <f t="shared" si="1"/>
        <v>0</v>
      </c>
      <c r="Z30" s="125">
        <f t="shared" si="2"/>
        <v>0</v>
      </c>
      <c r="AA30" s="126">
        <f t="shared" si="3"/>
        <v>0</v>
      </c>
      <c r="AB30" s="12"/>
      <c r="AC30" s="26"/>
      <c r="AD30" s="26"/>
      <c r="AE30" s="21">
        <f t="shared" si="4"/>
        <v>0</v>
      </c>
      <c r="AG30" s="219"/>
    </row>
    <row r="31" spans="1:33" ht="17.149999999999999" customHeight="1">
      <c r="A31" s="60">
        <f t="shared" si="0"/>
        <v>44890</v>
      </c>
      <c r="B31" s="10"/>
      <c r="C31" s="13"/>
      <c r="D31" s="272"/>
      <c r="E31" s="10"/>
      <c r="F31" s="10"/>
      <c r="G31" s="10"/>
      <c r="H31" s="10"/>
      <c r="I31" s="13"/>
      <c r="J31" s="11"/>
      <c r="K31" s="13"/>
      <c r="L31" s="11"/>
      <c r="M31" s="11"/>
      <c r="N31" s="11"/>
      <c r="O31" s="13"/>
      <c r="P31" s="11"/>
      <c r="Q31" s="11"/>
      <c r="R31" s="11"/>
      <c r="S31" s="11"/>
      <c r="T31" s="11"/>
      <c r="U31" s="11"/>
      <c r="V31" s="11"/>
      <c r="W31" s="11"/>
      <c r="X31" s="11"/>
      <c r="Y31" s="125">
        <f t="shared" si="1"/>
        <v>0</v>
      </c>
      <c r="Z31" s="125">
        <f t="shared" si="2"/>
        <v>0</v>
      </c>
      <c r="AA31" s="126">
        <f t="shared" si="3"/>
        <v>0</v>
      </c>
      <c r="AB31" s="12"/>
      <c r="AC31" s="11"/>
      <c r="AD31" s="12"/>
      <c r="AE31" s="21">
        <f t="shared" si="4"/>
        <v>0</v>
      </c>
      <c r="AG31" s="219"/>
    </row>
    <row r="32" spans="1:33" ht="17.149999999999999" customHeight="1">
      <c r="A32" s="60">
        <f t="shared" si="0"/>
        <v>44891</v>
      </c>
      <c r="B32" s="25"/>
      <c r="C32" s="13"/>
      <c r="D32" s="272"/>
      <c r="E32" s="10"/>
      <c r="F32" s="10"/>
      <c r="G32" s="10"/>
      <c r="H32" s="10"/>
      <c r="I32" s="13"/>
      <c r="J32" s="11"/>
      <c r="K32" s="13"/>
      <c r="L32" s="10"/>
      <c r="M32" s="10"/>
      <c r="N32" s="10"/>
      <c r="O32" s="13"/>
      <c r="P32" s="10"/>
      <c r="Q32" s="10"/>
      <c r="R32" s="10"/>
      <c r="S32" s="10"/>
      <c r="T32" s="10"/>
      <c r="U32" s="10"/>
      <c r="V32" s="10"/>
      <c r="W32" s="10"/>
      <c r="X32" s="10"/>
      <c r="Y32" s="125">
        <f t="shared" si="1"/>
        <v>0</v>
      </c>
      <c r="Z32" s="125">
        <f t="shared" si="2"/>
        <v>0</v>
      </c>
      <c r="AA32" s="126">
        <f t="shared" si="3"/>
        <v>0</v>
      </c>
      <c r="AB32" s="12"/>
      <c r="AC32" s="10"/>
      <c r="AD32" s="25"/>
      <c r="AE32" s="21">
        <f t="shared" si="4"/>
        <v>0</v>
      </c>
      <c r="AG32" s="219"/>
    </row>
    <row r="33" spans="1:36" ht="17.149999999999999" customHeight="1">
      <c r="A33" s="60">
        <f t="shared" si="0"/>
        <v>44892</v>
      </c>
      <c r="B33" s="10"/>
      <c r="C33" s="13"/>
      <c r="D33" s="12"/>
      <c r="E33" s="10"/>
      <c r="F33" s="13"/>
      <c r="G33" s="12"/>
      <c r="H33" s="12"/>
      <c r="I33" s="13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26"/>
      <c r="Y33" s="125">
        <f t="shared" si="1"/>
        <v>0</v>
      </c>
      <c r="Z33" s="125">
        <f t="shared" si="2"/>
        <v>0</v>
      </c>
      <c r="AA33" s="126">
        <f t="shared" si="3"/>
        <v>0</v>
      </c>
      <c r="AB33" s="12"/>
      <c r="AC33" s="26"/>
      <c r="AD33" s="26"/>
      <c r="AE33" s="21">
        <f t="shared" si="4"/>
        <v>0</v>
      </c>
      <c r="AG33" s="219"/>
    </row>
    <row r="34" spans="1:36" ht="17.149999999999999" customHeight="1">
      <c r="A34" s="60">
        <f t="shared" si="0"/>
        <v>44893</v>
      </c>
      <c r="B34" s="10"/>
      <c r="C34" s="13"/>
      <c r="D34" s="12"/>
      <c r="E34" s="10"/>
      <c r="F34" s="13"/>
      <c r="G34" s="12"/>
      <c r="H34" s="12"/>
      <c r="I34" s="13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26"/>
      <c r="Y34" s="125">
        <f t="shared" si="1"/>
        <v>0</v>
      </c>
      <c r="Z34" s="125">
        <f t="shared" si="2"/>
        <v>0</v>
      </c>
      <c r="AA34" s="126">
        <f t="shared" si="3"/>
        <v>0</v>
      </c>
      <c r="AB34" s="12"/>
      <c r="AC34" s="26"/>
      <c r="AD34" s="26"/>
      <c r="AE34" s="21">
        <f t="shared" si="4"/>
        <v>0</v>
      </c>
      <c r="AG34" s="219"/>
    </row>
    <row r="35" spans="1:36" ht="17.149999999999999" customHeight="1">
      <c r="A35" s="60">
        <f t="shared" si="0"/>
        <v>44894</v>
      </c>
      <c r="B35" s="10"/>
      <c r="C35" s="13"/>
      <c r="D35" s="12"/>
      <c r="E35" s="10"/>
      <c r="F35" s="13"/>
      <c r="G35" s="12"/>
      <c r="H35" s="12"/>
      <c r="I35" s="13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26"/>
      <c r="Y35" s="125">
        <f t="shared" si="1"/>
        <v>0</v>
      </c>
      <c r="Z35" s="125">
        <f t="shared" si="2"/>
        <v>0</v>
      </c>
      <c r="AA35" s="126">
        <f t="shared" si="3"/>
        <v>0</v>
      </c>
      <c r="AB35" s="12"/>
      <c r="AC35" s="26"/>
      <c r="AD35" s="26"/>
      <c r="AE35" s="21">
        <f t="shared" ref="AE35:AE36" si="5">SUM(AB35:AD35)</f>
        <v>0</v>
      </c>
      <c r="AG35" s="219"/>
    </row>
    <row r="36" spans="1:36" ht="17.149999999999999" customHeight="1">
      <c r="A36" s="60">
        <f t="shared" si="0"/>
        <v>44895</v>
      </c>
      <c r="B36" s="10"/>
      <c r="C36" s="13"/>
      <c r="D36" s="268"/>
      <c r="E36" s="10"/>
      <c r="F36" s="13"/>
      <c r="G36" s="12"/>
      <c r="H36" s="12"/>
      <c r="I36" s="13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26"/>
      <c r="Y36" s="125">
        <f t="shared" si="1"/>
        <v>0</v>
      </c>
      <c r="Z36" s="125">
        <f t="shared" si="2"/>
        <v>0</v>
      </c>
      <c r="AA36" s="126">
        <f t="shared" si="3"/>
        <v>0</v>
      </c>
      <c r="AB36" s="12"/>
      <c r="AC36" s="26"/>
      <c r="AD36" s="26"/>
      <c r="AE36" s="21">
        <f t="shared" si="5"/>
        <v>0</v>
      </c>
      <c r="AG36" s="219"/>
    </row>
    <row r="37" spans="1:36" s="14" customFormat="1" ht="17.149999999999999" customHeight="1">
      <c r="A37" s="71" t="s">
        <v>38</v>
      </c>
      <c r="B37" s="72">
        <f t="shared" ref="B37:AE37" si="6">SUM(B7:B36)</f>
        <v>0</v>
      </c>
      <c r="C37" s="72">
        <f t="shared" si="6"/>
        <v>0</v>
      </c>
      <c r="D37" s="269">
        <f t="shared" si="6"/>
        <v>0</v>
      </c>
      <c r="E37" s="72">
        <f t="shared" si="6"/>
        <v>0</v>
      </c>
      <c r="F37" s="72">
        <f t="shared" si="6"/>
        <v>0</v>
      </c>
      <c r="G37" s="72">
        <f t="shared" si="6"/>
        <v>0</v>
      </c>
      <c r="H37" s="72">
        <f t="shared" si="6"/>
        <v>0</v>
      </c>
      <c r="I37" s="72">
        <f t="shared" si="6"/>
        <v>0</v>
      </c>
      <c r="J37" s="73">
        <f t="shared" si="6"/>
        <v>0</v>
      </c>
      <c r="K37" s="73">
        <f t="shared" si="6"/>
        <v>0</v>
      </c>
      <c r="L37" s="74">
        <f t="shared" si="6"/>
        <v>0</v>
      </c>
      <c r="M37" s="74">
        <f t="shared" si="6"/>
        <v>0</v>
      </c>
      <c r="N37" s="73">
        <f t="shared" si="6"/>
        <v>0</v>
      </c>
      <c r="O37" s="73">
        <f t="shared" si="6"/>
        <v>0</v>
      </c>
      <c r="P37" s="74">
        <f t="shared" si="6"/>
        <v>0</v>
      </c>
      <c r="Q37" s="74">
        <f t="shared" si="6"/>
        <v>0</v>
      </c>
      <c r="R37" s="75">
        <f t="shared" si="6"/>
        <v>0</v>
      </c>
      <c r="S37" s="75">
        <f t="shared" si="6"/>
        <v>0</v>
      </c>
      <c r="T37" s="75">
        <f t="shared" si="6"/>
        <v>0</v>
      </c>
      <c r="U37" s="75">
        <f t="shared" si="6"/>
        <v>0</v>
      </c>
      <c r="V37" s="63">
        <f t="shared" si="6"/>
        <v>0</v>
      </c>
      <c r="W37" s="63">
        <f t="shared" si="6"/>
        <v>0</v>
      </c>
      <c r="X37" s="76">
        <f t="shared" si="6"/>
        <v>0</v>
      </c>
      <c r="Y37" s="77">
        <f t="shared" si="6"/>
        <v>0</v>
      </c>
      <c r="Z37" s="78">
        <f t="shared" si="6"/>
        <v>0</v>
      </c>
      <c r="AA37" s="79">
        <f t="shared" si="6"/>
        <v>0</v>
      </c>
      <c r="AB37" s="223">
        <f t="shared" si="6"/>
        <v>0</v>
      </c>
      <c r="AC37" s="224">
        <f t="shared" si="6"/>
        <v>0</v>
      </c>
      <c r="AD37" s="224">
        <f t="shared" si="6"/>
        <v>0</v>
      </c>
      <c r="AE37" s="225">
        <f t="shared" si="6"/>
        <v>0</v>
      </c>
      <c r="AG37" s="234"/>
    </row>
    <row r="38" spans="1:36" s="14" customFormat="1" ht="17.149999999999999" customHeight="1">
      <c r="A38" s="71" t="s">
        <v>86</v>
      </c>
      <c r="B38" s="117"/>
      <c r="C38" s="72"/>
      <c r="D38" s="808"/>
      <c r="E38" s="808"/>
      <c r="F38" s="808"/>
      <c r="G38" s="809"/>
      <c r="H38" s="72"/>
      <c r="I38" s="129"/>
      <c r="J38" s="810"/>
      <c r="K38" s="811"/>
      <c r="L38" s="811"/>
      <c r="M38" s="811"/>
      <c r="N38" s="811"/>
      <c r="O38" s="811"/>
      <c r="P38" s="811"/>
      <c r="Q38" s="811"/>
      <c r="R38" s="811"/>
      <c r="S38" s="811"/>
      <c r="T38" s="811"/>
      <c r="U38" s="812"/>
      <c r="V38" s="253"/>
      <c r="W38" s="253"/>
      <c r="X38" s="76"/>
      <c r="Y38" s="77">
        <f>SUM(B38:I38,X38)</f>
        <v>0</v>
      </c>
      <c r="Z38" s="78">
        <f>SUM(J38:W38)</f>
        <v>0</v>
      </c>
      <c r="AA38" s="79">
        <f>+Y38+Z38</f>
        <v>0</v>
      </c>
      <c r="AB38" s="223"/>
      <c r="AC38" s="224"/>
      <c r="AD38" s="224"/>
      <c r="AE38" s="225">
        <f>SUM(AB38:AD38)</f>
        <v>0</v>
      </c>
      <c r="AG38" s="234"/>
    </row>
    <row r="39" spans="1:36" s="14" customFormat="1" ht="17.149999999999999" customHeight="1" thickBot="1">
      <c r="A39" s="80" t="s">
        <v>144</v>
      </c>
      <c r="B39" s="118">
        <f>SUM(B37)-B38</f>
        <v>0</v>
      </c>
      <c r="C39" s="82">
        <f>C37-C38</f>
        <v>0</v>
      </c>
      <c r="D39" s="813">
        <f>SUM(D37:G37)-D38</f>
        <v>0</v>
      </c>
      <c r="E39" s="813"/>
      <c r="F39" s="813"/>
      <c r="G39" s="814"/>
      <c r="H39" s="82">
        <f>+H37-H38</f>
        <v>0</v>
      </c>
      <c r="I39" s="118">
        <f>I37-I38</f>
        <v>0</v>
      </c>
      <c r="J39" s="815">
        <f>SUM(J37:U37)-J38</f>
        <v>0</v>
      </c>
      <c r="K39" s="816"/>
      <c r="L39" s="816"/>
      <c r="M39" s="816"/>
      <c r="N39" s="816"/>
      <c r="O39" s="816"/>
      <c r="P39" s="816"/>
      <c r="Q39" s="816"/>
      <c r="R39" s="816"/>
      <c r="S39" s="816"/>
      <c r="T39" s="816"/>
      <c r="U39" s="817"/>
      <c r="V39" s="81">
        <f t="shared" ref="V39:W39" si="7">(V37)-V38</f>
        <v>0</v>
      </c>
      <c r="W39" s="81">
        <f t="shared" si="7"/>
        <v>0</v>
      </c>
      <c r="X39" s="83">
        <f>(X37)-X38</f>
        <v>0</v>
      </c>
      <c r="Y39" s="84">
        <f>Y37-Y38</f>
        <v>0</v>
      </c>
      <c r="Z39" s="85">
        <f>Z37-Z38</f>
        <v>0</v>
      </c>
      <c r="AA39" s="86">
        <f>AA37-AA38</f>
        <v>0</v>
      </c>
      <c r="AB39" s="226">
        <f t="shared" ref="AB39:AE39" si="8">AB37-AB38</f>
        <v>0</v>
      </c>
      <c r="AC39" s="227">
        <f t="shared" si="8"/>
        <v>0</v>
      </c>
      <c r="AD39" s="227">
        <f t="shared" si="8"/>
        <v>0</v>
      </c>
      <c r="AE39" s="228">
        <f t="shared" si="8"/>
        <v>0</v>
      </c>
      <c r="AG39" s="234"/>
    </row>
    <row r="40" spans="1:36" ht="17.149999999999999" customHeight="1" thickBot="1">
      <c r="A40" s="40"/>
      <c r="AI40" s="219"/>
    </row>
    <row r="41" spans="1:36" ht="17.149999999999999" customHeight="1">
      <c r="A41" s="767" t="s">
        <v>145</v>
      </c>
      <c r="B41" s="768"/>
      <c r="C41" s="36">
        <v>30</v>
      </c>
      <c r="D41" s="36">
        <v>28</v>
      </c>
      <c r="E41" s="229" t="s">
        <v>146</v>
      </c>
      <c r="AI41" s="219"/>
    </row>
    <row r="42" spans="1:36" ht="17.149999999999999" customHeight="1">
      <c r="A42" s="786" t="s">
        <v>147</v>
      </c>
      <c r="B42" s="787"/>
      <c r="C42" s="258">
        <v>0</v>
      </c>
      <c r="D42" s="258">
        <v>0</v>
      </c>
      <c r="E42" s="219" t="s">
        <v>146</v>
      </c>
      <c r="AI42" s="219"/>
    </row>
    <row r="43" spans="1:36" ht="17.149999999999999" customHeight="1" thickBot="1">
      <c r="A43" s="788" t="s">
        <v>148</v>
      </c>
      <c r="B43" s="789"/>
      <c r="C43" s="230">
        <f>+C41-C42</f>
        <v>30</v>
      </c>
      <c r="D43" s="230">
        <f>+D41-D42</f>
        <v>28</v>
      </c>
      <c r="E43" s="231" t="s">
        <v>146</v>
      </c>
      <c r="AI43" s="219"/>
    </row>
    <row r="44" spans="1:36" ht="17.149999999999999" customHeight="1">
      <c r="A44" s="41"/>
      <c r="AI44" s="219"/>
    </row>
    <row r="45" spans="1:36" ht="17.149999999999999" customHeight="1">
      <c r="A45" s="42" t="s">
        <v>149</v>
      </c>
      <c r="AI45" s="219"/>
    </row>
    <row r="46" spans="1:36" ht="17.149999999999999" customHeight="1">
      <c r="A46" s="232" t="s">
        <v>72</v>
      </c>
      <c r="B46" s="233" t="s">
        <v>86</v>
      </c>
      <c r="C46" s="233" t="s">
        <v>99</v>
      </c>
      <c r="D46" s="233" t="s">
        <v>84</v>
      </c>
      <c r="AG46" s="259"/>
      <c r="AH46" s="259"/>
      <c r="AI46" s="234"/>
    </row>
    <row r="47" spans="1:36" ht="17.149999999999999" customHeight="1">
      <c r="A47" s="232" t="s">
        <v>39</v>
      </c>
      <c r="B47" s="233">
        <f>(B38/$C$41)*$C$42</f>
        <v>0</v>
      </c>
      <c r="C47" s="233">
        <f>SUM(B37:B37)</f>
        <v>0</v>
      </c>
      <c r="D47" s="233">
        <f t="shared" ref="D47:D58" si="9">+C47-B47</f>
        <v>0</v>
      </c>
      <c r="S47" s="23"/>
      <c r="Z47" s="23"/>
      <c r="AA47" s="23"/>
      <c r="AB47" s="23"/>
      <c r="AC47" s="23"/>
      <c r="AD47" s="23"/>
      <c r="AE47" s="23"/>
      <c r="AI47" s="219"/>
    </row>
    <row r="48" spans="1:36" ht="17.149999999999999" customHeight="1">
      <c r="A48" s="232" t="s">
        <v>40</v>
      </c>
      <c r="B48" s="233">
        <f>(C38/$C$41)*$C$42</f>
        <v>0</v>
      </c>
      <c r="C48" s="233">
        <f>SUM(C37:C37)</f>
        <v>0</v>
      </c>
      <c r="D48" s="233">
        <f t="shared" si="9"/>
        <v>0</v>
      </c>
      <c r="N48" s="9"/>
      <c r="O48" s="9"/>
      <c r="P48" s="9"/>
      <c r="Q48" s="9"/>
      <c r="R48" s="9"/>
      <c r="S48" s="790"/>
      <c r="T48" s="790"/>
      <c r="U48" s="790"/>
      <c r="V48" s="790"/>
      <c r="W48" s="790"/>
      <c r="X48" s="790"/>
      <c r="Y48" s="790"/>
      <c r="Z48" s="790"/>
      <c r="AA48" s="790"/>
      <c r="AB48" s="790"/>
      <c r="AC48" s="790"/>
      <c r="AD48" s="790"/>
      <c r="AE48" s="790"/>
      <c r="AF48" s="235"/>
      <c r="AG48" s="235"/>
      <c r="AH48" s="235"/>
      <c r="AI48" s="236"/>
      <c r="AJ48" s="235"/>
    </row>
    <row r="49" spans="1:49" ht="17.149999999999999" customHeight="1">
      <c r="A49" s="232" t="s">
        <v>150</v>
      </c>
      <c r="B49" s="233">
        <f>+(D38/$C$41)*$C$42</f>
        <v>0</v>
      </c>
      <c r="C49" s="233">
        <f>SUM(D37:G37)</f>
        <v>0</v>
      </c>
      <c r="D49" s="233">
        <f t="shared" si="9"/>
        <v>0</v>
      </c>
      <c r="AI49" s="219"/>
    </row>
    <row r="50" spans="1:49" ht="17.149999999999999" customHeight="1">
      <c r="A50" s="232" t="s">
        <v>87</v>
      </c>
      <c r="B50" s="233">
        <f>+(H38/$C$41)*$C$42</f>
        <v>0</v>
      </c>
      <c r="C50" s="233">
        <f>SUM(H37)</f>
        <v>0</v>
      </c>
      <c r="D50" s="233">
        <f t="shared" si="9"/>
        <v>0</v>
      </c>
      <c r="AI50" s="219"/>
    </row>
    <row r="51" spans="1:49" ht="17.149999999999999" customHeight="1">
      <c r="A51" s="250" t="s">
        <v>88</v>
      </c>
      <c r="B51" s="251">
        <f>+(I38/$C$41)*$C$42</f>
        <v>0</v>
      </c>
      <c r="C51" s="251">
        <f>+I37</f>
        <v>0</v>
      </c>
      <c r="D51" s="251">
        <f t="shared" si="9"/>
        <v>0</v>
      </c>
      <c r="AI51" s="219"/>
    </row>
    <row r="52" spans="1:49" ht="17.149999999999999" customHeight="1">
      <c r="A52" s="232" t="s">
        <v>43</v>
      </c>
      <c r="B52" s="233">
        <f>+(X38/$C$41)*$C$42</f>
        <v>0</v>
      </c>
      <c r="C52" s="233">
        <f>+X37</f>
        <v>0</v>
      </c>
      <c r="D52" s="233">
        <f t="shared" si="9"/>
        <v>0</v>
      </c>
      <c r="T52" s="9"/>
      <c r="U52" s="9"/>
      <c r="V52" s="9"/>
      <c r="W52" s="9"/>
      <c r="X52" s="9"/>
      <c r="AI52" s="219"/>
    </row>
    <row r="53" spans="1:49" ht="17.149999999999999" customHeight="1">
      <c r="A53" s="87" t="s">
        <v>151</v>
      </c>
      <c r="B53" s="237">
        <f>SUM(B47:B52)</f>
        <v>0</v>
      </c>
      <c r="C53" s="237">
        <f>SUM(C47:C52)</f>
        <v>0</v>
      </c>
      <c r="D53" s="237">
        <f t="shared" si="9"/>
        <v>0</v>
      </c>
      <c r="T53" s="9"/>
      <c r="U53" s="9"/>
      <c r="V53" s="9"/>
      <c r="W53" s="9"/>
      <c r="X53" s="9"/>
      <c r="AI53" s="219"/>
    </row>
    <row r="54" spans="1:49" ht="17.149999999999999" customHeight="1">
      <c r="A54" s="232" t="s">
        <v>91</v>
      </c>
      <c r="B54" s="233">
        <f>+(J38/$C$41)*$C$42</f>
        <v>0</v>
      </c>
      <c r="C54" s="233">
        <f>SUM(J37:U37)</f>
        <v>0</v>
      </c>
      <c r="D54" s="233">
        <f t="shared" si="9"/>
        <v>0</v>
      </c>
      <c r="T54" s="9"/>
      <c r="U54" s="9"/>
      <c r="V54" s="9"/>
      <c r="W54" s="9"/>
      <c r="X54" s="9"/>
      <c r="AI54" s="219"/>
    </row>
    <row r="55" spans="1:49" ht="17.149999999999999" customHeight="1">
      <c r="A55" s="232" t="s">
        <v>92</v>
      </c>
      <c r="B55" s="233">
        <f>+(V38/$C$41)*$C$42</f>
        <v>0</v>
      </c>
      <c r="C55" s="233">
        <f>+V37</f>
        <v>0</v>
      </c>
      <c r="D55" s="233">
        <f t="shared" si="9"/>
        <v>0</v>
      </c>
      <c r="T55" s="9"/>
      <c r="U55" s="9"/>
      <c r="V55" s="9"/>
      <c r="W55" s="9"/>
      <c r="X55" s="9"/>
      <c r="AI55" s="219"/>
    </row>
    <row r="56" spans="1:49" ht="17.149999999999999" customHeight="1">
      <c r="A56" s="232" t="s">
        <v>93</v>
      </c>
      <c r="B56" s="233">
        <f>+(W38/$C$41)*$C$42</f>
        <v>0</v>
      </c>
      <c r="C56" s="233">
        <f>+W37</f>
        <v>0</v>
      </c>
      <c r="D56" s="233">
        <f t="shared" si="9"/>
        <v>0</v>
      </c>
      <c r="AI56" s="219"/>
    </row>
    <row r="57" spans="1:49" ht="17.149999999999999" customHeight="1">
      <c r="A57" s="87" t="s">
        <v>152</v>
      </c>
      <c r="B57" s="237">
        <f>SUM(B54:B56)</f>
        <v>0</v>
      </c>
      <c r="C57" s="237">
        <f>SUM(C54:C56)</f>
        <v>0</v>
      </c>
      <c r="D57" s="237">
        <f t="shared" si="9"/>
        <v>0</v>
      </c>
      <c r="AI57" s="219"/>
    </row>
    <row r="58" spans="1:49" ht="17.149999999999999" customHeight="1">
      <c r="A58" s="87" t="s">
        <v>94</v>
      </c>
      <c r="B58" s="237">
        <f>SUM(B53,B57)</f>
        <v>0</v>
      </c>
      <c r="C58" s="237">
        <f>SUM(C53,C57)</f>
        <v>0</v>
      </c>
      <c r="D58" s="237">
        <f t="shared" si="9"/>
        <v>0</v>
      </c>
      <c r="AI58" s="219"/>
    </row>
    <row r="59" spans="1:49" ht="17.149999999999999" customHeight="1">
      <c r="A59" s="40"/>
      <c r="AI59" s="219"/>
    </row>
    <row r="60" spans="1:49" ht="17.149999999999999" customHeight="1">
      <c r="A60" s="42" t="s">
        <v>153</v>
      </c>
      <c r="AI60" s="219"/>
    </row>
    <row r="61" spans="1:49" ht="17.149999999999999" customHeight="1">
      <c r="A61" s="232" t="s">
        <v>154</v>
      </c>
      <c r="B61" s="233" t="s">
        <v>86</v>
      </c>
      <c r="C61" s="233" t="s">
        <v>99</v>
      </c>
      <c r="D61" s="233" t="s">
        <v>84</v>
      </c>
      <c r="AI61" s="219"/>
    </row>
    <row r="62" spans="1:49" ht="17.149999999999999" customHeight="1">
      <c r="A62" s="232" t="s">
        <v>51</v>
      </c>
      <c r="B62" s="233">
        <f>SUM(B49,B50,B47,B48)</f>
        <v>0</v>
      </c>
      <c r="C62" s="233">
        <f>SUM(C49,C50,C47,C48)</f>
        <v>0</v>
      </c>
      <c r="D62" s="233">
        <f t="shared" ref="D62:D66" si="10">+C62-B62</f>
        <v>0</v>
      </c>
      <c r="AI62" s="219"/>
    </row>
    <row r="63" spans="1:49" ht="17.149999999999999" customHeight="1">
      <c r="A63" s="232" t="s">
        <v>50</v>
      </c>
      <c r="B63" s="233">
        <f>SUM(B55,B56)</f>
        <v>0</v>
      </c>
      <c r="C63" s="233">
        <f>SUM(C55,C56)</f>
        <v>0</v>
      </c>
      <c r="D63" s="233">
        <f t="shared" si="10"/>
        <v>0</v>
      </c>
      <c r="AI63" s="219"/>
    </row>
    <row r="64" spans="1:49" ht="17.149999999999999" customHeight="1">
      <c r="A64" s="232" t="s">
        <v>120</v>
      </c>
      <c r="B64" s="233">
        <f>B54</f>
        <v>0</v>
      </c>
      <c r="C64" s="233">
        <f>C54</f>
        <v>0</v>
      </c>
      <c r="D64" s="233">
        <f t="shared" si="10"/>
        <v>0</v>
      </c>
      <c r="AI64" s="219"/>
      <c r="AU64" s="30"/>
      <c r="AV64" s="238"/>
      <c r="AW64" s="239"/>
    </row>
    <row r="65" spans="1:49" ht="17.149999999999999" customHeight="1">
      <c r="A65" s="232" t="s">
        <v>55</v>
      </c>
      <c r="B65" s="233">
        <f>SUM(B52)</f>
        <v>0</v>
      </c>
      <c r="C65" s="233">
        <f>SUM(C52)</f>
        <v>0</v>
      </c>
      <c r="D65" s="233">
        <f t="shared" si="10"/>
        <v>0</v>
      </c>
      <c r="AI65" s="219"/>
      <c r="AU65" s="31"/>
      <c r="AV65" s="238"/>
      <c r="AW65" s="239"/>
    </row>
    <row r="66" spans="1:49" ht="17.149999999999999" customHeight="1">
      <c r="A66" s="87" t="s">
        <v>62</v>
      </c>
      <c r="B66" s="237">
        <f>SUM(B62:B65)</f>
        <v>0</v>
      </c>
      <c r="C66" s="237">
        <f>SUM(C62:C65)</f>
        <v>0</v>
      </c>
      <c r="D66" s="237">
        <f t="shared" si="10"/>
        <v>0</v>
      </c>
      <c r="AI66" s="219"/>
      <c r="AU66" s="240"/>
      <c r="AV66" s="238"/>
      <c r="AW66" s="239"/>
    </row>
    <row r="67" spans="1:49" ht="17.149999999999999" customHeight="1">
      <c r="A67" s="40"/>
      <c r="AI67" s="219"/>
      <c r="AU67" s="241"/>
      <c r="AV67" s="241"/>
      <c r="AW67" s="239"/>
    </row>
    <row r="68" spans="1:49" ht="17.149999999999999" customHeight="1">
      <c r="A68" s="42" t="s">
        <v>155</v>
      </c>
      <c r="AI68" s="219"/>
      <c r="AU68" s="242"/>
      <c r="AV68" s="238"/>
      <c r="AW68" s="239"/>
    </row>
    <row r="69" spans="1:49" ht="15" customHeight="1">
      <c r="A69" s="232" t="s">
        <v>154</v>
      </c>
      <c r="B69" s="233" t="s">
        <v>86</v>
      </c>
      <c r="C69" s="233" t="s">
        <v>99</v>
      </c>
      <c r="D69" s="233" t="s">
        <v>84</v>
      </c>
      <c r="E69" s="243"/>
      <c r="AI69" s="219"/>
    </row>
    <row r="70" spans="1:49" ht="15" customHeight="1">
      <c r="A70" s="232" t="s">
        <v>136</v>
      </c>
      <c r="B70" s="233">
        <f>+(AB38/$D$41)*$D$42</f>
        <v>0</v>
      </c>
      <c r="C70" s="233">
        <f>+AB37</f>
        <v>0</v>
      </c>
      <c r="D70" s="233">
        <f>+C70-B70</f>
        <v>0</v>
      </c>
      <c r="E70" s="243"/>
      <c r="AI70" s="219"/>
    </row>
    <row r="71" spans="1:49" ht="15" customHeight="1">
      <c r="A71" s="232" t="s">
        <v>137</v>
      </c>
      <c r="B71" s="233">
        <f>+(AC38/$D$41)*$D$42</f>
        <v>0</v>
      </c>
      <c r="C71" s="233">
        <f>+AC37</f>
        <v>0</v>
      </c>
      <c r="D71" s="233">
        <f>+C71-B71</f>
        <v>0</v>
      </c>
      <c r="E71" s="243"/>
      <c r="AI71" s="219"/>
    </row>
    <row r="72" spans="1:49" ht="15" customHeight="1">
      <c r="A72" s="232" t="s">
        <v>53</v>
      </c>
      <c r="B72" s="233">
        <f>+(AD38/$D$41)*$D$42</f>
        <v>0</v>
      </c>
      <c r="C72" s="233">
        <f>+AD37</f>
        <v>0</v>
      </c>
      <c r="D72" s="233">
        <f>+C72-B72</f>
        <v>0</v>
      </c>
      <c r="E72" s="243"/>
      <c r="AI72" s="219"/>
    </row>
    <row r="73" spans="1:49" ht="15" customHeight="1">
      <c r="A73" s="87" t="s">
        <v>62</v>
      </c>
      <c r="B73" s="237">
        <f>SUM(B70:B72)</f>
        <v>0</v>
      </c>
      <c r="C73" s="237">
        <f>SUM(C70:C72)</f>
        <v>0</v>
      </c>
      <c r="D73" s="237">
        <f>+C73-B73</f>
        <v>0</v>
      </c>
      <c r="E73" s="243"/>
      <c r="AA73" s="29"/>
      <c r="AB73" s="29"/>
      <c r="AC73" s="29"/>
      <c r="AD73" s="29"/>
      <c r="AE73" s="29"/>
      <c r="AG73" s="244"/>
      <c r="AH73" s="244"/>
      <c r="AI73" s="219"/>
    </row>
    <row r="74" spans="1:49" ht="13">
      <c r="A74" s="255"/>
      <c r="B74" s="256"/>
      <c r="C74" s="256"/>
      <c r="D74" s="256"/>
      <c r="E74" s="243"/>
      <c r="I74" s="9"/>
      <c r="J74" s="9"/>
      <c r="S74" s="9"/>
      <c r="T74" s="9"/>
      <c r="U74" s="9"/>
      <c r="V74" s="9"/>
      <c r="W74" s="9"/>
      <c r="X74" s="9"/>
      <c r="Y74" s="9"/>
      <c r="Z74" s="9"/>
      <c r="AA74" s="260"/>
      <c r="AB74" s="260"/>
      <c r="AC74" s="260"/>
      <c r="AD74" s="260"/>
      <c r="AE74" s="260"/>
      <c r="AF74" s="9"/>
      <c r="AG74" s="244"/>
      <c r="AH74" s="244"/>
      <c r="AI74" s="219"/>
    </row>
    <row r="75" spans="1:49" ht="13" thickBot="1">
      <c r="A75" s="245"/>
      <c r="B75" s="246"/>
      <c r="C75" s="246"/>
      <c r="D75" s="246"/>
      <c r="E75" s="246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247"/>
      <c r="AB75" s="247"/>
      <c r="AC75" s="247"/>
      <c r="AD75" s="247"/>
      <c r="AE75" s="247"/>
      <c r="AF75" s="55"/>
      <c r="AG75" s="248"/>
      <c r="AH75" s="248"/>
      <c r="AI75" s="231"/>
    </row>
    <row r="76" spans="1:49" s="9" customFormat="1" ht="13">
      <c r="A76" s="249"/>
      <c r="B76" s="243"/>
      <c r="C76" s="243"/>
      <c r="D76" s="243"/>
      <c r="E76" s="243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29"/>
      <c r="AB76" s="29"/>
      <c r="AC76" s="29"/>
      <c r="AD76" s="29"/>
      <c r="AE76" s="29"/>
      <c r="AF76" s="7"/>
    </row>
    <row r="77" spans="1:49">
      <c r="AA77" s="29"/>
      <c r="AB77" s="29"/>
      <c r="AC77" s="29"/>
      <c r="AD77" s="29"/>
      <c r="AE77" s="29"/>
      <c r="AG77" s="244"/>
      <c r="AH77" s="244"/>
    </row>
    <row r="78" spans="1:49">
      <c r="AA78" s="29"/>
      <c r="AB78" s="29"/>
      <c r="AC78" s="29"/>
      <c r="AD78" s="29"/>
      <c r="AE78" s="29"/>
      <c r="AG78" s="244"/>
      <c r="AH78" s="244"/>
    </row>
    <row r="79" spans="1:49">
      <c r="AA79" s="29"/>
      <c r="AB79" s="29"/>
      <c r="AC79" s="29"/>
      <c r="AD79" s="29"/>
      <c r="AE79" s="29"/>
      <c r="AG79" s="244"/>
      <c r="AH79" s="244"/>
    </row>
    <row r="80" spans="1:49">
      <c r="AG80" s="244"/>
      <c r="AH80" s="244"/>
    </row>
    <row r="81" spans="33:34">
      <c r="AG81" s="244"/>
      <c r="AH81" s="244"/>
    </row>
    <row r="82" spans="33:34">
      <c r="AG82" s="244"/>
      <c r="AH82" s="244"/>
    </row>
    <row r="83" spans="33:34">
      <c r="AG83" s="244"/>
      <c r="AH83" s="244"/>
    </row>
    <row r="84" spans="33:34">
      <c r="AG84" s="244"/>
      <c r="AH84" s="244"/>
    </row>
  </sheetData>
  <mergeCells count="32">
    <mergeCell ref="A41:B41"/>
    <mergeCell ref="A42:B42"/>
    <mergeCell ref="A43:B43"/>
    <mergeCell ref="S48:AE48"/>
    <mergeCell ref="V5:W5"/>
    <mergeCell ref="D6:H6"/>
    <mergeCell ref="D38:G38"/>
    <mergeCell ref="J38:U38"/>
    <mergeCell ref="D39:G39"/>
    <mergeCell ref="J39:U39"/>
    <mergeCell ref="J5:K5"/>
    <mergeCell ref="L5:M5"/>
    <mergeCell ref="N5:O5"/>
    <mergeCell ref="P5:Q5"/>
    <mergeCell ref="R5:S5"/>
    <mergeCell ref="T5:U5"/>
    <mergeCell ref="A1:AI1"/>
    <mergeCell ref="A3:A6"/>
    <mergeCell ref="D3:H3"/>
    <mergeCell ref="J3:W3"/>
    <mergeCell ref="X3:X4"/>
    <mergeCell ref="Y3:Y6"/>
    <mergeCell ref="Z3:Z6"/>
    <mergeCell ref="AA3:AA6"/>
    <mergeCell ref="AB3:AB6"/>
    <mergeCell ref="AC3:AC6"/>
    <mergeCell ref="AD3:AD6"/>
    <mergeCell ref="AE3:AE6"/>
    <mergeCell ref="J4:M4"/>
    <mergeCell ref="N4:S4"/>
    <mergeCell ref="T4:U4"/>
    <mergeCell ref="D5:H5"/>
  </mergeCells>
  <printOptions horizontalCentered="1"/>
  <pageMargins left="0" right="0" top="0" bottom="0" header="0" footer="0"/>
  <pageSetup paperSize="9" scale="42" orientation="landscape" r:id="rId1"/>
  <headerFooter alignWithMargins="0"/>
  <ignoredErrors>
    <ignoredError sqref="AA7 Y7:Z36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Report</vt:lpstr>
      <vt:lpstr>2023 06 05</vt:lpstr>
      <vt:lpstr>Jan</vt:lpstr>
      <vt:lpstr>Feb</vt:lpstr>
      <vt:lpstr>Jul</vt:lpstr>
      <vt:lpstr>Aug</vt:lpstr>
      <vt:lpstr>Sep</vt:lpstr>
      <vt:lpstr>Oct</vt:lpstr>
      <vt:lpstr>Nov</vt:lpstr>
      <vt:lpstr>Dec</vt:lpstr>
      <vt:lpstr>Mar</vt:lpstr>
      <vt:lpstr>Apr</vt:lpstr>
      <vt:lpstr>May</vt:lpstr>
      <vt:lpstr>Jun</vt:lpstr>
      <vt:lpstr>Yearly</vt:lpstr>
      <vt:lpstr>'2023 06 05'!Print_Area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Report!Print_Area</vt:lpstr>
      <vt:lpstr>Sep!Print_Area</vt:lpstr>
      <vt:lpstr>Yearly!Print_Area</vt:lpstr>
    </vt:vector>
  </TitlesOfParts>
  <Manager/>
  <Company>KJA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Raditya.Wahono@kideco.co.id</dc:creator>
  <cp:keywords/>
  <dc:description/>
  <cp:lastModifiedBy>Arti Kusuma Hidayat</cp:lastModifiedBy>
  <cp:revision/>
  <cp:lastPrinted>2023-03-03T00:47:12Z</cp:lastPrinted>
  <dcterms:created xsi:type="dcterms:W3CDTF">2008-11-19T00:10:44Z</dcterms:created>
  <dcterms:modified xsi:type="dcterms:W3CDTF">2023-08-19T01:18:09Z</dcterms:modified>
  <cp:category/>
  <cp:contentStatus/>
</cp:coreProperties>
</file>