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Damayanti\OneDrive - indikaenergy\Production\Monthly\"/>
    </mc:Choice>
  </mc:AlternateContent>
  <xr:revisionPtr revIDLastSave="0" documentId="13_ncr:1_{C469AF5F-F4E7-4E6A-8456-1157363A5086}" xr6:coauthVersionLast="47" xr6:coauthVersionMax="47" xr10:uidLastSave="{00000000-0000-0000-0000-000000000000}"/>
  <bookViews>
    <workbookView xWindow="-120" yWindow="-120" windowWidth="21840" windowHeight="13140" tabRatio="759" activeTab="6" xr2:uid="{00000000-000D-0000-FFFF-FFFF00000000}"/>
  </bookViews>
  <sheets>
    <sheet name="Cover" sheetId="14" r:id="rId1"/>
    <sheet name="Summary" sheetId="13" r:id="rId2"/>
    <sheet name="Pama" sheetId="1" r:id="rId3"/>
    <sheet name="Sims" sheetId="3" r:id="rId4"/>
    <sheet name="Petrosea" sheetId="5" r:id="rId5"/>
    <sheet name="Bima" sheetId="17" r:id="rId6"/>
    <sheet name="DUM" sheetId="19" r:id="rId7"/>
    <sheet name="KMI" sheetId="15" state="hidden" r:id="rId8"/>
    <sheet name="Buma" sheetId="9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\b" localSheetId="0">[1]계획서!#REF!</definedName>
    <definedName name="\b" localSheetId="6">[1]계획서!#REF!</definedName>
    <definedName name="\b" localSheetId="7">[1]계획서!#REF!</definedName>
    <definedName name="\b">[1]계획서!#REF!</definedName>
    <definedName name="\d" localSheetId="0">[1]계획서!#REF!</definedName>
    <definedName name="\d" localSheetId="6">[1]계획서!#REF!</definedName>
    <definedName name="\d" localSheetId="7">[1]계획서!#REF!</definedName>
    <definedName name="\d">[1]계획서!#REF!</definedName>
    <definedName name="\e" localSheetId="0">[1]계획서!#REF!</definedName>
    <definedName name="\e" localSheetId="6">[1]계획서!#REF!</definedName>
    <definedName name="\e" localSheetId="7">[1]계획서!#REF!</definedName>
    <definedName name="\e">[1]계획서!#REF!</definedName>
    <definedName name="\f" localSheetId="0">'[1]98년차.XLS'!#REF!</definedName>
    <definedName name="\f" localSheetId="6">'[1]98년차.XLS'!#REF!</definedName>
    <definedName name="\f" localSheetId="7">'[1]98년차.XLS'!#REF!</definedName>
    <definedName name="\f">'[1]98년차.XLS'!#REF!</definedName>
    <definedName name="\g" localSheetId="0">'[1]98년차.XLS'!#REF!</definedName>
    <definedName name="\g" localSheetId="6">'[1]98년차.XLS'!#REF!</definedName>
    <definedName name="\g" localSheetId="7">'[1]98년차.XLS'!#REF!</definedName>
    <definedName name="\g">'[1]98년차.XLS'!#REF!</definedName>
    <definedName name="\h" localSheetId="0">'[1]98년차.XLS'!#REF!</definedName>
    <definedName name="\h" localSheetId="6">'[1]98년차.XLS'!#REF!</definedName>
    <definedName name="\h" localSheetId="7">'[1]98년차.XLS'!#REF!</definedName>
    <definedName name="\h">'[1]98년차.XLS'!#REF!</definedName>
    <definedName name="\i" localSheetId="0">'[1]98년차.XLS'!#REF!</definedName>
    <definedName name="\i" localSheetId="6">'[1]98년차.XLS'!#REF!</definedName>
    <definedName name="\i" localSheetId="7">'[1]98년차.XLS'!#REF!</definedName>
    <definedName name="\i">'[1]98년차.XLS'!#REF!</definedName>
    <definedName name="\j">#N/A</definedName>
    <definedName name="\k">#N/A</definedName>
    <definedName name="\l">#N/A</definedName>
    <definedName name="\n" localSheetId="0">'[1]98인원계획'!#REF!</definedName>
    <definedName name="\n" localSheetId="6">'[1]98인원계획'!#REF!</definedName>
    <definedName name="\n" localSheetId="7">'[1]98인원계획'!#REF!</definedName>
    <definedName name="\n">'[1]98인원계획'!#REF!</definedName>
    <definedName name="\p">#N/A</definedName>
    <definedName name="\w" localSheetId="0">'[1]98인원계획'!#REF!</definedName>
    <definedName name="\w" localSheetId="6">'[1]98인원계획'!#REF!</definedName>
    <definedName name="\w" localSheetId="7">'[1]98인원계획'!#REF!</definedName>
    <definedName name="\w">'[1]98인원계획'!#REF!</definedName>
    <definedName name="\x" localSheetId="0">'[1]98인건비'!#REF!</definedName>
    <definedName name="\x" localSheetId="6">'[1]98인건비'!#REF!</definedName>
    <definedName name="\x" localSheetId="7">'[1]98인건비'!#REF!</definedName>
    <definedName name="\x">'[1]98인건비'!#REF!</definedName>
    <definedName name="__APR99" localSheetId="0">#REF!</definedName>
    <definedName name="__APR99" localSheetId="6">#REF!</definedName>
    <definedName name="__APR99" localSheetId="7">#REF!</definedName>
    <definedName name="__APR99">#REF!</definedName>
    <definedName name="__b1" localSheetId="0">#REF!</definedName>
    <definedName name="__b1" localSheetId="6">#REF!</definedName>
    <definedName name="__b1" localSheetId="7">#REF!</definedName>
    <definedName name="__b1">#REF!</definedName>
    <definedName name="__b2" localSheetId="0">#REF!</definedName>
    <definedName name="__b2" localSheetId="6">#REF!</definedName>
    <definedName name="__b2" localSheetId="7">#REF!</definedName>
    <definedName name="__b2">#REF!</definedName>
    <definedName name="__BS01" localSheetId="6">#REF!</definedName>
    <definedName name="__BS01" localSheetId="7">#REF!</definedName>
    <definedName name="__BS01">#REF!</definedName>
    <definedName name="__DEC98" localSheetId="6">#REF!</definedName>
    <definedName name="__DEC98" localSheetId="7">#REF!</definedName>
    <definedName name="__DEC98">#REF!</definedName>
    <definedName name="__dep1" localSheetId="6">#REF!</definedName>
    <definedName name="__dep1" localSheetId="7">#REF!</definedName>
    <definedName name="__dep1">#REF!</definedName>
    <definedName name="__DEP11" localSheetId="6">#REF!</definedName>
    <definedName name="__DEP11" localSheetId="7">#REF!</definedName>
    <definedName name="__DEP11">#REF!</definedName>
    <definedName name="__DEP2" localSheetId="6">#REF!</definedName>
    <definedName name="__DEP2" localSheetId="7">#REF!</definedName>
    <definedName name="__DEP2">#REF!</definedName>
    <definedName name="__DEP22" localSheetId="6">#REF!</definedName>
    <definedName name="__DEP22" localSheetId="7">#REF!</definedName>
    <definedName name="__DEP22">#REF!</definedName>
    <definedName name="__FEB99" localSheetId="6">#REF!</definedName>
    <definedName name="__FEB99" localSheetId="7">#REF!</definedName>
    <definedName name="__FEB99">#REF!</definedName>
    <definedName name="__JAN99" localSheetId="6">#REF!</definedName>
    <definedName name="__JAN99" localSheetId="7">#REF!</definedName>
    <definedName name="__JAN99">#REF!</definedName>
    <definedName name="__MAR99" localSheetId="6">#REF!</definedName>
    <definedName name="__MAR99" localSheetId="7">#REF!</definedName>
    <definedName name="__MAR99">#REF!</definedName>
    <definedName name="__MAY99" localSheetId="6">#REF!</definedName>
    <definedName name="__MAY99" localSheetId="7">#REF!</definedName>
    <definedName name="__MAY99">#REF!</definedName>
    <definedName name="__MGM1" localSheetId="6">#REF!</definedName>
    <definedName name="__MGM1" localSheetId="7">#REF!</definedName>
    <definedName name="__MGM1">#REF!</definedName>
    <definedName name="__MGM2" localSheetId="6">#REF!</definedName>
    <definedName name="__MGM2" localSheetId="7">#REF!</definedName>
    <definedName name="__MGM2">#REF!</definedName>
    <definedName name="_1_2_MASTER_SUMMARY_YEARLY" localSheetId="5">#REF!</definedName>
    <definedName name="_1_2_MASTER_SUMMARY_YEARLY" localSheetId="6">#REF!</definedName>
    <definedName name="_1_2_MASTER_SUMMARY_YEARLY" localSheetId="7">#REF!</definedName>
    <definedName name="_1_2_MASTER_SUMMARY_YEARLY" localSheetId="1">#REF!</definedName>
    <definedName name="_1_2_MASTER_SUMMARY_YEARLY">#REF!</definedName>
    <definedName name="_2_2_MASTER_SUMMARY_YEARLY" localSheetId="6">#REF!</definedName>
    <definedName name="_2_2_MASTER_SUMMARY_YEARLY" localSheetId="7">#REF!</definedName>
    <definedName name="_2_2_MASTER_SUMMARY_YEARLY">#REF!</definedName>
    <definedName name="_5" localSheetId="0">'[1]98인원계획'!#REF!</definedName>
    <definedName name="_5" localSheetId="6">'[1]98인원계획'!#REF!</definedName>
    <definedName name="_5" localSheetId="7">'[1]98인원계획'!#REF!</definedName>
    <definedName name="_5" localSheetId="1">'[1]98인원계획'!#REF!</definedName>
    <definedName name="_5">'[1]98인원계획'!#REF!</definedName>
    <definedName name="_6" localSheetId="0">'[1]98인원계획'!#REF!</definedName>
    <definedName name="_6" localSheetId="6">'[1]98인원계획'!#REF!</definedName>
    <definedName name="_6" localSheetId="7">'[1]98인원계획'!#REF!</definedName>
    <definedName name="_6" localSheetId="1">'[1]98인원계획'!#REF!</definedName>
    <definedName name="_6">'[1]98인원계획'!#REF!</definedName>
    <definedName name="_APR99" localSheetId="5">#REF!</definedName>
    <definedName name="_APR99" localSheetId="0">#REF!</definedName>
    <definedName name="_APR99" localSheetId="6">#REF!</definedName>
    <definedName name="_APR99" localSheetId="7">#REF!</definedName>
    <definedName name="_APR99" localSheetId="1">#REF!</definedName>
    <definedName name="_APR99">#REF!</definedName>
    <definedName name="_b1" localSheetId="5">#REF!</definedName>
    <definedName name="_b1" localSheetId="6">#REF!</definedName>
    <definedName name="_b1" localSheetId="7">#REF!</definedName>
    <definedName name="_b1">#REF!</definedName>
    <definedName name="_b2" localSheetId="5">#REF!</definedName>
    <definedName name="_b2" localSheetId="6">#REF!</definedName>
    <definedName name="_b2" localSheetId="7">#REF!</definedName>
    <definedName name="_b2">#REF!</definedName>
    <definedName name="_BS01" localSheetId="5">#REF!</definedName>
    <definedName name="_BS01" localSheetId="6">#REF!</definedName>
    <definedName name="_BS01" localSheetId="7">#REF!</definedName>
    <definedName name="_BS01">#REF!</definedName>
    <definedName name="_DEC98" localSheetId="5">#REF!</definedName>
    <definedName name="_DEC98" localSheetId="6">#REF!</definedName>
    <definedName name="_DEC98" localSheetId="7">#REF!</definedName>
    <definedName name="_DEC98">#REF!</definedName>
    <definedName name="_dep1" localSheetId="5">#REF!</definedName>
    <definedName name="_dep1" localSheetId="6">#REF!</definedName>
    <definedName name="_dep1" localSheetId="7">#REF!</definedName>
    <definedName name="_dep1">#REF!</definedName>
    <definedName name="_DEP11" localSheetId="5">#REF!</definedName>
    <definedName name="_DEP11" localSheetId="6">#REF!</definedName>
    <definedName name="_DEP11" localSheetId="7">#REF!</definedName>
    <definedName name="_DEP11">#REF!</definedName>
    <definedName name="_DEP2" localSheetId="5">#REF!</definedName>
    <definedName name="_DEP2" localSheetId="6">#REF!</definedName>
    <definedName name="_DEP2" localSheetId="7">#REF!</definedName>
    <definedName name="_DEP2">#REF!</definedName>
    <definedName name="_DEP22" localSheetId="5">#REF!</definedName>
    <definedName name="_DEP22" localSheetId="6">#REF!</definedName>
    <definedName name="_DEP22" localSheetId="7">#REF!</definedName>
    <definedName name="_DEP22">#REF!</definedName>
    <definedName name="_FEB99" localSheetId="5">#REF!</definedName>
    <definedName name="_FEB99" localSheetId="6">#REF!</definedName>
    <definedName name="_FEB99" localSheetId="7">#REF!</definedName>
    <definedName name="_FEB99">#REF!</definedName>
    <definedName name="_Fill" localSheetId="5" hidden="1">[2]KAMPAR!$A$12:$A$51</definedName>
    <definedName name="_Fill" localSheetId="6" hidden="1">[2]KAMPAR!$A$12:$A$51</definedName>
    <definedName name="_Fill" localSheetId="7" hidden="1">[2]KAMPAR!$A$12:$A$51</definedName>
    <definedName name="_Fill" hidden="1">[2]KAMPAR!$A$12:$A$51</definedName>
    <definedName name="_xlnm._FilterDatabase" localSheetId="5" hidden="1">Bima!$A$132:$I$269</definedName>
    <definedName name="_xlnm._FilterDatabase" localSheetId="6" hidden="1">DUM!$A$47:$I$78</definedName>
    <definedName name="_xlnm._FilterDatabase" localSheetId="7" hidden="1">KMI!$A$43:$I$73</definedName>
    <definedName name="_xlnm._FilterDatabase" localSheetId="2" hidden="1">Pama!$A$902:$I$1225</definedName>
    <definedName name="_xlnm._FilterDatabase" localSheetId="3" hidden="1">Sims!$A$178:$I$263</definedName>
    <definedName name="_GO_TO_A_">#N/A</definedName>
    <definedName name="_HOME__END__D__">#N/A</definedName>
    <definedName name="_J">#N/A</definedName>
    <definedName name="_JAN99" localSheetId="5">#REF!</definedName>
    <definedName name="_JAN99" localSheetId="0">#REF!</definedName>
    <definedName name="_JAN99" localSheetId="6">#REF!</definedName>
    <definedName name="_JAN99" localSheetId="7">#REF!</definedName>
    <definedName name="_JAN99" localSheetId="1">#REF!</definedName>
    <definedName name="_JAN99">#REF!</definedName>
    <definedName name="_Key1" localSheetId="5" hidden="1">#REF!</definedName>
    <definedName name="_Key1" localSheetId="0" hidden="1">#REF!</definedName>
    <definedName name="_Key1" localSheetId="6" hidden="1">#REF!</definedName>
    <definedName name="_Key1" localSheetId="7" hidden="1">#REF!</definedName>
    <definedName name="_Key1" localSheetId="1" hidden="1">#REF!</definedName>
    <definedName name="_Key1" hidden="1">#REF!</definedName>
    <definedName name="_Key2" localSheetId="5" hidden="1">#REF!</definedName>
    <definedName name="_Key2" localSheetId="0" hidden="1">#REF!</definedName>
    <definedName name="_Key2" localSheetId="6" hidden="1">#REF!</definedName>
    <definedName name="_Key2" localSheetId="7" hidden="1">#REF!</definedName>
    <definedName name="_Key2" localSheetId="1" hidden="1">#REF!</definedName>
    <definedName name="_Key2" hidden="1">#REF!</definedName>
    <definedName name="_MAR99" localSheetId="5">#REF!</definedName>
    <definedName name="_MAR99" localSheetId="6">#REF!</definedName>
    <definedName name="_MAR99" localSheetId="7">#REF!</definedName>
    <definedName name="_MAR99">#REF!</definedName>
    <definedName name="_MAY99" localSheetId="5">#REF!</definedName>
    <definedName name="_MAY99" localSheetId="6">#REF!</definedName>
    <definedName name="_MAY99" localSheetId="7">#REF!</definedName>
    <definedName name="_MAY99">#REF!</definedName>
    <definedName name="_MGM1" localSheetId="5">#REF!</definedName>
    <definedName name="_MGM1" localSheetId="6">#REF!</definedName>
    <definedName name="_MGM1" localSheetId="7">#REF!</definedName>
    <definedName name="_MGM1">#REF!</definedName>
    <definedName name="_MGM2" localSheetId="5">#REF!</definedName>
    <definedName name="_MGM2" localSheetId="6">#REF!</definedName>
    <definedName name="_MGM2" localSheetId="7">#REF!</definedName>
    <definedName name="_MGM2">#REF!</definedName>
    <definedName name="_Order1" hidden="1">255</definedName>
    <definedName name="_Order2" hidden="1">255</definedName>
    <definedName name="_Sort" localSheetId="5" hidden="1">#REF!</definedName>
    <definedName name="_Sort" localSheetId="0" hidden="1">#REF!</definedName>
    <definedName name="_Sort" localSheetId="6" hidden="1">#REF!</definedName>
    <definedName name="_Sort" localSheetId="7" hidden="1">#REF!</definedName>
    <definedName name="_Sort" localSheetId="1" hidden="1">#REF!</definedName>
    <definedName name="_Sort" hidden="1">#REF!</definedName>
    <definedName name="A" localSheetId="5">'[3]Test Depre'!#REF!</definedName>
    <definedName name="A" localSheetId="0">'[3]Test Depre'!#REF!</definedName>
    <definedName name="A" localSheetId="6">'[3]Test Depre'!#REF!</definedName>
    <definedName name="A" localSheetId="7">'[3]Test Depre'!#REF!</definedName>
    <definedName name="A" localSheetId="1">'[3]Test Depre'!#REF!</definedName>
    <definedName name="A">'[3]Test Depre'!#REF!</definedName>
    <definedName name="AA" localSheetId="5">#REF!</definedName>
    <definedName name="AA" localSheetId="0">#REF!</definedName>
    <definedName name="AA" localSheetId="6">#REF!</definedName>
    <definedName name="AA" localSheetId="7">#REF!</definedName>
    <definedName name="AA" localSheetId="1">#REF!</definedName>
    <definedName name="AA">#REF!</definedName>
    <definedName name="aaaak" localSheetId="5">#REF!</definedName>
    <definedName name="aaaak" localSheetId="0">#REF!</definedName>
    <definedName name="aaaak" localSheetId="6">#REF!</definedName>
    <definedName name="aaaak" localSheetId="7">#REF!</definedName>
    <definedName name="aaaak" localSheetId="1">#REF!</definedName>
    <definedName name="aaaak">#REF!</definedName>
    <definedName name="account111111" localSheetId="5">#REF!</definedName>
    <definedName name="account111111" localSheetId="0">#REF!</definedName>
    <definedName name="account111111" localSheetId="6">#REF!</definedName>
    <definedName name="account111111" localSheetId="7">#REF!</definedName>
    <definedName name="account111111" localSheetId="1">#REF!</definedName>
    <definedName name="account111111">#REF!</definedName>
    <definedName name="ad" localSheetId="5">MCOST2</definedName>
    <definedName name="ad" localSheetId="8">MCOST2</definedName>
    <definedName name="ad" localSheetId="0">MCOST2</definedName>
    <definedName name="ad" localSheetId="6">[0]!MCOST2</definedName>
    <definedName name="ad" localSheetId="7">MCOST2</definedName>
    <definedName name="ad" localSheetId="4">MCOST2</definedName>
    <definedName name="ad" localSheetId="3">MCOST2</definedName>
    <definedName name="ad" localSheetId="1">MCOST2</definedName>
    <definedName name="ad">MCOST2</definedName>
    <definedName name="akdf" localSheetId="5">[4]Contract!$D$36</definedName>
    <definedName name="akdf" localSheetId="6">[4]Contract!$D$36</definedName>
    <definedName name="akdf" localSheetId="7">[4]Contract!$D$36</definedName>
    <definedName name="akdf">[4]Contract!$D$36</definedName>
    <definedName name="aksdjrme" localSheetId="5">[4]Contract!$E$176</definedName>
    <definedName name="aksdjrme" localSheetId="6">[4]Contract!$E$176</definedName>
    <definedName name="aksdjrme" localSheetId="7">[4]Contract!$E$176</definedName>
    <definedName name="aksdjrme">[4]Contract!$E$176</definedName>
    <definedName name="anuku" localSheetId="5">#REF!</definedName>
    <definedName name="anuku" localSheetId="0">#REF!</definedName>
    <definedName name="anuku" localSheetId="6">#REF!</definedName>
    <definedName name="anuku" localSheetId="7">#REF!</definedName>
    <definedName name="anuku" localSheetId="1">#REF!</definedName>
    <definedName name="anuku">#REF!</definedName>
    <definedName name="AP_2">#N/A</definedName>
    <definedName name="APR">#N/A</definedName>
    <definedName name="April" localSheetId="5">#REF!</definedName>
    <definedName name="April" localSheetId="0">#REF!</definedName>
    <definedName name="April" localSheetId="6">#REF!</definedName>
    <definedName name="April" localSheetId="7">#REF!</definedName>
    <definedName name="April" localSheetId="1">#REF!</definedName>
    <definedName name="April">#REF!</definedName>
    <definedName name="APsummary">#N/A</definedName>
    <definedName name="AS" localSheetId="0">'[1]98인건비'!#REF!</definedName>
    <definedName name="AS" localSheetId="6">'[1]98인건비'!#REF!</definedName>
    <definedName name="AS" localSheetId="7">'[1]98인건비'!#REF!</definedName>
    <definedName name="AS" localSheetId="1">'[1]98인건비'!#REF!</definedName>
    <definedName name="AS">'[1]98인건비'!#REF!</definedName>
    <definedName name="asdf" localSheetId="5">#REF!</definedName>
    <definedName name="asdf" localSheetId="0">#REF!</definedName>
    <definedName name="asdf" localSheetId="6">#REF!</definedName>
    <definedName name="asdf" localSheetId="7">#REF!</definedName>
    <definedName name="asdf" localSheetId="1">#REF!</definedName>
    <definedName name="asdf">#REF!</definedName>
    <definedName name="August" localSheetId="5">#REF!</definedName>
    <definedName name="August" localSheetId="0">#REF!</definedName>
    <definedName name="August" localSheetId="6">#REF!</definedName>
    <definedName name="August" localSheetId="7">#REF!</definedName>
    <definedName name="August" localSheetId="1">#REF!</definedName>
    <definedName name="August">#REF!</definedName>
    <definedName name="b">#N/A</definedName>
    <definedName name="BALANCE01" localSheetId="5">#REF!</definedName>
    <definedName name="BALANCE01" localSheetId="0">#REF!</definedName>
    <definedName name="BALANCE01" localSheetId="6">#REF!</definedName>
    <definedName name="BALANCE01" localSheetId="7">#REF!</definedName>
    <definedName name="BALANCE01" localSheetId="1">#REF!</definedName>
    <definedName name="BALANCE01">#REF!</definedName>
    <definedName name="BALANCE02" localSheetId="5">#REF!</definedName>
    <definedName name="BALANCE02" localSheetId="0">#REF!</definedName>
    <definedName name="BALANCE02" localSheetId="6">#REF!</definedName>
    <definedName name="BALANCE02" localSheetId="7">#REF!</definedName>
    <definedName name="BALANCE02" localSheetId="1">#REF!</definedName>
    <definedName name="BALANCE02">#REF!</definedName>
    <definedName name="BALANCE03" localSheetId="5">#REF!</definedName>
    <definedName name="BALANCE03" localSheetId="0">#REF!</definedName>
    <definedName name="BALANCE03" localSheetId="6">#REF!</definedName>
    <definedName name="BALANCE03" localSheetId="7">#REF!</definedName>
    <definedName name="BALANCE03" localSheetId="1">#REF!</definedName>
    <definedName name="BALANCE03">#REF!</definedName>
    <definedName name="BALANCE04" localSheetId="5">#REF!</definedName>
    <definedName name="BALANCE04" localSheetId="0">#REF!</definedName>
    <definedName name="BALANCE04" localSheetId="6">#REF!</definedName>
    <definedName name="BALANCE04" localSheetId="7">#REF!</definedName>
    <definedName name="BALANCE04" localSheetId="1">#REF!</definedName>
    <definedName name="BALANCE04">#REF!</definedName>
    <definedName name="BALANCE05" localSheetId="5">#REF!</definedName>
    <definedName name="BALANCE05" localSheetId="0">#REF!</definedName>
    <definedName name="BALANCE05" localSheetId="6">#REF!</definedName>
    <definedName name="BALANCE05" localSheetId="7">#REF!</definedName>
    <definedName name="BALANCE05" localSheetId="1">#REF!</definedName>
    <definedName name="BALANCE05">#REF!</definedName>
    <definedName name="balance05new" localSheetId="5">#REF!</definedName>
    <definedName name="balance05new" localSheetId="0">#REF!</definedName>
    <definedName name="balance05new" localSheetId="6">#REF!</definedName>
    <definedName name="balance05new" localSheetId="7">#REF!</definedName>
    <definedName name="balance05new" localSheetId="1">#REF!</definedName>
    <definedName name="balance05new">#REF!</definedName>
    <definedName name="BALANCE06" localSheetId="5">#REF!</definedName>
    <definedName name="BALANCE06" localSheetId="0">#REF!</definedName>
    <definedName name="BALANCE06" localSheetId="6">#REF!</definedName>
    <definedName name="BALANCE06" localSheetId="7">#REF!</definedName>
    <definedName name="BALANCE06" localSheetId="1">#REF!</definedName>
    <definedName name="BALANCE06">#REF!</definedName>
    <definedName name="Balance06new" localSheetId="5">#REF!</definedName>
    <definedName name="Balance06new" localSheetId="0">#REF!</definedName>
    <definedName name="Balance06new" localSheetId="6">#REF!</definedName>
    <definedName name="Balance06new" localSheetId="7">#REF!</definedName>
    <definedName name="Balance06new" localSheetId="1">#REF!</definedName>
    <definedName name="Balance06new">#REF!</definedName>
    <definedName name="BALANCE07" localSheetId="5">#REF!</definedName>
    <definedName name="BALANCE07" localSheetId="0">#REF!</definedName>
    <definedName name="BALANCE07" localSheetId="6">#REF!</definedName>
    <definedName name="BALANCE07" localSheetId="7">#REF!</definedName>
    <definedName name="BALANCE07" localSheetId="1">#REF!</definedName>
    <definedName name="BALANCE07">#REF!</definedName>
    <definedName name="BALANCE08" localSheetId="5">#REF!</definedName>
    <definedName name="BALANCE08" localSheetId="0">#REF!</definedName>
    <definedName name="BALANCE08" localSheetId="6">#REF!</definedName>
    <definedName name="BALANCE08" localSheetId="7">#REF!</definedName>
    <definedName name="BALANCE08" localSheetId="1">#REF!</definedName>
    <definedName name="BALANCE08">#REF!</definedName>
    <definedName name="BALANCE09" localSheetId="5">#REF!</definedName>
    <definedName name="BALANCE09" localSheetId="0">#REF!</definedName>
    <definedName name="BALANCE09" localSheetId="6">#REF!</definedName>
    <definedName name="BALANCE09" localSheetId="7">#REF!</definedName>
    <definedName name="BALANCE09" localSheetId="1">#REF!</definedName>
    <definedName name="BALANCE09">#REF!</definedName>
    <definedName name="BALANCE10" localSheetId="5">#REF!</definedName>
    <definedName name="BALANCE10" localSheetId="0">#REF!</definedName>
    <definedName name="BALANCE10" localSheetId="6">#REF!</definedName>
    <definedName name="BALANCE10" localSheetId="7">#REF!</definedName>
    <definedName name="BALANCE10" localSheetId="1">#REF!</definedName>
    <definedName name="BALANCE10">#REF!</definedName>
    <definedName name="BALANCE11" localSheetId="5">#REF!</definedName>
    <definedName name="BALANCE11" localSheetId="0">#REF!</definedName>
    <definedName name="BALANCE11" localSheetId="6">#REF!</definedName>
    <definedName name="BALANCE11" localSheetId="7">#REF!</definedName>
    <definedName name="BALANCE11" localSheetId="1">#REF!</definedName>
    <definedName name="BALANCE11">#REF!</definedName>
    <definedName name="BALANCE12" localSheetId="5">#REF!</definedName>
    <definedName name="BALANCE12" localSheetId="0">#REF!</definedName>
    <definedName name="BALANCE12" localSheetId="6">#REF!</definedName>
    <definedName name="BALANCE12" localSheetId="7">#REF!</definedName>
    <definedName name="BALANCE12" localSheetId="1">#REF!</definedName>
    <definedName name="BALANCE12">#REF!</definedName>
    <definedName name="bb" localSheetId="5">#REF!</definedName>
    <definedName name="bb" localSheetId="0">#REF!</definedName>
    <definedName name="bb" localSheetId="6">#REF!</definedName>
    <definedName name="bb" localSheetId="7">#REF!</definedName>
    <definedName name="bb" localSheetId="1">#REF!</definedName>
    <definedName name="bb">#REF!</definedName>
    <definedName name="BIMA_유가보상" localSheetId="5">#REF!</definedName>
    <definedName name="BIMA_유가보상" localSheetId="0">#REF!</definedName>
    <definedName name="BIMA_유가보상" localSheetId="6">#REF!</definedName>
    <definedName name="BIMA_유가보상" localSheetId="7">#REF!</definedName>
    <definedName name="BIMA_유가보상" localSheetId="1">#REF!</definedName>
    <definedName name="BIMA_유가보상">#REF!</definedName>
    <definedName name="Buma_C" localSheetId="5">#REF!</definedName>
    <definedName name="Buma_C" localSheetId="0">#REF!</definedName>
    <definedName name="Buma_C" localSheetId="6">#REF!</definedName>
    <definedName name="Buma_C" localSheetId="7">#REF!</definedName>
    <definedName name="Buma_C" localSheetId="1">#REF!</definedName>
    <definedName name="Buma_C">#REF!</definedName>
    <definedName name="BUMA_C원탄" localSheetId="5">#REF!</definedName>
    <definedName name="BUMA_C원탄" localSheetId="0">#REF!</definedName>
    <definedName name="BUMA_C원탄" localSheetId="6">#REF!</definedName>
    <definedName name="BUMA_C원탄" localSheetId="7">#REF!</definedName>
    <definedName name="BUMA_C원탄" localSheetId="1">#REF!</definedName>
    <definedName name="BUMA_C원탄">#REF!</definedName>
    <definedName name="Buma_M" localSheetId="5">#REF!</definedName>
    <definedName name="Buma_M" localSheetId="0">#REF!</definedName>
    <definedName name="Buma_M" localSheetId="6">#REF!</definedName>
    <definedName name="Buma_M" localSheetId="7">#REF!</definedName>
    <definedName name="Buma_M" localSheetId="1">#REF!</definedName>
    <definedName name="Buma_M">#REF!</definedName>
    <definedName name="BUMA_M원탄" localSheetId="5">#REF!</definedName>
    <definedName name="BUMA_M원탄" localSheetId="0">#REF!</definedName>
    <definedName name="BUMA_M원탄" localSheetId="6">#REF!</definedName>
    <definedName name="BUMA_M원탄" localSheetId="7">#REF!</definedName>
    <definedName name="BUMA_M원탄" localSheetId="1">#REF!</definedName>
    <definedName name="BUMA_M원탄">#REF!</definedName>
    <definedName name="C_HANASP\인건비" localSheetId="0">'[1]98인원계획'!#REF!</definedName>
    <definedName name="C_HANASP\인건비" localSheetId="6">'[1]98인원계획'!#REF!</definedName>
    <definedName name="C_HANASP\인건비" localSheetId="7">'[1]98인원계획'!#REF!</definedName>
    <definedName name="C_HANASP\인건비" localSheetId="1">'[1]98인원계획'!#REF!</definedName>
    <definedName name="C_HANASP\인건비">'[1]98인원계획'!#REF!</definedName>
    <definedName name="calcul" localSheetId="5">#REF!</definedName>
    <definedName name="calcul" localSheetId="0">#REF!</definedName>
    <definedName name="calcul" localSheetId="6">#REF!</definedName>
    <definedName name="calcul" localSheetId="7">#REF!</definedName>
    <definedName name="calcul" localSheetId="1">#REF!</definedName>
    <definedName name="calcul">#REF!</definedName>
    <definedName name="Calendarday" localSheetId="5">#REF!</definedName>
    <definedName name="Calendarday" localSheetId="0">#REF!</definedName>
    <definedName name="Calendarday" localSheetId="6">#REF!</definedName>
    <definedName name="Calendarday" localSheetId="7">#REF!</definedName>
    <definedName name="Calendarday" localSheetId="1">#REF!</definedName>
    <definedName name="Calendarday">#REF!</definedName>
    <definedName name="calory_north" localSheetId="5">#REF!</definedName>
    <definedName name="calory_north" localSheetId="0">#REF!</definedName>
    <definedName name="calory_north" localSheetId="6">#REF!</definedName>
    <definedName name="calory_north" localSheetId="7">#REF!</definedName>
    <definedName name="calory_north" localSheetId="1">#REF!</definedName>
    <definedName name="calory_north">#REF!</definedName>
    <definedName name="calory_south" localSheetId="5">#REF!</definedName>
    <definedName name="calory_south" localSheetId="0">#REF!</definedName>
    <definedName name="calory_south" localSheetId="6">#REF!</definedName>
    <definedName name="calory_south" localSheetId="7">#REF!</definedName>
    <definedName name="calory_south" localSheetId="1">#REF!</definedName>
    <definedName name="calory_south">#REF!</definedName>
    <definedName name="CBI" localSheetId="5">#REF!</definedName>
    <definedName name="CBI" localSheetId="0">#REF!</definedName>
    <definedName name="CBI" localSheetId="6">#REF!</definedName>
    <definedName name="CBI" localSheetId="7">#REF!</definedName>
    <definedName name="CBI" localSheetId="1">#REF!</definedName>
    <definedName name="CBI">#REF!</definedName>
    <definedName name="CBP" localSheetId="5">#REF!</definedName>
    <definedName name="CBP" localSheetId="0">#REF!</definedName>
    <definedName name="CBP" localSheetId="6">#REF!</definedName>
    <definedName name="CBP" localSheetId="7">#REF!</definedName>
    <definedName name="CBP" localSheetId="1">#REF!</definedName>
    <definedName name="CBP">#REF!</definedName>
    <definedName name="CD" localSheetId="5">#REF!</definedName>
    <definedName name="CD" localSheetId="0">#REF!</definedName>
    <definedName name="CD" localSheetId="6">#REF!</definedName>
    <definedName name="CD" localSheetId="7">#REF!</definedName>
    <definedName name="CD" localSheetId="1">#REF!</definedName>
    <definedName name="CD">#REF!</definedName>
    <definedName name="coal_north" localSheetId="5">#REF!</definedName>
    <definedName name="coal_north" localSheetId="0">#REF!</definedName>
    <definedName name="coal_north" localSheetId="6">#REF!</definedName>
    <definedName name="coal_north" localSheetId="7">#REF!</definedName>
    <definedName name="coal_north" localSheetId="1">#REF!</definedName>
    <definedName name="coal_north">#REF!</definedName>
    <definedName name="coal_south" localSheetId="5">#REF!</definedName>
    <definedName name="coal_south" localSheetId="0">#REF!</definedName>
    <definedName name="coal_south" localSheetId="6">#REF!</definedName>
    <definedName name="coal_south" localSheetId="7">#REF!</definedName>
    <definedName name="coal_south" localSheetId="1">#REF!</definedName>
    <definedName name="coal_south">#REF!</definedName>
    <definedName name="coal_total" localSheetId="5">#REF!</definedName>
    <definedName name="coal_total" localSheetId="0">#REF!</definedName>
    <definedName name="coal_total" localSheetId="6">#REF!</definedName>
    <definedName name="coal_total" localSheetId="7">#REF!</definedName>
    <definedName name="coal_total" localSheetId="1">#REF!</definedName>
    <definedName name="coal_total">#REF!</definedName>
    <definedName name="Contents">#N/A</definedName>
    <definedName name="Cost_of_Manufactured__99" localSheetId="5">#REF!</definedName>
    <definedName name="Cost_of_Manufactured__99" localSheetId="0">#REF!</definedName>
    <definedName name="Cost_of_Manufactured__99" localSheetId="6">#REF!</definedName>
    <definedName name="Cost_of_Manufactured__99" localSheetId="7">#REF!</definedName>
    <definedName name="Cost_of_Manufactured__99" localSheetId="1">#REF!</definedName>
    <definedName name="Cost_of_Manufactured__99">#REF!</definedName>
    <definedName name="costing">#N/A</definedName>
    <definedName name="Cotrans_유가보상" localSheetId="5">#REF!</definedName>
    <definedName name="Cotrans_유가보상" localSheetId="0">#REF!</definedName>
    <definedName name="Cotrans_유가보상" localSheetId="6">#REF!</definedName>
    <definedName name="Cotrans_유가보상" localSheetId="7">#REF!</definedName>
    <definedName name="Cotrans_유가보상" localSheetId="1">#REF!</definedName>
    <definedName name="Cotrans_유가보상">#REF!</definedName>
    <definedName name="crit" localSheetId="5">#REF!</definedName>
    <definedName name="crit" localSheetId="0">#REF!</definedName>
    <definedName name="crit" localSheetId="6">#REF!</definedName>
    <definedName name="crit" localSheetId="7">#REF!</definedName>
    <definedName name="crit" localSheetId="1">#REF!</definedName>
    <definedName name="crit">#REF!</definedName>
    <definedName name="CSALES01" localSheetId="0">[5]COSTSALES!#REF!</definedName>
    <definedName name="CSALES01" localSheetId="6">[5]COSTSALES!#REF!</definedName>
    <definedName name="CSALES01" localSheetId="7">[5]COSTSALES!#REF!</definedName>
    <definedName name="CSALES01" localSheetId="1">[5]COSTSALES!#REF!</definedName>
    <definedName name="CSALES01">[5]COSTSALES!#REF!</definedName>
    <definedName name="CSALES02" localSheetId="0">[5]COSTSALES!#REF!</definedName>
    <definedName name="CSALES02" localSheetId="6">[5]COSTSALES!#REF!</definedName>
    <definedName name="CSALES02" localSheetId="7">[5]COSTSALES!#REF!</definedName>
    <definedName name="CSALES02" localSheetId="1">[5]COSTSALES!#REF!</definedName>
    <definedName name="CSALES02">[5]COSTSALES!#REF!</definedName>
    <definedName name="CSALES03" localSheetId="0">[5]COSTSALES!#REF!</definedName>
    <definedName name="CSALES03" localSheetId="6">[5]COSTSALES!#REF!</definedName>
    <definedName name="CSALES03" localSheetId="7">[5]COSTSALES!#REF!</definedName>
    <definedName name="CSALES03" localSheetId="1">[5]COSTSALES!#REF!</definedName>
    <definedName name="CSALES03">[5]COSTSALES!#REF!</definedName>
    <definedName name="CSALES04" localSheetId="0">[5]COSTSALES!#REF!</definedName>
    <definedName name="CSALES04" localSheetId="6">[5]COSTSALES!#REF!</definedName>
    <definedName name="CSALES04" localSheetId="7">[5]COSTSALES!#REF!</definedName>
    <definedName name="CSALES04" localSheetId="1">[5]COSTSALES!#REF!</definedName>
    <definedName name="CSALES04">[5]COSTSALES!#REF!</definedName>
    <definedName name="CSALES05" localSheetId="0">[5]COSTSALES!#REF!</definedName>
    <definedName name="CSALES05" localSheetId="6">[5]COSTSALES!#REF!</definedName>
    <definedName name="CSALES05" localSheetId="7">[5]COSTSALES!#REF!</definedName>
    <definedName name="CSALES05" localSheetId="1">[5]COSTSALES!#REF!</definedName>
    <definedName name="CSALES05">[5]COSTSALES!#REF!</definedName>
    <definedName name="CSALES06" localSheetId="0">[5]COSTSALES!#REF!</definedName>
    <definedName name="CSALES06" localSheetId="6">[5]COSTSALES!#REF!</definedName>
    <definedName name="CSALES06" localSheetId="7">[5]COSTSALES!#REF!</definedName>
    <definedName name="CSALES06" localSheetId="1">[5]COSTSALES!#REF!</definedName>
    <definedName name="CSALES06">[5]COSTSALES!#REF!</definedName>
    <definedName name="CSALES07" localSheetId="0">[5]COSTSALES!#REF!</definedName>
    <definedName name="CSALES07" localSheetId="6">[5]COSTSALES!#REF!</definedName>
    <definedName name="CSALES07" localSheetId="7">[5]COSTSALES!#REF!</definedName>
    <definedName name="CSALES07" localSheetId="1">[5]COSTSALES!#REF!</definedName>
    <definedName name="CSALES07">[5]COSTSALES!#REF!</definedName>
    <definedName name="CSALES08" localSheetId="0">[5]COSTSALES!#REF!</definedName>
    <definedName name="CSALES08" localSheetId="6">[5]COSTSALES!#REF!</definedName>
    <definedName name="CSALES08" localSheetId="7">[5]COSTSALES!#REF!</definedName>
    <definedName name="CSALES08" localSheetId="1">[5]COSTSALES!#REF!</definedName>
    <definedName name="CSALES08">[5]COSTSALES!#REF!</definedName>
    <definedName name="CSALES09" localSheetId="0">[5]COSTSALES!#REF!</definedName>
    <definedName name="CSALES09" localSheetId="6">[5]COSTSALES!#REF!</definedName>
    <definedName name="CSALES09" localSheetId="7">[5]COSTSALES!#REF!</definedName>
    <definedName name="CSALES09" localSheetId="1">[5]COSTSALES!#REF!</definedName>
    <definedName name="CSALES09">[5]COSTSALES!#REF!</definedName>
    <definedName name="CSALES10" localSheetId="0">[5]COSTSALES!#REF!</definedName>
    <definedName name="CSALES10" localSheetId="6">[5]COSTSALES!#REF!</definedName>
    <definedName name="CSALES10" localSheetId="7">[5]COSTSALES!#REF!</definedName>
    <definedName name="CSALES10" localSheetId="1">[5]COSTSALES!#REF!</definedName>
    <definedName name="CSALES10">[5]COSTSALES!#REF!</definedName>
    <definedName name="CSALES11" localSheetId="0">[5]COSTSALES!#REF!</definedName>
    <definedName name="CSALES11" localSheetId="6">[5]COSTSALES!#REF!</definedName>
    <definedName name="CSALES11" localSheetId="7">[5]COSTSALES!#REF!</definedName>
    <definedName name="CSALES11" localSheetId="1">[5]COSTSALES!#REF!</definedName>
    <definedName name="CSALES11">[5]COSTSALES!#REF!</definedName>
    <definedName name="CSALES12" localSheetId="0">[5]COSTSALES!#REF!</definedName>
    <definedName name="CSALES12" localSheetId="6">[5]COSTSALES!#REF!</definedName>
    <definedName name="CSALES12" localSheetId="7">[5]COSTSALES!#REF!</definedName>
    <definedName name="CSALES12" localSheetId="1">[5]COSTSALES!#REF!</definedName>
    <definedName name="CSALES12">[5]COSTSALES!#REF!</definedName>
    <definedName name="d">#N/A</definedName>
    <definedName name="D1602520" localSheetId="5">'[3]Test Depre'!#REF!</definedName>
    <definedName name="D1602520" localSheetId="0">'[3]Test Depre'!#REF!</definedName>
    <definedName name="D1602520" localSheetId="6">'[3]Test Depre'!#REF!</definedName>
    <definedName name="D1602520" localSheetId="7">'[3]Test Depre'!#REF!</definedName>
    <definedName name="D1602520" localSheetId="1">'[3]Test Depre'!#REF!</definedName>
    <definedName name="D1602520">'[3]Test Depre'!#REF!</definedName>
    <definedName name="_xlnm.Database" localSheetId="5">#REF!</definedName>
    <definedName name="_xlnm.Database" localSheetId="0">#REF!</definedName>
    <definedName name="_xlnm.Database" localSheetId="6">#REF!</definedName>
    <definedName name="_xlnm.Database" localSheetId="7">#REF!</definedName>
    <definedName name="_xlnm.Database" localSheetId="1">#REF!</definedName>
    <definedName name="_xlnm.Database">#REF!</definedName>
    <definedName name="ddd" localSheetId="5">'[6]D-04'!#REF!</definedName>
    <definedName name="ddd" localSheetId="0">'[6]D-04'!#REF!</definedName>
    <definedName name="ddd" localSheetId="6">'[6]D-04'!#REF!</definedName>
    <definedName name="ddd" localSheetId="7">'[6]D-04'!#REF!</definedName>
    <definedName name="ddd" localSheetId="1">'[6]D-04'!#REF!</definedName>
    <definedName name="ddd">'[6]D-04'!#REF!</definedName>
    <definedName name="ddddddddddd" localSheetId="5">[7]기본Data!$G$5</definedName>
    <definedName name="ddddddddddd" localSheetId="6">[7]기본Data!$G$5</definedName>
    <definedName name="ddddddddddd" localSheetId="7">[7]기본Data!$G$5</definedName>
    <definedName name="ddddddddddd">[7]기본Data!$G$5</definedName>
    <definedName name="December" localSheetId="5">#REF!</definedName>
    <definedName name="December" localSheetId="0">#REF!</definedName>
    <definedName name="December" localSheetId="6">#REF!</definedName>
    <definedName name="December" localSheetId="7">#REF!</definedName>
    <definedName name="December" localSheetId="1">#REF!</definedName>
    <definedName name="December">#REF!</definedName>
    <definedName name="DEPARTEMENTAL_COSTING_ON_JAN._MAR.99" localSheetId="5">MCOST2</definedName>
    <definedName name="DEPARTEMENTAL_COSTING_ON_JAN._MAR.99" localSheetId="8">MCOST2</definedName>
    <definedName name="DEPARTEMENTAL_COSTING_ON_JAN._MAR.99" localSheetId="0">MCOST2</definedName>
    <definedName name="DEPARTEMENTAL_COSTING_ON_JAN._MAR.99" localSheetId="6">[0]!MCOST2</definedName>
    <definedName name="DEPARTEMENTAL_COSTING_ON_JAN._MAR.99" localSheetId="7">MCOST2</definedName>
    <definedName name="DEPARTEMENTAL_COSTING_ON_JAN._MAR.99" localSheetId="4">MCOST2</definedName>
    <definedName name="DEPARTEMENTAL_COSTING_ON_JAN._MAR.99" localSheetId="3">MCOST2</definedName>
    <definedName name="DEPARTEMENTAL_COSTING_ON_JAN._MAR.99" localSheetId="1">MCOST2</definedName>
    <definedName name="DEPARTEMENTAL_COSTING_ON_JAN._MAR.99">MCOST2</definedName>
    <definedName name="DEPARTEMENTAL_COSTING_ON_MARCH_99">"MCOST1"</definedName>
    <definedName name="depreciation_prod" localSheetId="5">#REF!</definedName>
    <definedName name="depreciation_prod" localSheetId="0">#REF!</definedName>
    <definedName name="depreciation_prod" localSheetId="6">#REF!</definedName>
    <definedName name="depreciation_prod" localSheetId="7">#REF!</definedName>
    <definedName name="depreciation_prod" localSheetId="1">#REF!</definedName>
    <definedName name="depreciation_prod">#REF!</definedName>
    <definedName name="Depreciation_waste" localSheetId="5">#REF!</definedName>
    <definedName name="Depreciation_waste" localSheetId="0">#REF!</definedName>
    <definedName name="Depreciation_waste" localSheetId="6">#REF!</definedName>
    <definedName name="Depreciation_waste" localSheetId="7">#REF!</definedName>
    <definedName name="Depreciation_waste" localSheetId="1">#REF!</definedName>
    <definedName name="Depreciation_waste">#REF!</definedName>
    <definedName name="DJ" localSheetId="0">'[1]98인원계획'!#REF!</definedName>
    <definedName name="DJ" localSheetId="6">'[1]98인원계획'!#REF!</definedName>
    <definedName name="DJ" localSheetId="7">'[1]98인원계획'!#REF!</definedName>
    <definedName name="DJ" localSheetId="1">'[1]98인원계획'!#REF!</definedName>
    <definedName name="DJ">'[1]98인원계획'!#REF!</definedName>
    <definedName name="djfl">#N/A</definedName>
    <definedName name="dkttktk" localSheetId="5">#REF!</definedName>
    <definedName name="dkttktk" localSheetId="0">#REF!</definedName>
    <definedName name="dkttktk" localSheetId="6">#REF!</definedName>
    <definedName name="dkttktk" localSheetId="7">#REF!</definedName>
    <definedName name="dkttktk" localSheetId="1">#REF!</definedName>
    <definedName name="dkttktk">#REF!</definedName>
    <definedName name="dljfal" localSheetId="5">'[6]D-04'!#REF!</definedName>
    <definedName name="dljfal" localSheetId="0">'[6]D-04'!#REF!</definedName>
    <definedName name="dljfal" localSheetId="6">'[6]D-04'!#REF!</definedName>
    <definedName name="dljfal" localSheetId="7">'[6]D-04'!#REF!</definedName>
    <definedName name="dljfal" localSheetId="1">'[6]D-04'!#REF!</definedName>
    <definedName name="dljfal">'[6]D-04'!#REF!</definedName>
    <definedName name="dorr" localSheetId="5">[8]Input!#REF!</definedName>
    <definedName name="dorr" localSheetId="0">[8]Input!#REF!</definedName>
    <definedName name="dorr" localSheetId="6">[8]Input!#REF!</definedName>
    <definedName name="dorr" localSheetId="7">[8]Input!#REF!</definedName>
    <definedName name="dorr" localSheetId="1">[8]Input!#REF!</definedName>
    <definedName name="dorr">[8]Input!#REF!</definedName>
    <definedName name="dsss" localSheetId="5">#REF!</definedName>
    <definedName name="dsss" localSheetId="0">#REF!</definedName>
    <definedName name="dsss" localSheetId="6">#REF!</definedName>
    <definedName name="dsss" localSheetId="7">#REF!</definedName>
    <definedName name="dsss" localSheetId="1">#REF!</definedName>
    <definedName name="dsss">#REF!</definedName>
    <definedName name="duit" localSheetId="5">[9]Sheet1!#REF!</definedName>
    <definedName name="duit" localSheetId="0">[9]Sheet1!#REF!</definedName>
    <definedName name="duit" localSheetId="6">[9]Sheet1!#REF!</definedName>
    <definedName name="duit" localSheetId="7">[9]Sheet1!#REF!</definedName>
    <definedName name="duit" localSheetId="1">[9]Sheet1!#REF!</definedName>
    <definedName name="duit">[9]Sheet1!#REF!</definedName>
    <definedName name="durian" localSheetId="5">SUMPRODUCT(([10]Des!$X1=[10]Des!$R$4:$R$45)*([10]Des!A$3=[10]Des!$E$4:$E$45),[10]Des!$K$4:$K$45)</definedName>
    <definedName name="durian" localSheetId="6">SUMPRODUCT(([10]Des!$X1=[10]Des!$R$4:$R$45)*([10]Des!A$3=[10]Des!$E$4:$E$45),[10]Des!$K$4:$K$45)</definedName>
    <definedName name="durian" localSheetId="7">SUMPRODUCT(([10]Des!$X1=[10]Des!$R$4:$R$45)*([10]Des!A$3=[10]Des!$E$4:$E$45),[10]Des!$K$4:$K$45)</definedName>
    <definedName name="durian">SUMPRODUCT(([10]Des!$X1=[10]Des!$R$4:$R$45)*([10]Des!A$3=[10]Des!$E$4:$E$45),[10]Des!$K$4:$K$45)</definedName>
    <definedName name="E_Rate" localSheetId="5">[11]Contract!$C$5</definedName>
    <definedName name="E_Rate" localSheetId="6">[11]Contract!$C$5</definedName>
    <definedName name="E_Rate" localSheetId="7">[11]Contract!$C$5</definedName>
    <definedName name="E_Rate">[11]Contract!$C$5</definedName>
    <definedName name="employee" localSheetId="0">#REF!</definedName>
    <definedName name="employee" localSheetId="6">#REF!</definedName>
    <definedName name="employee" localSheetId="7">#REF!</definedName>
    <definedName name="employee" localSheetId="1">#REF!</definedName>
    <definedName name="employee">#REF!</definedName>
    <definedName name="employee_kirean" localSheetId="5">#REF!</definedName>
    <definedName name="employee_kirean" localSheetId="0">#REF!</definedName>
    <definedName name="employee_kirean" localSheetId="6">#REF!</definedName>
    <definedName name="employee_kirean" localSheetId="7">#REF!</definedName>
    <definedName name="employee_kirean" localSheetId="1">#REF!</definedName>
    <definedName name="employee_kirean">#REF!</definedName>
    <definedName name="employee_korean" localSheetId="5">#REF!</definedName>
    <definedName name="employee_korean" localSheetId="0">#REF!</definedName>
    <definedName name="employee_korean" localSheetId="6">#REF!</definedName>
    <definedName name="employee_korean" localSheetId="7">#REF!</definedName>
    <definedName name="employee_korean" localSheetId="1">#REF!</definedName>
    <definedName name="employee_korean">#REF!</definedName>
    <definedName name="employee_local" localSheetId="5">#REF!</definedName>
    <definedName name="employee_local" localSheetId="0">#REF!</definedName>
    <definedName name="employee_local" localSheetId="6">#REF!</definedName>
    <definedName name="employee_local" localSheetId="7">#REF!</definedName>
    <definedName name="employee_local" localSheetId="1">#REF!</definedName>
    <definedName name="employee_local">#REF!</definedName>
    <definedName name="Excel_BuiltIn__FilterDatabase_1" localSheetId="6">#REF!</definedName>
    <definedName name="Excel_BuiltIn__FilterDatabase_1" localSheetId="7">#REF!</definedName>
    <definedName name="Excel_BuiltIn__FilterDatabase_1" localSheetId="1">#REF!</definedName>
    <definedName name="Excel_BuiltIn__FilterDatabase_1">#REF!</definedName>
    <definedName name="Excel_BuiltIn_Print_Area_1">"$#REF!.$A$7:$AU$927"</definedName>
    <definedName name="Excel_BuiltIn_Print_Area_10">"$#REF!.$A$1:$G$161"</definedName>
    <definedName name="Excel_BuiltIn_Print_Area_12">"$#REF!.$A$1:$N$5"</definedName>
    <definedName name="Excel_BuiltIn_Print_Area_13_1_1">"$#REF!.$A$1:$F$57"</definedName>
    <definedName name="Excel_BuiltIn_Print_Area_14">"$#REF!.$A$1:$G$36"</definedName>
    <definedName name="Excel_BuiltIn_Print_Area_14_1">"$#REF!.$A$1:$F$57"</definedName>
    <definedName name="Excel_BuiltIn_Print_Area_15">"$#REF!.$A$1:$F$57"</definedName>
    <definedName name="Excel_BuiltIn_Print_Area_2">"$#REF!.$A$7:$AU$929"</definedName>
    <definedName name="Excel_BuiltIn_Print_Area_2_1">"$#REF!.$A$1:$G$5"</definedName>
    <definedName name="Excel_BuiltIn_Print_Area_3_1">"$#REF!.$A$1:$AQ$5"</definedName>
    <definedName name="Excel_BuiltIn_Print_Area_3_1_1">"$#REF!.$A$1:$AU$25"</definedName>
    <definedName name="Excel_BuiltIn_Print_Area_5_1">"$#REF!.$A$1:$AX$611"</definedName>
    <definedName name="Excel_BuiltIn_Print_Area_5_1_1">"$#REF!.$A$1:$AW$22"</definedName>
    <definedName name="Excel_BuiltIn_Print_Area_6_1_1">"$#REF!.$A$1:$G$111"</definedName>
    <definedName name="Excel_BuiltIn_Print_Area_6_1_1_1">"$#REF!.$A$1:$G$97"</definedName>
    <definedName name="Excel_BuiltIn_Print_Area_6_1_1_1_1">"$#REF!.$A$1:$AX$5"</definedName>
    <definedName name="Excel_BuiltIn_Print_Area_7_1">"$#REF!.$A$1:$AX$612"</definedName>
    <definedName name="Excel_BuiltIn_Print_Area_7_1_1">"$#REF!.$A$1:$AX$613"</definedName>
    <definedName name="Excel_BuiltIn_Print_Area_7_1_1_1">"$#REF!.$A$3:$L$459"</definedName>
    <definedName name="Excel_BuiltIn_Print_Area_7_1_1_1_1">"$#REF!.$A$1:$AX$611;$#REF!.$A$626:$F$660"</definedName>
    <definedName name="Excel_BuiltIn_Print_Area_7_1_1_1_1_1_1">"$#REF!.$A$1:$N$5"</definedName>
    <definedName name="Excel_BuiltIn_Print_Titles_1">"$#REF!.$A$7:$AMJ$8"</definedName>
    <definedName name="Excel_BuiltIn_Print_Titles_12">"$#REF!.$A$3:$AMJ$4"</definedName>
    <definedName name="Excel_BuiltIn_Print_Titles_14">"$#REF!.$A$1:$AMJ$2"</definedName>
    <definedName name="Excel_BuiltIn_Print_Titles_2">"$#REF!.$A$7:$AMJ$11"</definedName>
    <definedName name="Excel_BuiltIn_Print_Titles_2_1">"$#REF!.$A$4:$AMJ$5"</definedName>
    <definedName name="Excel_BuiltIn_Print_Titles_3_1">"$#REF!.$A$3:$IU$4"</definedName>
    <definedName name="Excel_BuiltIn_Print_Titles_7_1_1_1">"$#REF!.$A$7:$ID$8"</definedName>
    <definedName name="Excel_BuiltIn_Print_Titles_7_1_1_1_1">"$#REF!.$A$3:$IB$4"</definedName>
    <definedName name="Excel_BuiltIn_Print_Titles_7_1_1_1_2">"$#REF!.$A$7:$ID$11"</definedName>
    <definedName name="exchange" localSheetId="5">[12]임차도급!#REF!</definedName>
    <definedName name="exchange" localSheetId="0">[12]임차도급!#REF!</definedName>
    <definedName name="exchange" localSheetId="6">[12]임차도급!#REF!</definedName>
    <definedName name="exchange" localSheetId="7">[12]임차도급!#REF!</definedName>
    <definedName name="exchange" localSheetId="1">[12]임차도급!#REF!</definedName>
    <definedName name="exchange">[12]임차도급!#REF!</definedName>
    <definedName name="exchangerate" localSheetId="5">[7]기본Data!$G$5</definedName>
    <definedName name="exchangerate" localSheetId="6">[7]기본Data!$G$5</definedName>
    <definedName name="exchangerate" localSheetId="7">[7]기본Data!$G$5</definedName>
    <definedName name="exchangerate">[7]기본Data!$G$5</definedName>
    <definedName name="February" localSheetId="5">#REF!</definedName>
    <definedName name="February" localSheetId="0">#REF!</definedName>
    <definedName name="February" localSheetId="6">#REF!</definedName>
    <definedName name="February" localSheetId="7">#REF!</definedName>
    <definedName name="February" localSheetId="1">#REF!</definedName>
    <definedName name="February">#REF!</definedName>
    <definedName name="ffdfdf" localSheetId="5">[13]Sheet1!#REF!</definedName>
    <definedName name="ffdfdf" localSheetId="0">[13]Sheet1!#REF!</definedName>
    <definedName name="ffdfdf" localSheetId="6">[13]Sheet1!#REF!</definedName>
    <definedName name="ffdfdf" localSheetId="7">[13]Sheet1!#REF!</definedName>
    <definedName name="ffdfdf" localSheetId="1">[13]Sheet1!#REF!</definedName>
    <definedName name="ffdfdf">[13]Sheet1!#REF!</definedName>
    <definedName name="FFFF" localSheetId="5">[14]Input!#REF!</definedName>
    <definedName name="FFFF" localSheetId="0">[14]Input!#REF!</definedName>
    <definedName name="FFFF" localSheetId="6">[14]Input!#REF!</definedName>
    <definedName name="FFFF" localSheetId="7">[14]Input!#REF!</definedName>
    <definedName name="FFFF" localSheetId="1">[14]Input!#REF!</definedName>
    <definedName name="FFFF">[14]Input!#REF!</definedName>
    <definedName name="fklsdjfiwf" localSheetId="5">[11]Contract!$C$5</definedName>
    <definedName name="fklsdjfiwf" localSheetId="6">[11]Contract!$C$5</definedName>
    <definedName name="fklsdjfiwf" localSheetId="7">[11]Contract!$C$5</definedName>
    <definedName name="fklsdjfiwf">[11]Contract!$C$5</definedName>
    <definedName name="G.S_유가보상" localSheetId="5">#REF!</definedName>
    <definedName name="G.S_유가보상" localSheetId="0">#REF!</definedName>
    <definedName name="G.S_유가보상" localSheetId="6">#REF!</definedName>
    <definedName name="G.S_유가보상" localSheetId="7">#REF!</definedName>
    <definedName name="G.S_유가보상" localSheetId="1">#REF!</definedName>
    <definedName name="G.S_유가보상">#REF!</definedName>
    <definedName name="GGG" localSheetId="5">#REF!</definedName>
    <definedName name="GGG" localSheetId="0">#REF!</definedName>
    <definedName name="GGG" localSheetId="6">#REF!</definedName>
    <definedName name="GGG" localSheetId="7">#REF!</definedName>
    <definedName name="GGG" localSheetId="1">#REF!</definedName>
    <definedName name="GGG">#REF!</definedName>
    <definedName name="good" localSheetId="5">#REF!</definedName>
    <definedName name="good" localSheetId="0">#REF!</definedName>
    <definedName name="good" localSheetId="6">#REF!</definedName>
    <definedName name="good" localSheetId="7">#REF!</definedName>
    <definedName name="good" localSheetId="1">#REF!</definedName>
    <definedName name="good">#REF!</definedName>
    <definedName name="GROUP_1" localSheetId="5">[15]MATERIAL!$D$7:$F$30</definedName>
    <definedName name="GROUP_1" localSheetId="6">[15]MATERIAL!$D$7:$F$30</definedName>
    <definedName name="GROUP_1" localSheetId="7">[15]MATERIAL!$D$7:$F$30</definedName>
    <definedName name="GROUP_1">[15]MATERIAL!$D$7:$F$30</definedName>
    <definedName name="GROUP_2" localSheetId="5">[15]MATERIAL!$D$31:$F$36</definedName>
    <definedName name="GROUP_2" localSheetId="6">[15]MATERIAL!$D$31:$F$36</definedName>
    <definedName name="GROUP_2" localSheetId="7">[15]MATERIAL!$D$31:$F$36</definedName>
    <definedName name="GROUP_2">[15]MATERIAL!$D$31:$F$36</definedName>
    <definedName name="GROUP_3" localSheetId="5">[15]MATERIAL!$D$37:$F$46</definedName>
    <definedName name="GROUP_3" localSheetId="6">[15]MATERIAL!$D$37:$F$46</definedName>
    <definedName name="GROUP_3" localSheetId="7">[15]MATERIAL!$D$37:$F$46</definedName>
    <definedName name="GROUP_3">[15]MATERIAL!$D$37:$F$46</definedName>
    <definedName name="GROUP_4" localSheetId="5">[15]MATERIAL!$D$47:$F$53</definedName>
    <definedName name="GROUP_4" localSheetId="6">[15]MATERIAL!$D$47:$F$53</definedName>
    <definedName name="GROUP_4" localSheetId="7">[15]MATERIAL!$D$47:$F$53</definedName>
    <definedName name="GROUP_4">[15]MATERIAL!$D$47:$F$53</definedName>
    <definedName name="H_Equipment" localSheetId="5">#REF!</definedName>
    <definedName name="H_Equipment" localSheetId="0">#REF!</definedName>
    <definedName name="H_Equipment" localSheetId="6">#REF!</definedName>
    <definedName name="H_Equipment" localSheetId="7">#REF!</definedName>
    <definedName name="H_Equipment" localSheetId="1">#REF!</definedName>
    <definedName name="H_Equipment">#REF!</definedName>
    <definedName name="HHH" localSheetId="5">#REF!</definedName>
    <definedName name="HHH" localSheetId="0">#REF!</definedName>
    <definedName name="HHH" localSheetId="6">#REF!</definedName>
    <definedName name="HHH" localSheetId="7">#REF!</definedName>
    <definedName name="HHH" localSheetId="1">#REF!</definedName>
    <definedName name="HHH">#REF!</definedName>
    <definedName name="hours" localSheetId="5">#REF!</definedName>
    <definedName name="hours" localSheetId="0">#REF!</definedName>
    <definedName name="hours" localSheetId="6">#REF!</definedName>
    <definedName name="hours" localSheetId="7">#REF!</definedName>
    <definedName name="hours" localSheetId="1">#REF!</definedName>
    <definedName name="hours">#REF!</definedName>
    <definedName name="House___Etc" localSheetId="5">#REF!</definedName>
    <definedName name="House___Etc" localSheetId="0">#REF!</definedName>
    <definedName name="House___Etc" localSheetId="6">#REF!</definedName>
    <definedName name="House___Etc" localSheetId="7">#REF!</definedName>
    <definedName name="House___Etc" localSheetId="1">#REF!</definedName>
    <definedName name="House___Etc">#REF!</definedName>
    <definedName name="IMT" localSheetId="5">#REF!</definedName>
    <definedName name="IMT" localSheetId="0">#REF!</definedName>
    <definedName name="IMT" localSheetId="6">#REF!</definedName>
    <definedName name="IMT" localSheetId="7">#REF!</definedName>
    <definedName name="IMT" localSheetId="1">#REF!</definedName>
    <definedName name="IMT">#REF!</definedName>
    <definedName name="INCOME01" localSheetId="5">#REF!</definedName>
    <definedName name="INCOME01" localSheetId="0">#REF!</definedName>
    <definedName name="INCOME01" localSheetId="6">#REF!</definedName>
    <definedName name="INCOME01" localSheetId="7">#REF!</definedName>
    <definedName name="INCOME01" localSheetId="1">#REF!</definedName>
    <definedName name="INCOME01">#REF!</definedName>
    <definedName name="INCOME02" localSheetId="5">#REF!</definedName>
    <definedName name="INCOME02" localSheetId="0">#REF!</definedName>
    <definedName name="INCOME02" localSheetId="6">#REF!</definedName>
    <definedName name="INCOME02" localSheetId="7">#REF!</definedName>
    <definedName name="INCOME02" localSheetId="1">#REF!</definedName>
    <definedName name="INCOME02">#REF!</definedName>
    <definedName name="INCOME03" localSheetId="5">#REF!</definedName>
    <definedName name="INCOME03" localSheetId="0">#REF!</definedName>
    <definedName name="INCOME03" localSheetId="6">#REF!</definedName>
    <definedName name="INCOME03" localSheetId="7">#REF!</definedName>
    <definedName name="INCOME03" localSheetId="1">#REF!</definedName>
    <definedName name="INCOME03">#REF!</definedName>
    <definedName name="INCOME04" localSheetId="5">#REF!</definedName>
    <definedName name="INCOME04" localSheetId="0">#REF!</definedName>
    <definedName name="INCOME04" localSheetId="6">#REF!</definedName>
    <definedName name="INCOME04" localSheetId="7">#REF!</definedName>
    <definedName name="INCOME04" localSheetId="1">#REF!</definedName>
    <definedName name="INCOME04">#REF!</definedName>
    <definedName name="INCOME05" localSheetId="5">#REF!</definedName>
    <definedName name="INCOME05" localSheetId="0">#REF!</definedName>
    <definedName name="INCOME05" localSheetId="6">#REF!</definedName>
    <definedName name="INCOME05" localSheetId="7">#REF!</definedName>
    <definedName name="INCOME05" localSheetId="1">#REF!</definedName>
    <definedName name="INCOME05">#REF!</definedName>
    <definedName name="INCOME06" localSheetId="5">#REF!</definedName>
    <definedName name="INCOME06" localSheetId="0">#REF!</definedName>
    <definedName name="INCOME06" localSheetId="6">#REF!</definedName>
    <definedName name="INCOME06" localSheetId="7">#REF!</definedName>
    <definedName name="INCOME06" localSheetId="1">#REF!</definedName>
    <definedName name="INCOME06">#REF!</definedName>
    <definedName name="INCOME07" localSheetId="5">#REF!</definedName>
    <definedName name="INCOME07" localSheetId="0">#REF!</definedName>
    <definedName name="INCOME07" localSheetId="6">#REF!</definedName>
    <definedName name="INCOME07" localSheetId="7">#REF!</definedName>
    <definedName name="INCOME07" localSheetId="1">#REF!</definedName>
    <definedName name="INCOME07">#REF!</definedName>
    <definedName name="INCOME08" localSheetId="5">#REF!</definedName>
    <definedName name="INCOME08" localSheetId="0">#REF!</definedName>
    <definedName name="INCOME08" localSheetId="6">#REF!</definedName>
    <definedName name="INCOME08" localSheetId="7">#REF!</definedName>
    <definedName name="INCOME08" localSheetId="1">#REF!</definedName>
    <definedName name="INCOME08">#REF!</definedName>
    <definedName name="INCOME09" localSheetId="5">#REF!</definedName>
    <definedName name="INCOME09" localSheetId="0">#REF!</definedName>
    <definedName name="INCOME09" localSheetId="6">#REF!</definedName>
    <definedName name="INCOME09" localSheetId="7">#REF!</definedName>
    <definedName name="INCOME09" localSheetId="1">#REF!</definedName>
    <definedName name="INCOME09">#REF!</definedName>
    <definedName name="INCOME10" localSheetId="5">#REF!</definedName>
    <definedName name="INCOME10" localSheetId="0">#REF!</definedName>
    <definedName name="INCOME10" localSheetId="6">#REF!</definedName>
    <definedName name="INCOME10" localSheetId="7">#REF!</definedName>
    <definedName name="INCOME10" localSheetId="1">#REF!</definedName>
    <definedName name="INCOME10">#REF!</definedName>
    <definedName name="INCOME11" localSheetId="5">#REF!</definedName>
    <definedName name="INCOME11" localSheetId="0">#REF!</definedName>
    <definedName name="INCOME11" localSheetId="6">#REF!</definedName>
    <definedName name="INCOME11" localSheetId="7">#REF!</definedName>
    <definedName name="INCOME11" localSheetId="1">#REF!</definedName>
    <definedName name="INCOME11">#REF!</definedName>
    <definedName name="INCOME12" localSheetId="5">#REF!</definedName>
    <definedName name="INCOME12" localSheetId="0">#REF!</definedName>
    <definedName name="INCOME12" localSheetId="6">#REF!</definedName>
    <definedName name="INCOME12" localSheetId="7">#REF!</definedName>
    <definedName name="INCOME12" localSheetId="1">#REF!</definedName>
    <definedName name="INCOME12">#REF!</definedName>
    <definedName name="Inventory_ROM" localSheetId="5">#REF!</definedName>
    <definedName name="Inventory_ROM" localSheetId="0">#REF!</definedName>
    <definedName name="Inventory_ROM" localSheetId="6">#REF!</definedName>
    <definedName name="Inventory_ROM" localSheetId="7">#REF!</definedName>
    <definedName name="Inventory_ROM" localSheetId="1">#REF!</definedName>
    <definedName name="Inventory_ROM">#REF!</definedName>
    <definedName name="Inventory_TMCT" localSheetId="5">#REF!</definedName>
    <definedName name="Inventory_TMCT" localSheetId="0">#REF!</definedName>
    <definedName name="Inventory_TMCT" localSheetId="6">#REF!</definedName>
    <definedName name="Inventory_TMCT" localSheetId="7">#REF!</definedName>
    <definedName name="Inventory_TMCT" localSheetId="1">#REF!</definedName>
    <definedName name="Inventory_TMCT">#REF!</definedName>
    <definedName name="iofjsdfnl" localSheetId="5">SUMPRODUCT(([10]Des!$X1=[10]Des!$R$4:$R$45)*([10]Des!A$3=[10]Des!$E$4:$E$45),[10]Des!$K$4:$K$45)</definedName>
    <definedName name="iofjsdfnl" localSheetId="6">SUMPRODUCT(([10]Des!$X1=[10]Des!$R$4:$R$45)*([10]Des!A$3=[10]Des!$E$4:$E$45),[10]Des!$K$4:$K$45)</definedName>
    <definedName name="iofjsdfnl" localSheetId="7">SUMPRODUCT(([10]Des!$X1=[10]Des!$R$4:$R$45)*([10]Des!A$3=[10]Des!$E$4:$E$45),[10]Des!$K$4:$K$45)</definedName>
    <definedName name="iofjsdfnl">SUMPRODUCT(([10]Des!$X1=[10]Des!$R$4:$R$45)*([10]Des!A$3=[10]Des!$E$4:$E$45),[10]Des!$K$4:$K$45)</definedName>
    <definedName name="irma" localSheetId="5">[16]기본Data!$G$5</definedName>
    <definedName name="irma" localSheetId="6">[16]기본Data!$G$5</definedName>
    <definedName name="irma" localSheetId="7">[16]기본Data!$G$5</definedName>
    <definedName name="irma">[16]기본Data!$G$5</definedName>
    <definedName name="ISH" localSheetId="5">#REF!</definedName>
    <definedName name="ISH" localSheetId="0">#REF!</definedName>
    <definedName name="ISH" localSheetId="6">#REF!</definedName>
    <definedName name="ISH" localSheetId="7">#REF!</definedName>
    <definedName name="ISH" localSheetId="1">#REF!</definedName>
    <definedName name="ISH">#REF!</definedName>
    <definedName name="Jan_coal" localSheetId="5">[4]Contract!$M$106</definedName>
    <definedName name="Jan_coal" localSheetId="6">[4]Contract!$M$106</definedName>
    <definedName name="Jan_coal" localSheetId="7">[4]Contract!$M$106</definedName>
    <definedName name="Jan_coal">[4]Contract!$M$106</definedName>
    <definedName name="Jan_Rom" localSheetId="5">[4]Contract!$D$35</definedName>
    <definedName name="Jan_Rom" localSheetId="6">[4]Contract!$D$35</definedName>
    <definedName name="Jan_Rom" localSheetId="7">[4]Contract!$D$35</definedName>
    <definedName name="Jan_Rom">[4]Contract!$D$35</definedName>
    <definedName name="Jan_TMCT" localSheetId="5">[4]Contract!$D$36</definedName>
    <definedName name="Jan_TMCT" localSheetId="6">[4]Contract!$D$36</definedName>
    <definedName name="Jan_TMCT" localSheetId="7">[4]Contract!$D$36</definedName>
    <definedName name="Jan_TMCT">[4]Contract!$D$36</definedName>
    <definedName name="Jan_Trans" localSheetId="5">[4]Contract!$E$176</definedName>
    <definedName name="Jan_Trans" localSheetId="6">[4]Contract!$E$176</definedName>
    <definedName name="Jan_Trans" localSheetId="7">[4]Contract!$E$176</definedName>
    <definedName name="Jan_Trans">[4]Contract!$E$176</definedName>
    <definedName name="January" localSheetId="5">#REF!</definedName>
    <definedName name="January" localSheetId="0">#REF!</definedName>
    <definedName name="January" localSheetId="6">#REF!</definedName>
    <definedName name="January" localSheetId="7">#REF!</definedName>
    <definedName name="January" localSheetId="1">#REF!</definedName>
    <definedName name="January">#REF!</definedName>
    <definedName name="jklajdlfnsfow" localSheetId="5">#REF!</definedName>
    <definedName name="jklajdlfnsfow" localSheetId="0">#REF!</definedName>
    <definedName name="jklajdlfnsfow" localSheetId="6">#REF!</definedName>
    <definedName name="jklajdlfnsfow" localSheetId="7">#REF!</definedName>
    <definedName name="jklajdlfnsfow" localSheetId="1">#REF!</definedName>
    <definedName name="jklajdlfnsfow">#REF!</definedName>
    <definedName name="JKT_SM">#N/A</definedName>
    <definedName name="JTI" localSheetId="5">#REF!</definedName>
    <definedName name="JTI" localSheetId="0">#REF!</definedName>
    <definedName name="JTI" localSheetId="6">#REF!</definedName>
    <definedName name="JTI" localSheetId="7">#REF!</definedName>
    <definedName name="JTI" localSheetId="1">#REF!</definedName>
    <definedName name="JTI">#REF!</definedName>
    <definedName name="Jul">#N/A</definedName>
    <definedName name="July" localSheetId="5">#REF!</definedName>
    <definedName name="July" localSheetId="0">#REF!</definedName>
    <definedName name="July" localSheetId="6">#REF!</definedName>
    <definedName name="July" localSheetId="7">#REF!</definedName>
    <definedName name="July" localSheetId="1">#REF!</definedName>
    <definedName name="July">#REF!</definedName>
    <definedName name="June" localSheetId="5">#REF!</definedName>
    <definedName name="June" localSheetId="0">#REF!</definedName>
    <definedName name="June" localSheetId="6">#REF!</definedName>
    <definedName name="June" localSheetId="7">#REF!</definedName>
    <definedName name="June" localSheetId="1">#REF!</definedName>
    <definedName name="June">#REF!</definedName>
    <definedName name="kldjflkaolo" localSheetId="5">#REF!</definedName>
    <definedName name="kldjflkaolo" localSheetId="0">#REF!</definedName>
    <definedName name="kldjflkaolo" localSheetId="6">#REF!</definedName>
    <definedName name="kldjflkaolo" localSheetId="7">#REF!</definedName>
    <definedName name="kldjflkaolo" localSheetId="1">#REF!</definedName>
    <definedName name="kldjflkaolo">#REF!</definedName>
    <definedName name="kpp" localSheetId="5">'[17]  '!$O$5</definedName>
    <definedName name="kpp" localSheetId="6">'[17]  '!$O$5</definedName>
    <definedName name="kpp" localSheetId="7">'[17]  '!$O$5</definedName>
    <definedName name="kpp">'[17]  '!$O$5</definedName>
    <definedName name="lfjskldfj" localSheetId="5">[9]Sheet1!#REF!</definedName>
    <definedName name="lfjskldfj" localSheetId="0">[9]Sheet1!#REF!</definedName>
    <definedName name="lfjskldfj" localSheetId="6">[9]Sheet1!#REF!</definedName>
    <definedName name="lfjskldfj" localSheetId="7">[9]Sheet1!#REF!</definedName>
    <definedName name="lfjskldfj" localSheetId="1">[9]Sheet1!#REF!</definedName>
    <definedName name="lfjskldfj">[9]Sheet1!#REF!</definedName>
    <definedName name="LIST1" localSheetId="5">#REF!</definedName>
    <definedName name="LIST1" localSheetId="0">#REF!</definedName>
    <definedName name="LIST1" localSheetId="6">#REF!</definedName>
    <definedName name="LIST1" localSheetId="7">#REF!</definedName>
    <definedName name="LIST1" localSheetId="1">#REF!</definedName>
    <definedName name="LIST1">#REF!</definedName>
    <definedName name="LIST2" localSheetId="5">'[6]D-04'!#REF!</definedName>
    <definedName name="LIST2" localSheetId="0">'[6]D-04'!#REF!</definedName>
    <definedName name="LIST2" localSheetId="6">'[6]D-04'!#REF!</definedName>
    <definedName name="LIST2" localSheetId="7">'[6]D-04'!#REF!</definedName>
    <definedName name="LIST2" localSheetId="1">'[6]D-04'!#REF!</definedName>
    <definedName name="LIST2">'[6]D-04'!#REF!</definedName>
    <definedName name="LIST3" localSheetId="5">'[6]D-04'!#REF!</definedName>
    <definedName name="LIST3" localSheetId="0">'[6]D-04'!#REF!</definedName>
    <definedName name="LIST3" localSheetId="6">'[6]D-04'!#REF!</definedName>
    <definedName name="LIST3" localSheetId="7">'[6]D-04'!#REF!</definedName>
    <definedName name="LIST3" localSheetId="1">'[6]D-04'!#REF!</definedName>
    <definedName name="LIST3">'[6]D-04'!#REF!</definedName>
    <definedName name="locate" localSheetId="0">[18]BOMAG!#REF!</definedName>
    <definedName name="locate" localSheetId="6">[18]BOMAG!#REF!</definedName>
    <definedName name="locate" localSheetId="7">[18]BOMAG!#REF!</definedName>
    <definedName name="locate" localSheetId="1">[18]BOMAG!#REF!</definedName>
    <definedName name="locate">[18]BOMAG!#REF!</definedName>
    <definedName name="Lokasi" localSheetId="5">#REF!</definedName>
    <definedName name="Lokasi" localSheetId="0">#REF!</definedName>
    <definedName name="Lokasi" localSheetId="6">#REF!</definedName>
    <definedName name="Lokasi" localSheetId="7">#REF!</definedName>
    <definedName name="Lokasi" localSheetId="1">#REF!</definedName>
    <definedName name="Lokasi">#REF!</definedName>
    <definedName name="machine_plan" localSheetId="5">MCOST2</definedName>
    <definedName name="machine_plan" localSheetId="8">MCOST2</definedName>
    <definedName name="machine_plan" localSheetId="0">MCOST2</definedName>
    <definedName name="machine_plan" localSheetId="6">[0]!MCOST2</definedName>
    <definedName name="machine_plan" localSheetId="7">MCOST2</definedName>
    <definedName name="machine_plan" localSheetId="4">MCOST2</definedName>
    <definedName name="machine_plan" localSheetId="3">MCOST2</definedName>
    <definedName name="machine_plan" localSheetId="1">MCOST2</definedName>
    <definedName name="machine_plan">MCOST2</definedName>
    <definedName name="machine_plan_abc" localSheetId="5">MCOST2</definedName>
    <definedName name="machine_plan_abc" localSheetId="8">MCOST2</definedName>
    <definedName name="machine_plan_abc" localSheetId="0">MCOST2</definedName>
    <definedName name="machine_plan_abc" localSheetId="6">[0]!MCOST2</definedName>
    <definedName name="machine_plan_abc" localSheetId="7">MCOST2</definedName>
    <definedName name="machine_plan_abc" localSheetId="4">MCOST2</definedName>
    <definedName name="machine_plan_abc" localSheetId="3">MCOST2</definedName>
    <definedName name="machine_plan_abc" localSheetId="1">MCOST2</definedName>
    <definedName name="machine_plan_abc">MCOST2</definedName>
    <definedName name="machine_plan_abm" localSheetId="5">MCOST2</definedName>
    <definedName name="machine_plan_abm" localSheetId="8">MCOST2</definedName>
    <definedName name="machine_plan_abm" localSheetId="0">MCOST2</definedName>
    <definedName name="machine_plan_abm" localSheetId="6">[0]!MCOST2</definedName>
    <definedName name="machine_plan_abm" localSheetId="7">MCOST2</definedName>
    <definedName name="machine_plan_abm" localSheetId="4">MCOST2</definedName>
    <definedName name="machine_plan_abm" localSheetId="3">MCOST2</definedName>
    <definedName name="machine_plan_abm" localSheetId="1">MCOST2</definedName>
    <definedName name="machine_plan_abm">MCOST2</definedName>
    <definedName name="mar_sales" localSheetId="5">#REF!</definedName>
    <definedName name="mar_sales" localSheetId="0">#REF!</definedName>
    <definedName name="mar_sales" localSheetId="6">#REF!</definedName>
    <definedName name="mar_sales" localSheetId="7">#REF!</definedName>
    <definedName name="mar_sales" localSheetId="1">#REF!</definedName>
    <definedName name="mar_sales">#REF!</definedName>
    <definedName name="March" localSheetId="5">#REF!</definedName>
    <definedName name="March" localSheetId="0">#REF!</definedName>
    <definedName name="March" localSheetId="6">#REF!</definedName>
    <definedName name="March" localSheetId="7">#REF!</definedName>
    <definedName name="March" localSheetId="1">#REF!</definedName>
    <definedName name="March">#REF!</definedName>
    <definedName name="May" localSheetId="5">#REF!</definedName>
    <definedName name="May" localSheetId="0">#REF!</definedName>
    <definedName name="May" localSheetId="6">#REF!</definedName>
    <definedName name="May" localSheetId="7">#REF!</definedName>
    <definedName name="May" localSheetId="1">#REF!</definedName>
    <definedName name="May">#REF!</definedName>
    <definedName name="Mayy">#N/A</definedName>
    <definedName name="MCOST1" localSheetId="5">#REF!</definedName>
    <definedName name="MCOST1" localSheetId="0">#REF!</definedName>
    <definedName name="MCOST1" localSheetId="6">#REF!</definedName>
    <definedName name="MCOST1" localSheetId="7">#REF!</definedName>
    <definedName name="MCOST1" localSheetId="1">#REF!</definedName>
    <definedName name="MCOST1">#REF!</definedName>
    <definedName name="MCOST2">[5]MCOST1!$A$64:$W$124</definedName>
    <definedName name="MGG" localSheetId="5">#REF!</definedName>
    <definedName name="MGG" localSheetId="0">#REF!</definedName>
    <definedName name="MGG" localSheetId="6">#REF!</definedName>
    <definedName name="MGG" localSheetId="7">#REF!</definedName>
    <definedName name="MGG" localSheetId="1">#REF!</definedName>
    <definedName name="MGG">#REF!</definedName>
    <definedName name="MHA_유가보상" localSheetId="5">#REF!</definedName>
    <definedName name="MHA_유가보상" localSheetId="0">#REF!</definedName>
    <definedName name="MHA_유가보상" localSheetId="6">#REF!</definedName>
    <definedName name="MHA_유가보상" localSheetId="7">#REF!</definedName>
    <definedName name="MHA_유가보상" localSheetId="1">#REF!</definedName>
    <definedName name="MHA_유가보상">#REF!</definedName>
    <definedName name="MMP" localSheetId="5">#REF!</definedName>
    <definedName name="MMP" localSheetId="0">#REF!</definedName>
    <definedName name="MMP" localSheetId="6">#REF!</definedName>
    <definedName name="MMP" localSheetId="7">#REF!</definedName>
    <definedName name="MMP" localSheetId="1">#REF!</definedName>
    <definedName name="MMP">#REF!</definedName>
    <definedName name="November" localSheetId="5">#REF!</definedName>
    <definedName name="November" localSheetId="0">#REF!</definedName>
    <definedName name="November" localSheetId="6">#REF!</definedName>
    <definedName name="November" localSheetId="7">#REF!</definedName>
    <definedName name="November" localSheetId="1">#REF!</definedName>
    <definedName name="November">#REF!</definedName>
    <definedName name="o_o_cost_a" localSheetId="5">MCOST2</definedName>
    <definedName name="o_o_cost_a" localSheetId="8">MCOST2</definedName>
    <definedName name="o_o_cost_a" localSheetId="0">MCOST2</definedName>
    <definedName name="o_o_cost_a" localSheetId="6">[0]!MCOST2</definedName>
    <definedName name="o_o_cost_a" localSheetId="7">MCOST2</definedName>
    <definedName name="o_o_cost_a" localSheetId="4">MCOST2</definedName>
    <definedName name="o_o_cost_a" localSheetId="3">MCOST2</definedName>
    <definedName name="o_o_cost_a" localSheetId="1">MCOST2</definedName>
    <definedName name="o_o_cost_a">MCOST2</definedName>
    <definedName name="October" localSheetId="5">#REF!</definedName>
    <definedName name="October" localSheetId="0">#REF!</definedName>
    <definedName name="October" localSheetId="6">#REF!</definedName>
    <definedName name="October" localSheetId="7">#REF!</definedName>
    <definedName name="October" localSheetId="1">#REF!</definedName>
    <definedName name="October">#REF!</definedName>
    <definedName name="Oil_P." localSheetId="5">#REF!</definedName>
    <definedName name="Oil_P." localSheetId="0">#REF!</definedName>
    <definedName name="Oil_P." localSheetId="6">#REF!</definedName>
    <definedName name="Oil_P." localSheetId="7">#REF!</definedName>
    <definedName name="Oil_P." localSheetId="1">#REF!</definedName>
    <definedName name="Oil_P.">#REF!</definedName>
    <definedName name="OTI" localSheetId="5">#REF!</definedName>
    <definedName name="OTI" localSheetId="0">#REF!</definedName>
    <definedName name="OTI" localSheetId="6">#REF!</definedName>
    <definedName name="OTI" localSheetId="7">#REF!</definedName>
    <definedName name="OTI" localSheetId="1">#REF!</definedName>
    <definedName name="OTI">#REF!</definedName>
    <definedName name="Pama_유가보상" localSheetId="5">#REF!</definedName>
    <definedName name="Pama_유가보상" localSheetId="0">#REF!</definedName>
    <definedName name="Pama_유가보상" localSheetId="6">#REF!</definedName>
    <definedName name="Pama_유가보상" localSheetId="7">#REF!</definedName>
    <definedName name="Pama_유가보상" localSheetId="1">#REF!</definedName>
    <definedName name="Pama_유가보상">#REF!</definedName>
    <definedName name="PPT" localSheetId="5">#REF!</definedName>
    <definedName name="PPT" localSheetId="0">#REF!</definedName>
    <definedName name="PPT" localSheetId="6">#REF!</definedName>
    <definedName name="PPT" localSheetId="7">#REF!</definedName>
    <definedName name="PPT" localSheetId="1">#REF!</definedName>
    <definedName name="PPT">#REF!</definedName>
    <definedName name="PRes" localSheetId="5">'[6]D-04'!#REF!</definedName>
    <definedName name="PRes" localSheetId="0">'[6]D-04'!#REF!</definedName>
    <definedName name="PRes" localSheetId="6">'[6]D-04'!#REF!</definedName>
    <definedName name="PRes" localSheetId="7">'[6]D-04'!#REF!</definedName>
    <definedName name="PRes" localSheetId="1">'[6]D-04'!#REF!</definedName>
    <definedName name="PRes">'[6]D-04'!#REF!</definedName>
    <definedName name="Price" localSheetId="5">#REF!</definedName>
    <definedName name="Price" localSheetId="0">#REF!</definedName>
    <definedName name="Price" localSheetId="6">#REF!</definedName>
    <definedName name="Price" localSheetId="7">#REF!</definedName>
    <definedName name="Price" localSheetId="1">#REF!</definedName>
    <definedName name="Price">#REF!</definedName>
    <definedName name="_xlnm.Print_Area" localSheetId="5">Bima!$A$1:$R$269</definedName>
    <definedName name="_xlnm.Print_Area" localSheetId="8">Buma!$A$1:$Q$114</definedName>
    <definedName name="_xlnm.Print_Area" localSheetId="0">Cover!$A$1:$J$33</definedName>
    <definedName name="_xlnm.Print_Area" localSheetId="6">DUM!$A$1:$Q$78</definedName>
    <definedName name="_xlnm.Print_Area" localSheetId="7">KMI!$A$1:$Q$73</definedName>
    <definedName name="_xlnm.Print_Area" localSheetId="2">Pama!$A$1:$Q$2028</definedName>
    <definedName name="_xlnm.Print_Area" localSheetId="4">Petrosea!$A$1:$T$566</definedName>
    <definedName name="_xlnm.Print_Area" localSheetId="3">Sims!$A$1:$Q$275</definedName>
    <definedName name="_xlnm.Print_Area" localSheetId="1">Summary!$A$1:$F$179</definedName>
    <definedName name="Print_Area_MI" localSheetId="5">#REF!</definedName>
    <definedName name="Print_Area_MI" localSheetId="0">#REF!</definedName>
    <definedName name="Print_Area_MI" localSheetId="6">#REF!</definedName>
    <definedName name="Print_Area_MI" localSheetId="7">#REF!</definedName>
    <definedName name="Print_Area_MI" localSheetId="1">#REF!</definedName>
    <definedName name="Print_Area_MI">#REF!</definedName>
    <definedName name="_xlnm.Print_Titles" localSheetId="5">Bima!$1:$7</definedName>
    <definedName name="_xlnm.Print_Titles" localSheetId="8">Buma!$1:$7</definedName>
    <definedName name="_xlnm.Print_Titles" localSheetId="6">DUM!$1:$7</definedName>
    <definedName name="_xlnm.Print_Titles" localSheetId="7">KMI!$1:$7</definedName>
    <definedName name="_xlnm.Print_Titles" localSheetId="2">Pama!$1:$7</definedName>
    <definedName name="_xlnm.Print_Titles" localSheetId="4">Petrosea!$1:$7</definedName>
    <definedName name="_xlnm.Print_Titles" localSheetId="3">Sims!$1:$7</definedName>
    <definedName name="_xlnm.Print_Titles" localSheetId="1">Summary!$1:$7</definedName>
    <definedName name="Psls" localSheetId="5" hidden="1">#REF!</definedName>
    <definedName name="Psls" localSheetId="0" hidden="1">#REF!</definedName>
    <definedName name="Psls" localSheetId="6" hidden="1">#REF!</definedName>
    <definedName name="Psls" localSheetId="7" hidden="1">#REF!</definedName>
    <definedName name="Psls" localSheetId="1" hidden="1">#REF!</definedName>
    <definedName name="Psls" hidden="1">#REF!</definedName>
    <definedName name="Q" localSheetId="5">MCOST2</definedName>
    <definedName name="Q" localSheetId="0">MCOST2</definedName>
    <definedName name="Q" localSheetId="6">[0]!MCOST2</definedName>
    <definedName name="Q" localSheetId="7">MCOST2</definedName>
    <definedName name="Q">MCOST2</definedName>
    <definedName name="QP" localSheetId="0">'[1]98인건비'!#REF!</definedName>
    <definedName name="QP" localSheetId="6">'[1]98인건비'!#REF!</definedName>
    <definedName name="QP" localSheetId="7">'[1]98인건비'!#REF!</definedName>
    <definedName name="QP" localSheetId="1">'[1]98인건비'!#REF!</definedName>
    <definedName name="QP">'[1]98인건비'!#REF!</definedName>
    <definedName name="QQ" localSheetId="0">'[1]98인건비'!#REF!</definedName>
    <definedName name="QQ" localSheetId="6">'[1]98인건비'!#REF!</definedName>
    <definedName name="QQ" localSheetId="7">'[1]98인건비'!#REF!</definedName>
    <definedName name="QQ">'[1]98인건비'!#REF!</definedName>
    <definedName name="qqq" localSheetId="5">[9]Sheet1!#REF!</definedName>
    <definedName name="qqq" localSheetId="0">[9]Sheet1!#REF!</definedName>
    <definedName name="qqq" localSheetId="6">[9]Sheet1!#REF!</definedName>
    <definedName name="qqq" localSheetId="7">[9]Sheet1!#REF!</definedName>
    <definedName name="qqq" localSheetId="1">[9]Sheet1!#REF!</definedName>
    <definedName name="qqq">[9]Sheet1!#REF!</definedName>
    <definedName name="qqqqqqqqq" localSheetId="5">#REF!</definedName>
    <definedName name="qqqqqqqqq" localSheetId="0">#REF!</definedName>
    <definedName name="qqqqqqqqq" localSheetId="6">#REF!</definedName>
    <definedName name="qqqqqqqqq" localSheetId="7">#REF!</definedName>
    <definedName name="qqqqqqqqq" localSheetId="1">#REF!</definedName>
    <definedName name="qqqqqqqqq">#REF!</definedName>
    <definedName name="qqqqqqqqqqqqq" localSheetId="5">#REF!</definedName>
    <definedName name="qqqqqqqqqqqqq" localSheetId="0">#REF!</definedName>
    <definedName name="qqqqqqqqqqqqq" localSheetId="6">#REF!</definedName>
    <definedName name="qqqqqqqqqqqqq" localSheetId="7">#REF!</definedName>
    <definedName name="qqqqqqqqqqqqq" localSheetId="1">#REF!</definedName>
    <definedName name="qqqqqqqqqqqqq">#REF!</definedName>
    <definedName name="radit" localSheetId="0">[1]계획서!#REF!</definedName>
    <definedName name="radit" localSheetId="6">[1]계획서!#REF!</definedName>
    <definedName name="radit" localSheetId="7">[1]계획서!#REF!</definedName>
    <definedName name="radit" localSheetId="1">[1]계획서!#REF!</definedName>
    <definedName name="radit">[1]계획서!#REF!</definedName>
    <definedName name="rainfall" localSheetId="5">#REF!</definedName>
    <definedName name="rainfall" localSheetId="0">#REF!</definedName>
    <definedName name="rainfall" localSheetId="6">#REF!</definedName>
    <definedName name="rainfall" localSheetId="7">#REF!</definedName>
    <definedName name="rainfall" localSheetId="1">#REF!</definedName>
    <definedName name="rainfall">#REF!</definedName>
    <definedName name="random" localSheetId="5">#REF!</definedName>
    <definedName name="random" localSheetId="0">#REF!</definedName>
    <definedName name="random" localSheetId="6">#REF!</definedName>
    <definedName name="random" localSheetId="7">#REF!</definedName>
    <definedName name="random" localSheetId="1">#REF!</definedName>
    <definedName name="random">#REF!</definedName>
    <definedName name="RATE" localSheetId="5">#REF!</definedName>
    <definedName name="RATE" localSheetId="0">#REF!</definedName>
    <definedName name="RATE" localSheetId="6">#REF!</definedName>
    <definedName name="RATE" localSheetId="7">#REF!</definedName>
    <definedName name="RATE" localSheetId="1">#REF!</definedName>
    <definedName name="RATE">#REF!</definedName>
    <definedName name="re" localSheetId="0">#REF!</definedName>
    <definedName name="re" localSheetId="6">#REF!</definedName>
    <definedName name="re" localSheetId="7">#REF!</definedName>
    <definedName name="re" localSheetId="1">#REF!</definedName>
    <definedName name="re">#REF!</definedName>
    <definedName name="Rent1" localSheetId="5">#REF!</definedName>
    <definedName name="Rent1" localSheetId="0">#REF!</definedName>
    <definedName name="Rent1" localSheetId="6">#REF!</definedName>
    <definedName name="Rent1" localSheetId="7">#REF!</definedName>
    <definedName name="Rent1" localSheetId="1">#REF!</definedName>
    <definedName name="Rent1">#REF!</definedName>
    <definedName name="revenue_total" localSheetId="5">#REF!</definedName>
    <definedName name="revenue_total" localSheetId="0">#REF!</definedName>
    <definedName name="revenue_total" localSheetId="6">#REF!</definedName>
    <definedName name="revenue_total" localSheetId="7">#REF!</definedName>
    <definedName name="revenue_total" localSheetId="1">#REF!</definedName>
    <definedName name="revenue_total">#REF!</definedName>
    <definedName name="rmks" localSheetId="5">INDEX([10]Des!$AH$4:$AH$25,MATCH([10]Des!XFA1,[10]Des!$AG$4:$AG$25,0))</definedName>
    <definedName name="rmks" localSheetId="6">INDEX([10]Des!$AH$4:$AH$25,MATCH([10]Des!XFA1,[10]Des!$AG$4:$AG$25,0))</definedName>
    <definedName name="rmks" localSheetId="7">INDEX([10]Des!$AH$4:$AH$25,MATCH([10]Des!XFA1,[10]Des!$AG$4:$AG$25,0))</definedName>
    <definedName name="rmks">INDEX([10]Des!$AH$4:$AH$25,MATCH([10]Des!XFA1,[10]Des!$AG$4:$AG$25,0))</definedName>
    <definedName name="roto_north_2도급" localSheetId="5">#REF!</definedName>
    <definedName name="roto_north_2도급" localSheetId="0">#REF!</definedName>
    <definedName name="roto_north_2도급" localSheetId="6">#REF!</definedName>
    <definedName name="roto_north_2도급" localSheetId="7">#REF!</definedName>
    <definedName name="roto_north_2도급" localSheetId="1">#REF!</definedName>
    <definedName name="roto_north_2도급">#REF!</definedName>
    <definedName name="roto_north_thiess" localSheetId="5">#REF!</definedName>
    <definedName name="roto_north_thiess" localSheetId="0">#REF!</definedName>
    <definedName name="roto_north_thiess" localSheetId="6">#REF!</definedName>
    <definedName name="roto_north_thiess" localSheetId="7">#REF!</definedName>
    <definedName name="roto_north_thiess" localSheetId="1">#REF!</definedName>
    <definedName name="roto_north_thiess">#REF!</definedName>
    <definedName name="s">#N/A</definedName>
    <definedName name="sai" localSheetId="5">SUMPRODUCT(([10]Nov!A$3=[10]Nov!$E$3:$E$282)*([10]Nov!$X1=[10]Nov!$R$3:$R$282),[10]Nov!$K$3:$K$282)</definedName>
    <definedName name="sai" localSheetId="6">SUMPRODUCT(([10]Nov!A$3=[10]Nov!$E$3:$E$282)*([10]Nov!$X1=[10]Nov!$R$3:$R$282),[10]Nov!$K$3:$K$282)</definedName>
    <definedName name="sai" localSheetId="7">SUMPRODUCT(([10]Nov!A$3=[10]Nov!$E$3:$E$282)*([10]Nov!$X1=[10]Nov!$R$3:$R$282),[10]Nov!$K$3:$K$282)</definedName>
    <definedName name="sai">SUMPRODUCT(([10]Nov!A$3=[10]Nov!$E$3:$E$282)*([10]Nov!$X1=[10]Nov!$R$3:$R$282),[10]Nov!$K$3:$K$282)</definedName>
    <definedName name="salah">#N/A</definedName>
    <definedName name="salah2">#N/A</definedName>
    <definedName name="salah3">#N/A</definedName>
    <definedName name="sale_abroad" localSheetId="5">#REF!</definedName>
    <definedName name="sale_abroad" localSheetId="0">#REF!</definedName>
    <definedName name="sale_abroad" localSheetId="6">#REF!</definedName>
    <definedName name="sale_abroad" localSheetId="7">#REF!</definedName>
    <definedName name="sale_abroad" localSheetId="1">#REF!</definedName>
    <definedName name="sale_abroad">#REF!</definedName>
    <definedName name="sale_kepco_high" localSheetId="5">#REF!</definedName>
    <definedName name="sale_kepco_high" localSheetId="0">#REF!</definedName>
    <definedName name="sale_kepco_high" localSheetId="6">#REF!</definedName>
    <definedName name="sale_kepco_high" localSheetId="7">#REF!</definedName>
    <definedName name="sale_kepco_high" localSheetId="1">#REF!</definedName>
    <definedName name="sale_kepco_high">#REF!</definedName>
    <definedName name="sale_kepco_low" localSheetId="5">#REF!</definedName>
    <definedName name="sale_kepco_low" localSheetId="0">#REF!</definedName>
    <definedName name="sale_kepco_low" localSheetId="6">#REF!</definedName>
    <definedName name="sale_kepco_low" localSheetId="7">#REF!</definedName>
    <definedName name="sale_kepco_low" localSheetId="1">#REF!</definedName>
    <definedName name="sale_kepco_low">#REF!</definedName>
    <definedName name="sale_kepco_total" localSheetId="5">#REF!</definedName>
    <definedName name="sale_kepco_total" localSheetId="0">#REF!</definedName>
    <definedName name="sale_kepco_total" localSheetId="6">#REF!</definedName>
    <definedName name="sale_kepco_total" localSheetId="7">#REF!</definedName>
    <definedName name="sale_kepco_total" localSheetId="1">#REF!</definedName>
    <definedName name="sale_kepco_total">#REF!</definedName>
    <definedName name="sale_total" localSheetId="5">#REF!</definedName>
    <definedName name="sale_total" localSheetId="0">#REF!</definedName>
    <definedName name="sale_total" localSheetId="6">#REF!</definedName>
    <definedName name="sale_total" localSheetId="7">#REF!</definedName>
    <definedName name="sale_total" localSheetId="1">#REF!</definedName>
    <definedName name="sale_total">#REF!</definedName>
    <definedName name="Sales_2" localSheetId="5">#REF!</definedName>
    <definedName name="Sales_2" localSheetId="0">#REF!</definedName>
    <definedName name="Sales_2" localSheetId="6">#REF!</definedName>
    <definedName name="Sales_2" localSheetId="7">#REF!</definedName>
    <definedName name="Sales_2" localSheetId="1">#REF!</definedName>
    <definedName name="Sales_2">#REF!</definedName>
    <definedName name="Sales_Total" localSheetId="5">#REF!</definedName>
    <definedName name="Sales_Total" localSheetId="0">#REF!</definedName>
    <definedName name="Sales_Total" localSheetId="6">#REF!</definedName>
    <definedName name="Sales_Total" localSheetId="7">#REF!</definedName>
    <definedName name="Sales_Total" localSheetId="1">#REF!</definedName>
    <definedName name="Sales_Total">#REF!</definedName>
    <definedName name="Sam_Depreciation" localSheetId="5">#REF!</definedName>
    <definedName name="Sam_Depreciation" localSheetId="0">#REF!</definedName>
    <definedName name="Sam_Depreciation" localSheetId="6">#REF!</definedName>
    <definedName name="Sam_Depreciation" localSheetId="7">#REF!</definedName>
    <definedName name="Sam_Depreciation" localSheetId="1">#REF!</definedName>
    <definedName name="Sam_Depreciation">#REF!</definedName>
    <definedName name="September" localSheetId="5">#REF!</definedName>
    <definedName name="September" localSheetId="0">#REF!</definedName>
    <definedName name="September" localSheetId="6">#REF!</definedName>
    <definedName name="September" localSheetId="7">#REF!</definedName>
    <definedName name="September" localSheetId="1">#REF!</definedName>
    <definedName name="September">#REF!</definedName>
    <definedName name="sfwefq" localSheetId="5">#REF!</definedName>
    <definedName name="sfwefq" localSheetId="0">#REF!</definedName>
    <definedName name="sfwefq" localSheetId="6">#REF!</definedName>
    <definedName name="sfwefq" localSheetId="7">#REF!</definedName>
    <definedName name="sfwefq" localSheetId="1">#REF!</definedName>
    <definedName name="sfwefq">#REF!</definedName>
    <definedName name="ship2" localSheetId="5">#REF!</definedName>
    <definedName name="ship2" localSheetId="0">#REF!</definedName>
    <definedName name="ship2" localSheetId="6">#REF!</definedName>
    <definedName name="ship2" localSheetId="7">#REF!</definedName>
    <definedName name="ship2" localSheetId="1">#REF!</definedName>
    <definedName name="ship2">#REF!</definedName>
    <definedName name="Shiping" localSheetId="5">#REF!</definedName>
    <definedName name="Shiping" localSheetId="0">#REF!</definedName>
    <definedName name="Shiping" localSheetId="6">#REF!</definedName>
    <definedName name="Shiping" localSheetId="7">#REF!</definedName>
    <definedName name="Shiping" localSheetId="1">#REF!</definedName>
    <definedName name="Shiping">#REF!</definedName>
    <definedName name="Shiping1" localSheetId="5">#REF!</definedName>
    <definedName name="Shiping1" localSheetId="0">#REF!</definedName>
    <definedName name="Shiping1" localSheetId="6">#REF!</definedName>
    <definedName name="Shiping1" localSheetId="7">#REF!</definedName>
    <definedName name="Shiping1" localSheetId="1">#REF!</definedName>
    <definedName name="Shiping1">#REF!</definedName>
    <definedName name="shwer">#N/A</definedName>
    <definedName name="SIM_Depreciation" localSheetId="5">#REF!</definedName>
    <definedName name="SIM_Depreciation" localSheetId="0">#REF!</definedName>
    <definedName name="SIM_Depreciation" localSheetId="6">#REF!</definedName>
    <definedName name="SIM_Depreciation" localSheetId="7">#REF!</definedName>
    <definedName name="SIM_Depreciation" localSheetId="1">#REF!</definedName>
    <definedName name="SIM_Depreciation">#REF!</definedName>
    <definedName name="SIMS_유가보상" localSheetId="5">#REF!</definedName>
    <definedName name="SIMS_유가보상" localSheetId="0">#REF!</definedName>
    <definedName name="SIMS_유가보상" localSheetId="6">#REF!</definedName>
    <definedName name="SIMS_유가보상" localSheetId="7">#REF!</definedName>
    <definedName name="SIMS_유가보상" localSheetId="1">#REF!</definedName>
    <definedName name="SIMS_유가보상">#REF!</definedName>
    <definedName name="sm">#N/A</definedName>
    <definedName name="SMJ_유가보상" localSheetId="5">#REF!</definedName>
    <definedName name="SMJ_유가보상" localSheetId="0">#REF!</definedName>
    <definedName name="SMJ_유가보상" localSheetId="6">#REF!</definedName>
    <definedName name="SMJ_유가보상" localSheetId="7">#REF!</definedName>
    <definedName name="SMJ_유가보상" localSheetId="1">#REF!</definedName>
    <definedName name="SMJ_유가보상">#REF!</definedName>
    <definedName name="SMJCoal_유가보상" localSheetId="5">#REF!</definedName>
    <definedName name="SMJCoal_유가보상" localSheetId="0">#REF!</definedName>
    <definedName name="SMJCoal_유가보상" localSheetId="6">#REF!</definedName>
    <definedName name="SMJCoal_유가보상" localSheetId="7">#REF!</definedName>
    <definedName name="SMJCoal_유가보상" localSheetId="1">#REF!</definedName>
    <definedName name="SMJCoal_유가보상">#REF!</definedName>
    <definedName name="solar_2_3" localSheetId="5">MCOST2</definedName>
    <definedName name="solar_2_3" localSheetId="8">MCOST2</definedName>
    <definedName name="solar_2_3" localSheetId="0">MCOST2</definedName>
    <definedName name="solar_2_3" localSheetId="6">[0]!MCOST2</definedName>
    <definedName name="solar_2_3" localSheetId="7">MCOST2</definedName>
    <definedName name="solar_2_3" localSheetId="4">MCOST2</definedName>
    <definedName name="solar_2_3" localSheetId="3">MCOST2</definedName>
    <definedName name="solar_2_3" localSheetId="1">MCOST2</definedName>
    <definedName name="solar_2_3">MCOST2</definedName>
    <definedName name="SR_standard_north" localSheetId="5">#REF!</definedName>
    <definedName name="SR_standard_north" localSheetId="0">#REF!</definedName>
    <definedName name="SR_standard_north" localSheetId="6">#REF!</definedName>
    <definedName name="SR_standard_north" localSheetId="7">#REF!</definedName>
    <definedName name="SR_standard_north" localSheetId="1">#REF!</definedName>
    <definedName name="SR_standard_north">#REF!</definedName>
    <definedName name="ss">#N/A</definedName>
    <definedName name="ssss">#N/A</definedName>
    <definedName name="ssssss" localSheetId="5">#REF!</definedName>
    <definedName name="ssssss" localSheetId="0">#REF!</definedName>
    <definedName name="ssssss" localSheetId="6">#REF!</definedName>
    <definedName name="ssssss" localSheetId="7">#REF!</definedName>
    <definedName name="ssssss" localSheetId="1">#REF!</definedName>
    <definedName name="ssssss">#REF!</definedName>
    <definedName name="sssssss">#N/A</definedName>
    <definedName name="T" localSheetId="5">#REF!</definedName>
    <definedName name="T" localSheetId="0">#REF!</definedName>
    <definedName name="T" localSheetId="6">#REF!</definedName>
    <definedName name="T" localSheetId="7">#REF!</definedName>
    <definedName name="T" localSheetId="1">#REF!</definedName>
    <definedName name="T">#REF!</definedName>
    <definedName name="test">#N/A</definedName>
    <definedName name="test1">#N/A</definedName>
    <definedName name="test10">#N/A</definedName>
    <definedName name="test3">#N/A</definedName>
    <definedName name="testy">#N/A</definedName>
    <definedName name="Thiess_유가보상" localSheetId="5">#REF!</definedName>
    <definedName name="Thiess_유가보상" localSheetId="0">#REF!</definedName>
    <definedName name="Thiess_유가보상" localSheetId="6">#REF!</definedName>
    <definedName name="Thiess_유가보상" localSheetId="7">#REF!</definedName>
    <definedName name="Thiess_유가보상" localSheetId="1">#REF!</definedName>
    <definedName name="Thiess_유가보상">#REF!</definedName>
    <definedName name="time" localSheetId="0">#REF!</definedName>
    <definedName name="time" localSheetId="6">#REF!</definedName>
    <definedName name="time" localSheetId="7">#REF!</definedName>
    <definedName name="time" localSheetId="1">#REF!</definedName>
    <definedName name="time">#REF!</definedName>
    <definedName name="Trans_Total" localSheetId="5">[19]Contract!$E$176</definedName>
    <definedName name="Trans_Total" localSheetId="6">[19]Contract!$E$176</definedName>
    <definedName name="Trans_Total" localSheetId="7">[19]Contract!$E$176</definedName>
    <definedName name="Trans_Total">[19]Contract!$E$176</definedName>
    <definedName name="transport_samindo" localSheetId="5">#REF!</definedName>
    <definedName name="transport_samindo" localSheetId="0">#REF!</definedName>
    <definedName name="transport_samindo" localSheetId="6">#REF!</definedName>
    <definedName name="transport_samindo" localSheetId="7">#REF!</definedName>
    <definedName name="transport_samindo" localSheetId="1">#REF!</definedName>
    <definedName name="transport_samindo">#REF!</definedName>
    <definedName name="transport_thiess" localSheetId="5">#REF!</definedName>
    <definedName name="transport_thiess" localSheetId="0">#REF!</definedName>
    <definedName name="transport_thiess" localSheetId="6">#REF!</definedName>
    <definedName name="transport_thiess" localSheetId="7">#REF!</definedName>
    <definedName name="transport_thiess" localSheetId="1">#REF!</definedName>
    <definedName name="transport_thiess">#REF!</definedName>
    <definedName name="transport_total" localSheetId="5">#REF!</definedName>
    <definedName name="transport_total" localSheetId="0">#REF!</definedName>
    <definedName name="transport_total" localSheetId="6">#REF!</definedName>
    <definedName name="transport_total" localSheetId="7">#REF!</definedName>
    <definedName name="transport_total" localSheetId="1">#REF!</definedName>
    <definedName name="transport_total">#REF!</definedName>
    <definedName name="Vehicle" localSheetId="5">#REF!</definedName>
    <definedName name="Vehicle" localSheetId="0">#REF!</definedName>
    <definedName name="Vehicle" localSheetId="6">#REF!</definedName>
    <definedName name="Vehicle" localSheetId="7">#REF!</definedName>
    <definedName name="Vehicle" localSheetId="1">#REF!</definedName>
    <definedName name="Vehicle">#REF!</definedName>
    <definedName name="W_Day" localSheetId="5">#REF!</definedName>
    <definedName name="W_Day" localSheetId="0">#REF!</definedName>
    <definedName name="W_Day" localSheetId="6">#REF!</definedName>
    <definedName name="W_Day" localSheetId="7">#REF!</definedName>
    <definedName name="W_Day" localSheetId="1">#REF!</definedName>
    <definedName name="W_Day">#REF!</definedName>
    <definedName name="wage" localSheetId="5">[20]인건비!$G$3</definedName>
    <definedName name="wage" localSheetId="6">[20]인건비!$G$3</definedName>
    <definedName name="wage" localSheetId="7">[20]인건비!$G$3</definedName>
    <definedName name="wage">[20]인건비!$G$3</definedName>
    <definedName name="waste_north" localSheetId="5">#REF!</definedName>
    <definedName name="waste_north" localSheetId="0">#REF!</definedName>
    <definedName name="waste_north" localSheetId="6">#REF!</definedName>
    <definedName name="waste_north" localSheetId="7">#REF!</definedName>
    <definedName name="waste_north" localSheetId="1">#REF!</definedName>
    <definedName name="waste_north">#REF!</definedName>
    <definedName name="waste_north_contractor" localSheetId="5">#REF!</definedName>
    <definedName name="waste_north_contractor" localSheetId="0">#REF!</definedName>
    <definedName name="waste_north_contractor" localSheetId="6">#REF!</definedName>
    <definedName name="waste_north_contractor" localSheetId="7">#REF!</definedName>
    <definedName name="waste_north_contractor" localSheetId="1">#REF!</definedName>
    <definedName name="waste_north_contractor">#REF!</definedName>
    <definedName name="waste_north_kideco" localSheetId="5">#REF!</definedName>
    <definedName name="waste_north_kideco" localSheetId="0">#REF!</definedName>
    <definedName name="waste_north_kideco" localSheetId="6">#REF!</definedName>
    <definedName name="waste_north_kideco" localSheetId="7">#REF!</definedName>
    <definedName name="waste_north_kideco" localSheetId="1">#REF!</definedName>
    <definedName name="waste_north_kideco">#REF!</definedName>
    <definedName name="waste_south" localSheetId="5">#REF!</definedName>
    <definedName name="waste_south" localSheetId="0">#REF!</definedName>
    <definedName name="waste_south" localSheetId="6">#REF!</definedName>
    <definedName name="waste_south" localSheetId="7">#REF!</definedName>
    <definedName name="waste_south" localSheetId="1">#REF!</definedName>
    <definedName name="waste_south">#REF!</definedName>
    <definedName name="waste_total" localSheetId="5">#REF!</definedName>
    <definedName name="waste_total" localSheetId="0">#REF!</definedName>
    <definedName name="waste_total" localSheetId="6">#REF!</definedName>
    <definedName name="waste_total" localSheetId="7">#REF!</definedName>
    <definedName name="waste_total" localSheetId="1">#REF!</definedName>
    <definedName name="waste_total">#REF!</definedName>
    <definedName name="waste_total_contractor" localSheetId="5">#REF!</definedName>
    <definedName name="waste_total_contractor" localSheetId="0">#REF!</definedName>
    <definedName name="waste_total_contractor" localSheetId="6">#REF!</definedName>
    <definedName name="waste_total_contractor" localSheetId="7">#REF!</definedName>
    <definedName name="waste_total_contractor" localSheetId="1">#REF!</definedName>
    <definedName name="waste_total_contractor">#REF!</definedName>
    <definedName name="waste_total_kideco" localSheetId="5">#REF!</definedName>
    <definedName name="waste_total_kideco" localSheetId="0">#REF!</definedName>
    <definedName name="waste_total_kideco" localSheetId="6">#REF!</definedName>
    <definedName name="waste_total_kideco" localSheetId="7">#REF!</definedName>
    <definedName name="waste_total_kideco" localSheetId="1">#REF!</definedName>
    <definedName name="waste_total_kideco">#REF!</definedName>
    <definedName name="workingday_thismonth" localSheetId="5">#REF!</definedName>
    <definedName name="workingday_thismonth" localSheetId="0">#REF!</definedName>
    <definedName name="workingday_thismonth" localSheetId="6">#REF!</definedName>
    <definedName name="workingday_thismonth" localSheetId="7">#REF!</definedName>
    <definedName name="workingday_thismonth" localSheetId="1">#REF!</definedName>
    <definedName name="workingday_thismonth">#REF!</definedName>
    <definedName name="workingday_year" localSheetId="5">#REF!</definedName>
    <definedName name="workingday_year" localSheetId="0">#REF!</definedName>
    <definedName name="workingday_year" localSheetId="6">#REF!</definedName>
    <definedName name="workingday_year" localSheetId="7">#REF!</definedName>
    <definedName name="workingday_year" localSheetId="1">#REF!</definedName>
    <definedName name="workingday_year">#REF!</definedName>
    <definedName name="wrgwfwefewfw" localSheetId="5">#REF!</definedName>
    <definedName name="wrgwfwefewfw" localSheetId="0">#REF!</definedName>
    <definedName name="wrgwfwefewfw" localSheetId="6">#REF!</definedName>
    <definedName name="wrgwfwefewfw" localSheetId="7">#REF!</definedName>
    <definedName name="wrgwfwefewfw" localSheetId="1">#REF!</definedName>
    <definedName name="wrgwfwefewfw">#REF!</definedName>
    <definedName name="wwwqqqq" localSheetId="5">#REF!</definedName>
    <definedName name="wwwqqqq" localSheetId="0">#REF!</definedName>
    <definedName name="wwwqqqq" localSheetId="6">#REF!</definedName>
    <definedName name="wwwqqqq" localSheetId="7">#REF!</definedName>
    <definedName name="wwwqqqq" localSheetId="1">#REF!</definedName>
    <definedName name="wwwqqqq">#REF!</definedName>
    <definedName name="wwwwwww" localSheetId="5">#REF!</definedName>
    <definedName name="wwwwwww" localSheetId="0">#REF!</definedName>
    <definedName name="wwwwwww" localSheetId="6">#REF!</definedName>
    <definedName name="wwwwwww" localSheetId="7">#REF!</definedName>
    <definedName name="wwwwwww" localSheetId="1">#REF!</definedName>
    <definedName name="wwwwwww">#REF!</definedName>
    <definedName name="Y" localSheetId="5">#REF!</definedName>
    <definedName name="Y" localSheetId="0">#REF!</definedName>
    <definedName name="Y" localSheetId="6">#REF!</definedName>
    <definedName name="Y" localSheetId="7">#REF!</definedName>
    <definedName name="Y" localSheetId="1">#REF!</definedName>
    <definedName name="Y">#REF!</definedName>
    <definedName name="길" localSheetId="5">[0]!MCOST2</definedName>
    <definedName name="길" localSheetId="8">[0]!MCOST2</definedName>
    <definedName name="길" localSheetId="0">[0]!MCOST2</definedName>
    <definedName name="길" localSheetId="6">[0]!MCOST2</definedName>
    <definedName name="길" localSheetId="7">[0]!MCOST2</definedName>
    <definedName name="길" localSheetId="4">[0]!MCOST2</definedName>
    <definedName name="길" localSheetId="3">[0]!MCOST2</definedName>
    <definedName name="길" localSheetId="1">[0]!MCOST2</definedName>
    <definedName name="길">[0]!MCOST2</definedName>
    <definedName name="남동_700" localSheetId="5">#REF!</definedName>
    <definedName name="남동_700" localSheetId="0">#REF!</definedName>
    <definedName name="남동_700" localSheetId="6">#REF!</definedName>
    <definedName name="남동_700" localSheetId="7">#REF!</definedName>
    <definedName name="남동_700" localSheetId="1">#REF!</definedName>
    <definedName name="남동_700">#REF!</definedName>
    <definedName name="노무비계" localSheetId="5">#REF!</definedName>
    <definedName name="노무비계" localSheetId="0">#REF!</definedName>
    <definedName name="노무비계" localSheetId="6">#REF!</definedName>
    <definedName name="노무비계" localSheetId="7">#REF!</definedName>
    <definedName name="노무비계" localSheetId="1">#REF!</definedName>
    <definedName name="노무비계">#REF!</definedName>
    <definedName name="대해_유가보상" localSheetId="5">#REF!</definedName>
    <definedName name="대해_유가보상" localSheetId="0">#REF!</definedName>
    <definedName name="대해_유가보상" localSheetId="6">#REF!</definedName>
    <definedName name="대해_유가보상" localSheetId="7">#REF!</definedName>
    <definedName name="대해_유가보상" localSheetId="1">#REF!</definedName>
    <definedName name="대해_유가보상">#REF!</definedName>
    <definedName name="삼인도_유가보상" localSheetId="5">#REF!</definedName>
    <definedName name="삼인도_유가보상" localSheetId="0">#REF!</definedName>
    <definedName name="삼인도_유가보상" localSheetId="6">#REF!</definedName>
    <definedName name="삼인도_유가보상" localSheetId="7">#REF!</definedName>
    <definedName name="삼인도_유가보상" localSheetId="1">#REF!</definedName>
    <definedName name="삼인도_유가보상">#REF!</definedName>
    <definedName name="ㅇㄷ" localSheetId="5">#REF!</definedName>
    <definedName name="ㅇㄷ" localSheetId="0">#REF!</definedName>
    <definedName name="ㅇㄷ" localSheetId="6">#REF!</definedName>
    <definedName name="ㅇㄷ" localSheetId="7">#REF!</definedName>
    <definedName name="ㅇㄷ" localSheetId="1">#REF!</definedName>
    <definedName name="ㅇㄷ">#REF!</definedName>
    <definedName name="요약1" localSheetId="5">#REF!</definedName>
    <definedName name="요약1" localSheetId="0">#REF!</definedName>
    <definedName name="요약1" localSheetId="6">#REF!</definedName>
    <definedName name="요약1" localSheetId="7">#REF!</definedName>
    <definedName name="요약1" localSheetId="1">#REF!</definedName>
    <definedName name="요약1">#REF!</definedName>
    <definedName name="원탄환산BCM" localSheetId="5">#REF!</definedName>
    <definedName name="원탄환산BCM" localSheetId="0">#REF!</definedName>
    <definedName name="원탄환산BCM" localSheetId="6">#REF!</definedName>
    <definedName name="원탄환산BCM" localSheetId="7">#REF!</definedName>
    <definedName name="원탄환산BCM" localSheetId="1">#REF!</definedName>
    <definedName name="원탄환산BCM">#REF!</definedName>
    <definedName name="일반경비계" localSheetId="5">#REF!</definedName>
    <definedName name="일반경비계" localSheetId="0">#REF!</definedName>
    <definedName name="일반경비계" localSheetId="6">#REF!</definedName>
    <definedName name="일반경비계" localSheetId="7">#REF!</definedName>
    <definedName name="일반경비계" localSheetId="1">#REF!</definedName>
    <definedName name="일반경비계">#REF!</definedName>
    <definedName name="잉?" localSheetId="0">#REF!</definedName>
    <definedName name="잉?" localSheetId="6">#REF!</definedName>
    <definedName name="잉?" localSheetId="7">#REF!</definedName>
    <definedName name="잉?" localSheetId="1">#REF!</definedName>
    <definedName name="잉?">#REF!</definedName>
    <definedName name="잉2" localSheetId="0">#REF!</definedName>
    <definedName name="잉2" localSheetId="6">#REF!</definedName>
    <definedName name="잉2" localSheetId="7">#REF!</definedName>
    <definedName name="잉2" localSheetId="1">#REF!</definedName>
    <definedName name="잉2">#REF!</definedName>
    <definedName name="작업일수비" localSheetId="5">#REF!</definedName>
    <definedName name="작업일수비" localSheetId="0">#REF!</definedName>
    <definedName name="작업일수비" localSheetId="6">#REF!</definedName>
    <definedName name="작업일수비" localSheetId="7">#REF!</definedName>
    <definedName name="작업일수비" localSheetId="1">#REF!</definedName>
    <definedName name="작업일수비">#REF!</definedName>
    <definedName name="재료비계" localSheetId="5">#REF!</definedName>
    <definedName name="재료비계" localSheetId="0">#REF!</definedName>
    <definedName name="재료비계" localSheetId="6">#REF!</definedName>
    <definedName name="재료비계" localSheetId="7">#REF!</definedName>
    <definedName name="재료비계" localSheetId="1">#REF!</definedName>
    <definedName name="재료비계">#REF!</definedName>
    <definedName name="트라_유가보상" localSheetId="5">#REF!</definedName>
    <definedName name="트라_유가보상" localSheetId="0">#REF!</definedName>
    <definedName name="트라_유가보상" localSheetId="6">#REF!</definedName>
    <definedName name="트라_유가보상" localSheetId="7">#REF!</definedName>
    <definedName name="트라_유가보상" localSheetId="1">#REF!</definedName>
    <definedName name="트라_유가보상">#REF!</definedName>
    <definedName name="폐석환산BCM" localSheetId="5">#REF!</definedName>
    <definedName name="폐석환산BCM" localSheetId="0">#REF!</definedName>
    <definedName name="폐석환산BCM" localSheetId="6">#REF!</definedName>
    <definedName name="폐석환산BCM" localSheetId="7">#REF!</definedName>
    <definedName name="폐석환산BCM" localSheetId="1">#REF!</definedName>
    <definedName name="폐석환산BCM">#REF!</definedName>
    <definedName name="환율" localSheetId="5">[21]JKT경비!#REF!</definedName>
    <definedName name="환율" localSheetId="0">[21]JKT경비!#REF!</definedName>
    <definedName name="환율" localSheetId="6">[21]JKT경비!#REF!</definedName>
    <definedName name="환율" localSheetId="7">[21]JKT경비!#REF!</definedName>
    <definedName name="환율" localSheetId="1">[21]JKT경비!#REF!</definedName>
    <definedName name="환율">[21]JKT경비!#REF!</definedName>
    <definedName name="ㅐㅐ" localSheetId="5">[12]임차도급!#REF!</definedName>
    <definedName name="ㅐㅐ" localSheetId="0">[12]임차도급!#REF!</definedName>
    <definedName name="ㅐㅐ" localSheetId="6">[12]임차도급!#REF!</definedName>
    <definedName name="ㅐㅐ" localSheetId="7">[12]임차도급!#REF!</definedName>
    <definedName name="ㅐㅐ" localSheetId="1">[12]임차도급!#REF!</definedName>
    <definedName name="ㅐㅐ">[12]임차도급!#REF!</definedName>
    <definedName name="ㅐㅐㅐ" localSheetId="5">[7]기본Data!$G$5</definedName>
    <definedName name="ㅐㅐㅐ" localSheetId="6">[7]기본Data!$G$5</definedName>
    <definedName name="ㅐㅐㅐ" localSheetId="7">[7]기본Data!$G$5</definedName>
    <definedName name="ㅐㅐㅐ">[7]기본Data!$G$5</definedName>
    <definedName name="ㅐㅐㅐㅐㅐ" localSheetId="5">[4]Contract!$D$35</definedName>
    <definedName name="ㅐㅐㅐㅐㅐ" localSheetId="6">[4]Contract!$D$35</definedName>
    <definedName name="ㅐㅐㅐㅐㅐ" localSheetId="7">[4]Contract!$D$35</definedName>
    <definedName name="ㅐㅐㅐㅐㅐ">[4]Contract!$D$35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9" i="17" l="1"/>
  <c r="R268" i="17"/>
  <c r="R267" i="17"/>
  <c r="R266" i="17"/>
  <c r="R265" i="17"/>
  <c r="R264" i="17"/>
  <c r="R263" i="17"/>
  <c r="R262" i="17"/>
  <c r="R261" i="17"/>
  <c r="R260" i="17"/>
  <c r="R259" i="17"/>
  <c r="R258" i="17"/>
  <c r="R257" i="17"/>
  <c r="R256" i="17"/>
  <c r="R255" i="17"/>
  <c r="R254" i="17"/>
  <c r="R253" i="17"/>
  <c r="R252" i="17"/>
  <c r="R251" i="17"/>
  <c r="R250" i="17"/>
  <c r="R249" i="17"/>
  <c r="R248" i="17"/>
  <c r="R247" i="17"/>
  <c r="R246" i="17"/>
  <c r="R245" i="17"/>
  <c r="R244" i="17"/>
  <c r="R243" i="17"/>
  <c r="R242" i="17"/>
  <c r="R241" i="17"/>
  <c r="R240" i="17"/>
  <c r="R239" i="17"/>
  <c r="R238" i="17"/>
  <c r="R237" i="17"/>
  <c r="R236" i="17"/>
  <c r="R235" i="17"/>
  <c r="R234" i="17"/>
  <c r="R233" i="17"/>
  <c r="R232" i="17"/>
  <c r="R231" i="17"/>
  <c r="R230" i="17"/>
  <c r="R229" i="17"/>
  <c r="R228" i="17"/>
  <c r="R227" i="17"/>
  <c r="R226" i="17"/>
  <c r="R225" i="17"/>
  <c r="R224" i="17"/>
  <c r="R223" i="17"/>
  <c r="R222" i="17"/>
  <c r="R221" i="17"/>
  <c r="R220" i="17"/>
  <c r="R219" i="17"/>
  <c r="R218" i="17"/>
  <c r="R217" i="17"/>
  <c r="R216" i="17"/>
  <c r="R215" i="17"/>
  <c r="R214" i="17"/>
  <c r="R213" i="17"/>
  <c r="P149" i="17"/>
  <c r="O149" i="17"/>
  <c r="N149" i="17"/>
  <c r="O148" i="17"/>
  <c r="N148" i="17"/>
  <c r="B528" i="5" l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P564" i="5"/>
  <c r="O564" i="5"/>
  <c r="N564" i="5"/>
  <c r="P563" i="5"/>
  <c r="O563" i="5"/>
  <c r="P562" i="5"/>
  <c r="O562" i="5"/>
  <c r="R562" i="5" s="1"/>
  <c r="P561" i="5"/>
  <c r="O561" i="5"/>
  <c r="P560" i="5"/>
  <c r="O560" i="5"/>
  <c r="P559" i="5"/>
  <c r="O559" i="5"/>
  <c r="P558" i="5"/>
  <c r="O558" i="5"/>
  <c r="R558" i="5" s="1"/>
  <c r="P557" i="5"/>
  <c r="O557" i="5"/>
  <c r="P556" i="5"/>
  <c r="O556" i="5"/>
  <c r="P555" i="5"/>
  <c r="O555" i="5"/>
  <c r="P554" i="5"/>
  <c r="O554" i="5"/>
  <c r="P553" i="5"/>
  <c r="O553" i="5"/>
  <c r="P552" i="5"/>
  <c r="O552" i="5"/>
  <c r="P551" i="5"/>
  <c r="O551" i="5"/>
  <c r="P550" i="5"/>
  <c r="O550" i="5"/>
  <c r="P549" i="5"/>
  <c r="O549" i="5"/>
  <c r="P548" i="5"/>
  <c r="O548" i="5"/>
  <c r="P547" i="5"/>
  <c r="O547" i="5"/>
  <c r="P546" i="5"/>
  <c r="O546" i="5"/>
  <c r="P545" i="5"/>
  <c r="O545" i="5"/>
  <c r="P544" i="5"/>
  <c r="O544" i="5"/>
  <c r="P543" i="5"/>
  <c r="O543" i="5"/>
  <c r="P542" i="5"/>
  <c r="O542" i="5"/>
  <c r="P541" i="5"/>
  <c r="O541" i="5"/>
  <c r="P540" i="5"/>
  <c r="O540" i="5"/>
  <c r="P539" i="5"/>
  <c r="O539" i="5"/>
  <c r="P538" i="5"/>
  <c r="O538" i="5"/>
  <c r="P537" i="5"/>
  <c r="O537" i="5"/>
  <c r="P536" i="5"/>
  <c r="O536" i="5"/>
  <c r="P535" i="5"/>
  <c r="O535" i="5"/>
  <c r="P534" i="5"/>
  <c r="O534" i="5"/>
  <c r="P533" i="5"/>
  <c r="O533" i="5"/>
  <c r="P532" i="5"/>
  <c r="O532" i="5"/>
  <c r="P531" i="5"/>
  <c r="O531" i="5"/>
  <c r="P530" i="5"/>
  <c r="O530" i="5"/>
  <c r="P529" i="5"/>
  <c r="O529" i="5"/>
  <c r="P528" i="5"/>
  <c r="O528" i="5"/>
  <c r="P527" i="5"/>
  <c r="O527" i="5"/>
  <c r="P526" i="5"/>
  <c r="O526" i="5"/>
  <c r="P525" i="5"/>
  <c r="O525" i="5"/>
  <c r="P524" i="5"/>
  <c r="O524" i="5"/>
  <c r="P523" i="5"/>
  <c r="O523" i="5"/>
  <c r="P522" i="5"/>
  <c r="O522" i="5"/>
  <c r="P521" i="5"/>
  <c r="O521" i="5"/>
  <c r="P520" i="5"/>
  <c r="O520" i="5"/>
  <c r="P519" i="5"/>
  <c r="O519" i="5"/>
  <c r="P518" i="5"/>
  <c r="O518" i="5"/>
  <c r="P517" i="5"/>
  <c r="O517" i="5"/>
  <c r="P516" i="5"/>
  <c r="O516" i="5"/>
  <c r="P515" i="5"/>
  <c r="O515" i="5"/>
  <c r="P514" i="5"/>
  <c r="O514" i="5"/>
  <c r="P513" i="5"/>
  <c r="O513" i="5"/>
  <c r="P512" i="5"/>
  <c r="O512" i="5"/>
  <c r="P511" i="5"/>
  <c r="O511" i="5"/>
  <c r="P510" i="5"/>
  <c r="O510" i="5"/>
  <c r="P509" i="5"/>
  <c r="O509" i="5"/>
  <c r="P508" i="5"/>
  <c r="O508" i="5"/>
  <c r="P507" i="5"/>
  <c r="O507" i="5"/>
  <c r="P506" i="5"/>
  <c r="O506" i="5"/>
  <c r="P505" i="5"/>
  <c r="O505" i="5"/>
  <c r="P504" i="5"/>
  <c r="O504" i="5"/>
  <c r="P503" i="5"/>
  <c r="O503" i="5"/>
  <c r="P502" i="5"/>
  <c r="O502" i="5"/>
  <c r="P501" i="5"/>
  <c r="O501" i="5"/>
  <c r="P500" i="5"/>
  <c r="O500" i="5"/>
  <c r="P499" i="5"/>
  <c r="O499" i="5"/>
  <c r="P498" i="5"/>
  <c r="O498" i="5"/>
  <c r="P497" i="5"/>
  <c r="O497" i="5"/>
  <c r="P496" i="5"/>
  <c r="O496" i="5"/>
  <c r="P495" i="5"/>
  <c r="O495" i="5"/>
  <c r="P494" i="5"/>
  <c r="O494" i="5"/>
  <c r="P493" i="5"/>
  <c r="O493" i="5"/>
  <c r="P492" i="5"/>
  <c r="O492" i="5"/>
  <c r="P491" i="5"/>
  <c r="O491" i="5"/>
  <c r="P490" i="5"/>
  <c r="O490" i="5"/>
  <c r="P489" i="5"/>
  <c r="O489" i="5"/>
  <c r="P488" i="5"/>
  <c r="O488" i="5"/>
  <c r="P487" i="5"/>
  <c r="O487" i="5"/>
  <c r="P486" i="5"/>
  <c r="O486" i="5"/>
  <c r="P485" i="5"/>
  <c r="O485" i="5"/>
  <c r="P484" i="5"/>
  <c r="O484" i="5"/>
  <c r="P483" i="5"/>
  <c r="O483" i="5"/>
  <c r="P482" i="5"/>
  <c r="O482" i="5"/>
  <c r="P481" i="5"/>
  <c r="O481" i="5"/>
  <c r="P480" i="5"/>
  <c r="O480" i="5"/>
  <c r="P479" i="5"/>
  <c r="O479" i="5"/>
  <c r="P478" i="5"/>
  <c r="O478" i="5"/>
  <c r="P477" i="5"/>
  <c r="O477" i="5"/>
  <c r="P476" i="5"/>
  <c r="O476" i="5"/>
  <c r="P475" i="5"/>
  <c r="O475" i="5"/>
  <c r="P474" i="5"/>
  <c r="O474" i="5"/>
  <c r="P473" i="5"/>
  <c r="O473" i="5"/>
  <c r="P472" i="5"/>
  <c r="O472" i="5"/>
  <c r="P471" i="5"/>
  <c r="O471" i="5"/>
  <c r="P470" i="5"/>
  <c r="O470" i="5"/>
  <c r="P469" i="5"/>
  <c r="O469" i="5"/>
  <c r="P468" i="5"/>
  <c r="O468" i="5"/>
  <c r="P467" i="5"/>
  <c r="O467" i="5"/>
  <c r="P466" i="5"/>
  <c r="O466" i="5"/>
  <c r="P465" i="5"/>
  <c r="O465" i="5"/>
  <c r="P464" i="5"/>
  <c r="O464" i="5"/>
  <c r="P463" i="5"/>
  <c r="O463" i="5"/>
  <c r="P462" i="5"/>
  <c r="O462" i="5"/>
  <c r="P461" i="5"/>
  <c r="O461" i="5"/>
  <c r="P460" i="5"/>
  <c r="O460" i="5"/>
  <c r="P459" i="5"/>
  <c r="O459" i="5"/>
  <c r="P458" i="5"/>
  <c r="O458" i="5"/>
  <c r="P457" i="5"/>
  <c r="O457" i="5"/>
  <c r="P456" i="5"/>
  <c r="O456" i="5"/>
  <c r="P455" i="5"/>
  <c r="O455" i="5"/>
  <c r="P454" i="5"/>
  <c r="O454" i="5"/>
  <c r="N454" i="5"/>
  <c r="P453" i="5"/>
  <c r="O453" i="5"/>
  <c r="N453" i="5"/>
  <c r="P452" i="5"/>
  <c r="O452" i="5"/>
  <c r="P451" i="5"/>
  <c r="O451" i="5"/>
  <c r="P450" i="5"/>
  <c r="O450" i="5"/>
  <c r="P449" i="5"/>
  <c r="O449" i="5"/>
  <c r="N449" i="5"/>
  <c r="P448" i="5"/>
  <c r="O448" i="5"/>
  <c r="P447" i="5"/>
  <c r="O447" i="5"/>
  <c r="P446" i="5"/>
  <c r="O446" i="5"/>
  <c r="P445" i="5"/>
  <c r="O445" i="5"/>
  <c r="P444" i="5"/>
  <c r="O444" i="5"/>
  <c r="P443" i="5"/>
  <c r="O443" i="5"/>
  <c r="P442" i="5"/>
  <c r="O442" i="5"/>
  <c r="P441" i="5"/>
  <c r="O441" i="5"/>
  <c r="P440" i="5"/>
  <c r="O440" i="5"/>
  <c r="N440" i="5"/>
  <c r="O439" i="5"/>
  <c r="N439" i="5"/>
  <c r="P438" i="5"/>
  <c r="O438" i="5"/>
  <c r="N438" i="5"/>
  <c r="P437" i="5"/>
  <c r="O437" i="5"/>
  <c r="P436" i="5"/>
  <c r="O436" i="5"/>
  <c r="N436" i="5"/>
  <c r="P435" i="5"/>
  <c r="O435" i="5"/>
  <c r="N435" i="5"/>
  <c r="P434" i="5"/>
  <c r="O434" i="5"/>
  <c r="N434" i="5"/>
  <c r="P433" i="5"/>
  <c r="O433" i="5"/>
  <c r="P432" i="5"/>
  <c r="O432" i="5"/>
  <c r="N432" i="5"/>
  <c r="P431" i="5"/>
  <c r="O431" i="5"/>
  <c r="P430" i="5"/>
  <c r="O430" i="5"/>
  <c r="N430" i="5"/>
  <c r="P429" i="5"/>
  <c r="O429" i="5"/>
  <c r="P428" i="5"/>
  <c r="O428" i="5"/>
  <c r="P427" i="5"/>
  <c r="O427" i="5"/>
  <c r="P426" i="5"/>
  <c r="O426" i="5"/>
  <c r="P425" i="5"/>
  <c r="O425" i="5"/>
  <c r="P424" i="5"/>
  <c r="O424" i="5"/>
  <c r="P423" i="5"/>
  <c r="O423" i="5"/>
  <c r="P422" i="5"/>
  <c r="O422" i="5"/>
  <c r="P421" i="5"/>
  <c r="O421" i="5"/>
  <c r="P420" i="5"/>
  <c r="O420" i="5"/>
  <c r="P419" i="5"/>
  <c r="O419" i="5"/>
  <c r="N419" i="5"/>
  <c r="P418" i="5"/>
  <c r="O418" i="5"/>
  <c r="N418" i="5"/>
  <c r="P417" i="5"/>
  <c r="O417" i="5"/>
  <c r="N417" i="5"/>
  <c r="P416" i="5"/>
  <c r="O416" i="5"/>
  <c r="P415" i="5"/>
  <c r="O415" i="5"/>
  <c r="N415" i="5"/>
  <c r="P414" i="5"/>
  <c r="O414" i="5"/>
  <c r="P413" i="5"/>
  <c r="O413" i="5"/>
  <c r="P412" i="5"/>
  <c r="O412" i="5"/>
  <c r="P411" i="5"/>
  <c r="O411" i="5"/>
  <c r="P410" i="5"/>
  <c r="O410" i="5"/>
  <c r="N410" i="5"/>
  <c r="P409" i="5"/>
  <c r="O409" i="5"/>
  <c r="N409" i="5"/>
  <c r="P408" i="5"/>
  <c r="O408" i="5"/>
  <c r="N408" i="5"/>
  <c r="P407" i="5"/>
  <c r="O407" i="5"/>
  <c r="N407" i="5"/>
  <c r="P406" i="5"/>
  <c r="O406" i="5"/>
  <c r="N406" i="5"/>
  <c r="P405" i="5"/>
  <c r="O405" i="5"/>
  <c r="P404" i="5"/>
  <c r="O404" i="5"/>
  <c r="P403" i="5"/>
  <c r="O403" i="5"/>
  <c r="N403" i="5"/>
  <c r="P402" i="5"/>
  <c r="O402" i="5"/>
  <c r="P401" i="5"/>
  <c r="O401" i="5"/>
  <c r="P400" i="5"/>
  <c r="O400" i="5"/>
  <c r="N400" i="5"/>
  <c r="P399" i="5"/>
  <c r="O399" i="5"/>
  <c r="P398" i="5"/>
  <c r="O398" i="5"/>
  <c r="P397" i="5"/>
  <c r="O397" i="5"/>
  <c r="P396" i="5"/>
  <c r="O396" i="5"/>
  <c r="P395" i="5"/>
  <c r="O395" i="5"/>
  <c r="P394" i="5"/>
  <c r="O394" i="5"/>
  <c r="P393" i="5"/>
  <c r="O393" i="5"/>
  <c r="P392" i="5"/>
  <c r="O392" i="5"/>
  <c r="N392" i="5"/>
  <c r="O391" i="5"/>
  <c r="N391" i="5"/>
  <c r="P390" i="5"/>
  <c r="O390" i="5"/>
  <c r="N390" i="5"/>
  <c r="O389" i="5"/>
  <c r="N389" i="5"/>
  <c r="P388" i="5"/>
  <c r="O388" i="5"/>
  <c r="N388" i="5"/>
  <c r="O387" i="5"/>
  <c r="N387" i="5"/>
  <c r="P386" i="5"/>
  <c r="O386" i="5"/>
  <c r="P385" i="5"/>
  <c r="O385" i="5"/>
  <c r="N385" i="5"/>
  <c r="P384" i="5"/>
  <c r="O384" i="5"/>
  <c r="N384" i="5"/>
  <c r="P383" i="5"/>
  <c r="O383" i="5"/>
  <c r="N383" i="5"/>
  <c r="P382" i="5"/>
  <c r="O382" i="5"/>
  <c r="P381" i="5"/>
  <c r="O381" i="5"/>
  <c r="P380" i="5"/>
  <c r="O380" i="5"/>
  <c r="P379" i="5"/>
  <c r="O379" i="5"/>
  <c r="P378" i="5"/>
  <c r="O378" i="5"/>
  <c r="P377" i="5"/>
  <c r="O377" i="5"/>
  <c r="P376" i="5"/>
  <c r="O376" i="5"/>
  <c r="P375" i="5"/>
  <c r="O375" i="5"/>
  <c r="P374" i="5"/>
  <c r="O374" i="5"/>
  <c r="P373" i="5"/>
  <c r="O373" i="5"/>
  <c r="P372" i="5"/>
  <c r="O372" i="5"/>
  <c r="N372" i="5"/>
  <c r="P371" i="5"/>
  <c r="O371" i="5"/>
  <c r="N371" i="5"/>
  <c r="P370" i="5"/>
  <c r="O370" i="5"/>
  <c r="N370" i="5"/>
  <c r="P369" i="5"/>
  <c r="O369" i="5"/>
  <c r="N369" i="5"/>
  <c r="P368" i="5"/>
  <c r="O368" i="5"/>
  <c r="P367" i="5"/>
  <c r="O367" i="5"/>
  <c r="P366" i="5"/>
  <c r="O366" i="5"/>
  <c r="P365" i="5"/>
  <c r="O365" i="5"/>
  <c r="P364" i="5"/>
  <c r="O364" i="5"/>
  <c r="P363" i="5"/>
  <c r="O363" i="5"/>
  <c r="P362" i="5"/>
  <c r="O362" i="5"/>
  <c r="P361" i="5"/>
  <c r="O361" i="5"/>
  <c r="P360" i="5"/>
  <c r="O360" i="5"/>
  <c r="P359" i="5"/>
  <c r="O359" i="5"/>
  <c r="P358" i="5"/>
  <c r="O358" i="5"/>
  <c r="N358" i="5"/>
  <c r="P357" i="5"/>
  <c r="O357" i="5"/>
  <c r="P356" i="5"/>
  <c r="O356" i="5"/>
  <c r="P355" i="5"/>
  <c r="O355" i="5"/>
  <c r="N355" i="5"/>
  <c r="P354" i="5"/>
  <c r="O354" i="5"/>
  <c r="P353" i="5"/>
  <c r="O353" i="5"/>
  <c r="N353" i="5"/>
  <c r="P352" i="5"/>
  <c r="O352" i="5"/>
  <c r="P351" i="5"/>
  <c r="O351" i="5"/>
  <c r="N351" i="5"/>
  <c r="P350" i="5"/>
  <c r="O350" i="5"/>
  <c r="P349" i="5"/>
  <c r="O349" i="5"/>
  <c r="P348" i="5"/>
  <c r="O348" i="5"/>
  <c r="N348" i="5"/>
  <c r="P347" i="5"/>
  <c r="O347" i="5"/>
  <c r="P346" i="5"/>
  <c r="O346" i="5"/>
  <c r="P345" i="5"/>
  <c r="O345" i="5"/>
  <c r="P344" i="5"/>
  <c r="O344" i="5"/>
  <c r="P343" i="5"/>
  <c r="O343" i="5"/>
  <c r="N343" i="5"/>
  <c r="P342" i="5"/>
  <c r="O342" i="5"/>
  <c r="N342" i="5"/>
  <c r="P341" i="5"/>
  <c r="O341" i="5"/>
  <c r="N341" i="5"/>
  <c r="P340" i="5"/>
  <c r="O340" i="5"/>
  <c r="P339" i="5"/>
  <c r="O339" i="5"/>
  <c r="N339" i="5"/>
  <c r="P338" i="5"/>
  <c r="O338" i="5"/>
  <c r="P337" i="5"/>
  <c r="O337" i="5"/>
  <c r="N337" i="5"/>
  <c r="P336" i="5"/>
  <c r="O336" i="5"/>
  <c r="N336" i="5"/>
  <c r="P335" i="5"/>
  <c r="O335" i="5"/>
  <c r="N335" i="5"/>
  <c r="P334" i="5"/>
  <c r="O334" i="5"/>
  <c r="N334" i="5"/>
  <c r="P333" i="5"/>
  <c r="O333" i="5"/>
  <c r="N333" i="5"/>
  <c r="P332" i="5"/>
  <c r="O332" i="5"/>
  <c r="N332" i="5"/>
  <c r="P331" i="5"/>
  <c r="O331" i="5"/>
  <c r="N331" i="5"/>
  <c r="P330" i="5"/>
  <c r="O330" i="5"/>
  <c r="P329" i="5"/>
  <c r="O329" i="5"/>
  <c r="N329" i="5"/>
  <c r="P328" i="5"/>
  <c r="O328" i="5"/>
  <c r="N328" i="5"/>
  <c r="P327" i="5"/>
  <c r="O327" i="5"/>
  <c r="N327" i="5"/>
  <c r="P326" i="5"/>
  <c r="O326" i="5"/>
  <c r="N326" i="5"/>
  <c r="P325" i="5"/>
  <c r="O325" i="5"/>
  <c r="N325" i="5"/>
  <c r="P324" i="5"/>
  <c r="O324" i="5"/>
  <c r="N324" i="5"/>
  <c r="P323" i="5"/>
  <c r="O323" i="5"/>
  <c r="N323" i="5"/>
  <c r="P322" i="5"/>
  <c r="O322" i="5"/>
  <c r="N322" i="5"/>
  <c r="P321" i="5"/>
  <c r="O321" i="5"/>
  <c r="P320" i="5"/>
  <c r="O320" i="5"/>
  <c r="N320" i="5"/>
  <c r="P319" i="5"/>
  <c r="O319" i="5"/>
  <c r="N319" i="5"/>
  <c r="P318" i="5"/>
  <c r="O318" i="5"/>
  <c r="N318" i="5"/>
  <c r="P317" i="5"/>
  <c r="O317" i="5"/>
  <c r="N317" i="5"/>
  <c r="P316" i="5"/>
  <c r="O316" i="5"/>
  <c r="N316" i="5"/>
  <c r="P315" i="5"/>
  <c r="O315" i="5"/>
  <c r="N315" i="5"/>
  <c r="P314" i="5"/>
  <c r="O314" i="5"/>
  <c r="N314" i="5"/>
  <c r="P313" i="5"/>
  <c r="O313" i="5"/>
  <c r="N313" i="5"/>
  <c r="P312" i="5"/>
  <c r="O312" i="5"/>
  <c r="P311" i="5"/>
  <c r="O311" i="5"/>
  <c r="P310" i="5"/>
  <c r="O310" i="5"/>
  <c r="N310" i="5"/>
  <c r="P309" i="5"/>
  <c r="O309" i="5"/>
  <c r="P308" i="5"/>
  <c r="O308" i="5"/>
  <c r="N308" i="5"/>
  <c r="P307" i="5"/>
  <c r="O307" i="5"/>
  <c r="P306" i="5"/>
  <c r="O306" i="5"/>
  <c r="N306" i="5"/>
  <c r="O305" i="5"/>
  <c r="N305" i="5"/>
  <c r="O304" i="5"/>
  <c r="N304" i="5"/>
  <c r="P303" i="5"/>
  <c r="O303" i="5"/>
  <c r="N303" i="5"/>
  <c r="P302" i="5"/>
  <c r="O302" i="5"/>
  <c r="P301" i="5"/>
  <c r="O301" i="5"/>
  <c r="N301" i="5"/>
  <c r="P300" i="5"/>
  <c r="O300" i="5"/>
  <c r="P299" i="5"/>
  <c r="O299" i="5"/>
  <c r="P298" i="5"/>
  <c r="O298" i="5"/>
  <c r="P297" i="5"/>
  <c r="O297" i="5"/>
  <c r="N297" i="5"/>
  <c r="P296" i="5"/>
  <c r="O296" i="5"/>
  <c r="N296" i="5"/>
  <c r="P295" i="5"/>
  <c r="O295" i="5"/>
  <c r="N295" i="5"/>
  <c r="P294" i="5"/>
  <c r="O294" i="5"/>
  <c r="N294" i="5"/>
  <c r="P293" i="5"/>
  <c r="O293" i="5"/>
  <c r="N293" i="5"/>
  <c r="P292" i="5"/>
  <c r="O292" i="5"/>
  <c r="N292" i="5"/>
  <c r="P291" i="5"/>
  <c r="O291" i="5"/>
  <c r="N291" i="5"/>
  <c r="P290" i="5"/>
  <c r="O290" i="5"/>
  <c r="N290" i="5"/>
  <c r="P289" i="5"/>
  <c r="O289" i="5"/>
  <c r="N289" i="5"/>
  <c r="P288" i="5"/>
  <c r="O288" i="5"/>
  <c r="P287" i="5"/>
  <c r="O287" i="5"/>
  <c r="P286" i="5"/>
  <c r="O286" i="5"/>
  <c r="P285" i="5"/>
  <c r="O285" i="5"/>
  <c r="P284" i="5"/>
  <c r="O284" i="5"/>
  <c r="P283" i="5"/>
  <c r="O283" i="5"/>
  <c r="N283" i="5"/>
  <c r="P282" i="5"/>
  <c r="O282" i="5"/>
  <c r="N282" i="5"/>
  <c r="P281" i="5"/>
  <c r="O281" i="5"/>
  <c r="N281" i="5"/>
  <c r="P280" i="5"/>
  <c r="O280" i="5"/>
  <c r="N280" i="5"/>
  <c r="P279" i="5"/>
  <c r="O279" i="5"/>
  <c r="N279" i="5"/>
  <c r="P278" i="5"/>
  <c r="O278" i="5"/>
  <c r="N278" i="5"/>
  <c r="P277" i="5"/>
  <c r="O277" i="5"/>
  <c r="N277" i="5"/>
  <c r="P276" i="5"/>
  <c r="O276" i="5"/>
  <c r="N276" i="5"/>
  <c r="P275" i="5"/>
  <c r="O275" i="5"/>
  <c r="P274" i="5"/>
  <c r="O274" i="5"/>
  <c r="P273" i="5"/>
  <c r="O273" i="5"/>
  <c r="P272" i="5"/>
  <c r="O272" i="5"/>
  <c r="P271" i="5"/>
  <c r="O271" i="5"/>
  <c r="P270" i="5"/>
  <c r="O270" i="5"/>
  <c r="P269" i="5"/>
  <c r="O269" i="5"/>
  <c r="P268" i="5"/>
  <c r="O268" i="5"/>
  <c r="P267" i="5"/>
  <c r="O267" i="5"/>
  <c r="P266" i="5"/>
  <c r="O266" i="5"/>
  <c r="P265" i="5"/>
  <c r="O265" i="5"/>
  <c r="P264" i="5"/>
  <c r="O264" i="5"/>
  <c r="P263" i="5"/>
  <c r="O263" i="5"/>
  <c r="P262" i="5"/>
  <c r="O262" i="5"/>
  <c r="P261" i="5"/>
  <c r="O261" i="5"/>
  <c r="N261" i="5"/>
  <c r="P260" i="5"/>
  <c r="O260" i="5"/>
  <c r="P259" i="5"/>
  <c r="O259" i="5"/>
  <c r="P258" i="5"/>
  <c r="O258" i="5"/>
  <c r="N258" i="5"/>
  <c r="P257" i="5"/>
  <c r="O257" i="5"/>
  <c r="N257" i="5"/>
  <c r="P256" i="5"/>
  <c r="O256" i="5"/>
  <c r="N256" i="5"/>
  <c r="P255" i="5"/>
  <c r="O255" i="5"/>
  <c r="P254" i="5"/>
  <c r="O254" i="5"/>
  <c r="P253" i="5"/>
  <c r="O253" i="5"/>
  <c r="P252" i="5"/>
  <c r="O252" i="5"/>
  <c r="N252" i="5"/>
  <c r="P251" i="5"/>
  <c r="O251" i="5"/>
  <c r="N251" i="5"/>
  <c r="P250" i="5"/>
  <c r="O250" i="5"/>
  <c r="N250" i="5"/>
  <c r="P249" i="5"/>
  <c r="O249" i="5"/>
  <c r="N249" i="5"/>
  <c r="P248" i="5"/>
  <c r="O248" i="5"/>
  <c r="N248" i="5"/>
  <c r="P247" i="5"/>
  <c r="O247" i="5"/>
  <c r="N247" i="5"/>
  <c r="P246" i="5"/>
  <c r="O246" i="5"/>
  <c r="N246" i="5"/>
  <c r="P245" i="5"/>
  <c r="O245" i="5"/>
  <c r="N245" i="5"/>
  <c r="P244" i="5"/>
  <c r="O244" i="5"/>
  <c r="N244" i="5"/>
  <c r="P243" i="5"/>
  <c r="O243" i="5"/>
  <c r="N243" i="5"/>
  <c r="P242" i="5"/>
  <c r="O242" i="5"/>
  <c r="N242" i="5"/>
  <c r="P241" i="5"/>
  <c r="O241" i="5"/>
  <c r="N241" i="5"/>
  <c r="P240" i="5"/>
  <c r="O240" i="5"/>
  <c r="N240" i="5"/>
  <c r="P239" i="5"/>
  <c r="O239" i="5"/>
  <c r="N239" i="5"/>
  <c r="P238" i="5"/>
  <c r="O238" i="5"/>
  <c r="N238" i="5"/>
  <c r="P237" i="5"/>
  <c r="O237" i="5"/>
  <c r="N237" i="5"/>
  <c r="P236" i="5"/>
  <c r="O236" i="5"/>
  <c r="N236" i="5"/>
  <c r="P235" i="5"/>
  <c r="O235" i="5"/>
  <c r="N235" i="5"/>
  <c r="P234" i="5"/>
  <c r="O234" i="5"/>
  <c r="N234" i="5"/>
  <c r="P233" i="5"/>
  <c r="O233" i="5"/>
  <c r="N233" i="5"/>
  <c r="P232" i="5"/>
  <c r="O232" i="5"/>
  <c r="N232" i="5"/>
  <c r="P231" i="5"/>
  <c r="O231" i="5"/>
  <c r="N231" i="5"/>
  <c r="P230" i="5"/>
  <c r="O230" i="5"/>
  <c r="N230" i="5"/>
  <c r="P229" i="5"/>
  <c r="O229" i="5"/>
  <c r="N229" i="5"/>
  <c r="P228" i="5"/>
  <c r="O228" i="5"/>
  <c r="N228" i="5"/>
  <c r="P227" i="5"/>
  <c r="O227" i="5"/>
  <c r="N227" i="5"/>
  <c r="P226" i="5"/>
  <c r="O226" i="5"/>
  <c r="N226" i="5"/>
  <c r="P225" i="5"/>
  <c r="O225" i="5"/>
  <c r="N225" i="5"/>
  <c r="P224" i="5"/>
  <c r="O224" i="5"/>
  <c r="N224" i="5"/>
  <c r="P223" i="5"/>
  <c r="O223" i="5"/>
  <c r="N223" i="5"/>
  <c r="P222" i="5"/>
  <c r="O222" i="5"/>
  <c r="N222" i="5"/>
  <c r="P221" i="5"/>
  <c r="O221" i="5"/>
  <c r="N221" i="5"/>
  <c r="P220" i="5"/>
  <c r="O220" i="5"/>
  <c r="N220" i="5"/>
  <c r="P219" i="5"/>
  <c r="O219" i="5"/>
  <c r="N219" i="5"/>
  <c r="R565" i="5"/>
  <c r="R564" i="5"/>
  <c r="R563" i="5"/>
  <c r="R561" i="5"/>
  <c r="R560" i="5"/>
  <c r="R559" i="5"/>
  <c r="R557" i="5"/>
  <c r="R556" i="5"/>
  <c r="R555" i="5"/>
  <c r="R554" i="5"/>
  <c r="R553" i="5"/>
  <c r="R552" i="5"/>
  <c r="R551" i="5"/>
  <c r="R550" i="5"/>
  <c r="R549" i="5"/>
  <c r="R548" i="5"/>
  <c r="R547" i="5"/>
  <c r="R546" i="5"/>
  <c r="R545" i="5"/>
  <c r="R544" i="5"/>
  <c r="R543" i="5"/>
  <c r="R542" i="5"/>
  <c r="R541" i="5"/>
  <c r="R540" i="5"/>
  <c r="R539" i="5"/>
  <c r="R538" i="5"/>
  <c r="R537" i="5"/>
  <c r="R536" i="5"/>
  <c r="R535" i="5"/>
  <c r="R534" i="5"/>
  <c r="R533" i="5"/>
  <c r="R532" i="5"/>
  <c r="O202" i="5"/>
  <c r="F40" i="5"/>
  <c r="Q39" i="5"/>
  <c r="P39" i="5"/>
  <c r="O39" i="5"/>
  <c r="R39" i="5" s="1"/>
  <c r="N39" i="5"/>
  <c r="P38" i="5"/>
  <c r="O38" i="5"/>
  <c r="R38" i="5" s="1"/>
  <c r="Q37" i="5"/>
  <c r="P37" i="5"/>
  <c r="O37" i="5"/>
  <c r="R37" i="5" s="1"/>
  <c r="N37" i="5"/>
  <c r="Q36" i="5"/>
  <c r="P36" i="5"/>
  <c r="O36" i="5"/>
  <c r="R36" i="5" s="1"/>
  <c r="N36" i="5"/>
  <c r="Q35" i="5"/>
  <c r="P35" i="5"/>
  <c r="O35" i="5"/>
  <c r="R35" i="5" s="1"/>
  <c r="N35" i="5"/>
  <c r="F1722" i="1" l="1"/>
  <c r="P1721" i="1"/>
  <c r="O1721" i="1"/>
  <c r="R1721" i="1" s="1"/>
  <c r="N1721" i="1"/>
  <c r="P1720" i="1"/>
  <c r="O1720" i="1"/>
  <c r="R1720" i="1" s="1"/>
  <c r="N1720" i="1"/>
  <c r="R1719" i="1"/>
  <c r="P1719" i="1"/>
  <c r="O1719" i="1"/>
  <c r="N1719" i="1"/>
  <c r="R1718" i="1"/>
  <c r="P1718" i="1"/>
  <c r="O1718" i="1"/>
  <c r="N1718" i="1"/>
  <c r="P1717" i="1"/>
  <c r="O1717" i="1"/>
  <c r="R1717" i="1" s="1"/>
  <c r="N1717" i="1"/>
  <c r="P1716" i="1"/>
  <c r="O1716" i="1"/>
  <c r="R1716" i="1" s="1"/>
  <c r="N1716" i="1"/>
  <c r="R1715" i="1"/>
  <c r="P1715" i="1"/>
  <c r="O1715" i="1"/>
  <c r="N1715" i="1"/>
  <c r="R1714" i="1"/>
  <c r="P1714" i="1"/>
  <c r="O1714" i="1"/>
  <c r="N1714" i="1"/>
  <c r="P1713" i="1"/>
  <c r="O1713" i="1"/>
  <c r="R1713" i="1" s="1"/>
  <c r="N1713" i="1"/>
  <c r="P1712" i="1"/>
  <c r="O1712" i="1"/>
  <c r="R1712" i="1" s="1"/>
  <c r="N1712" i="1"/>
  <c r="R1711" i="1"/>
  <c r="P1711" i="1"/>
  <c r="O1711" i="1"/>
  <c r="N1711" i="1"/>
  <c r="R1710" i="1"/>
  <c r="P1710" i="1"/>
  <c r="O1710" i="1"/>
  <c r="N1710" i="1"/>
  <c r="P1709" i="1"/>
  <c r="O1709" i="1"/>
  <c r="R1709" i="1" s="1"/>
  <c r="N1709" i="1"/>
  <c r="P1708" i="1"/>
  <c r="O1708" i="1"/>
  <c r="R1708" i="1" s="1"/>
  <c r="N1708" i="1"/>
  <c r="R1707" i="1"/>
  <c r="P1707" i="1"/>
  <c r="O1707" i="1"/>
  <c r="N1707" i="1"/>
  <c r="R1706" i="1"/>
  <c r="P1706" i="1"/>
  <c r="O1706" i="1"/>
  <c r="N1706" i="1"/>
  <c r="P1705" i="1"/>
  <c r="O1705" i="1"/>
  <c r="R1705" i="1" s="1"/>
  <c r="N1705" i="1"/>
  <c r="P1704" i="1"/>
  <c r="O1704" i="1"/>
  <c r="R1704" i="1" s="1"/>
  <c r="N1704" i="1"/>
  <c r="R1703" i="1"/>
  <c r="P1703" i="1"/>
  <c r="O1703" i="1"/>
  <c r="N1703" i="1"/>
  <c r="R1702" i="1"/>
  <c r="P1702" i="1"/>
  <c r="O1702" i="1"/>
  <c r="N1702" i="1"/>
  <c r="P1701" i="1"/>
  <c r="O1701" i="1"/>
  <c r="R1701" i="1" s="1"/>
  <c r="N1701" i="1"/>
  <c r="P1700" i="1"/>
  <c r="O1700" i="1"/>
  <c r="R1700" i="1" s="1"/>
  <c r="N1700" i="1"/>
  <c r="R1699" i="1"/>
  <c r="P1699" i="1"/>
  <c r="O1699" i="1"/>
  <c r="N1699" i="1"/>
  <c r="R1698" i="1"/>
  <c r="P1698" i="1"/>
  <c r="O1698" i="1"/>
  <c r="N1698" i="1"/>
  <c r="P1697" i="1"/>
  <c r="O1697" i="1"/>
  <c r="R1697" i="1" s="1"/>
  <c r="N1697" i="1"/>
  <c r="P1696" i="1"/>
  <c r="O1696" i="1"/>
  <c r="R1696" i="1" s="1"/>
  <c r="N1696" i="1"/>
  <c r="R1695" i="1"/>
  <c r="P1695" i="1"/>
  <c r="O1695" i="1"/>
  <c r="N1695" i="1"/>
  <c r="R1694" i="1"/>
  <c r="P1694" i="1"/>
  <c r="O1694" i="1"/>
  <c r="N1694" i="1"/>
  <c r="P1693" i="1"/>
  <c r="O1693" i="1"/>
  <c r="R1693" i="1" s="1"/>
  <c r="N1693" i="1"/>
  <c r="P1692" i="1"/>
  <c r="O1692" i="1"/>
  <c r="R1692" i="1" s="1"/>
  <c r="N1692" i="1"/>
  <c r="R1691" i="1"/>
  <c r="P1691" i="1"/>
  <c r="O1691" i="1"/>
  <c r="N1691" i="1"/>
  <c r="R1690" i="1"/>
  <c r="P1690" i="1"/>
  <c r="O1690" i="1"/>
  <c r="N1690" i="1"/>
  <c r="P1689" i="1"/>
  <c r="O1689" i="1"/>
  <c r="R1689" i="1" s="1"/>
  <c r="N1689" i="1"/>
  <c r="P1688" i="1"/>
  <c r="O1688" i="1"/>
  <c r="R1688" i="1" s="1"/>
  <c r="N1688" i="1"/>
  <c r="R1687" i="1"/>
  <c r="P1687" i="1"/>
  <c r="O1687" i="1"/>
  <c r="N1687" i="1"/>
  <c r="R1686" i="1"/>
  <c r="P1685" i="1"/>
  <c r="O1685" i="1"/>
  <c r="R1685" i="1" s="1"/>
  <c r="N1685" i="1"/>
  <c r="R1684" i="1"/>
  <c r="P1684" i="1"/>
  <c r="O1684" i="1"/>
  <c r="N1684" i="1"/>
  <c r="R1683" i="1"/>
  <c r="P1683" i="1"/>
  <c r="O1683" i="1"/>
  <c r="N1683" i="1"/>
  <c r="P1682" i="1"/>
  <c r="O1682" i="1"/>
  <c r="R1682" i="1" s="1"/>
  <c r="N1682" i="1"/>
  <c r="P1681" i="1"/>
  <c r="O1681" i="1"/>
  <c r="R1681" i="1" s="1"/>
  <c r="N1681" i="1"/>
  <c r="R1680" i="1"/>
  <c r="P1680" i="1"/>
  <c r="O1680" i="1"/>
  <c r="N1680" i="1"/>
  <c r="R1679" i="1"/>
  <c r="P1678" i="1"/>
  <c r="O1678" i="1"/>
  <c r="R1678" i="1" s="1"/>
  <c r="N1678" i="1"/>
  <c r="R1677" i="1"/>
  <c r="R1676" i="1"/>
  <c r="R1675" i="1"/>
  <c r="P1675" i="1"/>
  <c r="O1675" i="1"/>
  <c r="N1675" i="1"/>
  <c r="R1674" i="1"/>
  <c r="P1674" i="1"/>
  <c r="O1674" i="1"/>
  <c r="N1674" i="1"/>
  <c r="P1673" i="1"/>
  <c r="O1673" i="1"/>
  <c r="R1673" i="1" s="1"/>
  <c r="N1673" i="1"/>
  <c r="P1672" i="1"/>
  <c r="O1672" i="1"/>
  <c r="R1672" i="1" s="1"/>
  <c r="N1672" i="1"/>
  <c r="R1671" i="1"/>
  <c r="P1671" i="1"/>
  <c r="O1671" i="1"/>
  <c r="N1671" i="1"/>
  <c r="R1670" i="1"/>
  <c r="P1670" i="1"/>
  <c r="O1670" i="1"/>
  <c r="N1670" i="1"/>
  <c r="P1669" i="1"/>
  <c r="O1669" i="1"/>
  <c r="R1669" i="1" s="1"/>
  <c r="N1669" i="1"/>
  <c r="P1668" i="1"/>
  <c r="O1668" i="1"/>
  <c r="R1668" i="1" s="1"/>
  <c r="N1668" i="1"/>
  <c r="P1667" i="1"/>
  <c r="O1667" i="1"/>
  <c r="R1667" i="1" s="1"/>
  <c r="N1667" i="1"/>
  <c r="B1667" i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R1666" i="1"/>
  <c r="P1666" i="1"/>
  <c r="O1666" i="1"/>
  <c r="N1666" i="1"/>
  <c r="R1665" i="1"/>
  <c r="P1561" i="1"/>
  <c r="O1561" i="1"/>
  <c r="N1561" i="1"/>
  <c r="R744" i="1"/>
  <c r="F744" i="1"/>
  <c r="Q743" i="1"/>
  <c r="P743" i="1"/>
  <c r="O743" i="1"/>
  <c r="R743" i="1" s="1"/>
  <c r="N743" i="1"/>
  <c r="Q742" i="1"/>
  <c r="P742" i="1"/>
  <c r="O742" i="1"/>
  <c r="R742" i="1" s="1"/>
  <c r="N742" i="1"/>
  <c r="Q741" i="1"/>
  <c r="P741" i="1"/>
  <c r="O741" i="1"/>
  <c r="R741" i="1" s="1"/>
  <c r="N741" i="1"/>
  <c r="Q740" i="1"/>
  <c r="P740" i="1"/>
  <c r="O740" i="1"/>
  <c r="R740" i="1" s="1"/>
  <c r="N740" i="1"/>
  <c r="Q739" i="1"/>
  <c r="P739" i="1"/>
  <c r="O739" i="1"/>
  <c r="R739" i="1" s="1"/>
  <c r="N739" i="1"/>
  <c r="Q738" i="1"/>
  <c r="P738" i="1"/>
  <c r="O738" i="1"/>
  <c r="R738" i="1" s="1"/>
  <c r="N738" i="1"/>
  <c r="Q737" i="1"/>
  <c r="P737" i="1"/>
  <c r="O737" i="1"/>
  <c r="R737" i="1" s="1"/>
  <c r="N737" i="1"/>
  <c r="Q736" i="1"/>
  <c r="P736" i="1"/>
  <c r="O736" i="1"/>
  <c r="R736" i="1" s="1"/>
  <c r="N736" i="1"/>
  <c r="Q735" i="1"/>
  <c r="P735" i="1"/>
  <c r="O735" i="1"/>
  <c r="R735" i="1" s="1"/>
  <c r="N735" i="1"/>
  <c r="Q734" i="1"/>
  <c r="P734" i="1"/>
  <c r="O734" i="1"/>
  <c r="R734" i="1" s="1"/>
  <c r="N734" i="1"/>
  <c r="Q733" i="1"/>
  <c r="P733" i="1"/>
  <c r="O733" i="1"/>
  <c r="R733" i="1" s="1"/>
  <c r="N733" i="1"/>
  <c r="Q732" i="1"/>
  <c r="P732" i="1"/>
  <c r="O732" i="1"/>
  <c r="R732" i="1" s="1"/>
  <c r="N732" i="1"/>
  <c r="Q731" i="1"/>
  <c r="P731" i="1"/>
  <c r="O731" i="1"/>
  <c r="R731" i="1" s="1"/>
  <c r="N731" i="1"/>
  <c r="Q730" i="1"/>
  <c r="P730" i="1"/>
  <c r="O730" i="1"/>
  <c r="R730" i="1" s="1"/>
  <c r="N730" i="1"/>
  <c r="Q729" i="1"/>
  <c r="P729" i="1"/>
  <c r="O729" i="1"/>
  <c r="R729" i="1" s="1"/>
  <c r="N729" i="1"/>
  <c r="Q728" i="1"/>
  <c r="P728" i="1"/>
  <c r="O728" i="1"/>
  <c r="R728" i="1" s="1"/>
  <c r="N728" i="1"/>
  <c r="Q727" i="1"/>
  <c r="P727" i="1"/>
  <c r="O727" i="1"/>
  <c r="R727" i="1" s="1"/>
  <c r="N727" i="1"/>
  <c r="Q726" i="1"/>
  <c r="P726" i="1"/>
  <c r="O726" i="1"/>
  <c r="R726" i="1" s="1"/>
  <c r="N726" i="1"/>
  <c r="Q725" i="1"/>
  <c r="P725" i="1"/>
  <c r="O725" i="1"/>
  <c r="R725" i="1" s="1"/>
  <c r="N725" i="1"/>
  <c r="Q724" i="1"/>
  <c r="P724" i="1"/>
  <c r="O724" i="1"/>
  <c r="R724" i="1" s="1"/>
  <c r="N724" i="1"/>
  <c r="Q723" i="1"/>
  <c r="P723" i="1"/>
  <c r="O723" i="1"/>
  <c r="R723" i="1" s="1"/>
  <c r="N723" i="1"/>
  <c r="Q722" i="1"/>
  <c r="P722" i="1"/>
  <c r="O722" i="1"/>
  <c r="R722" i="1" s="1"/>
  <c r="N722" i="1"/>
  <c r="Q721" i="1"/>
  <c r="P721" i="1"/>
  <c r="O721" i="1"/>
  <c r="R721" i="1" s="1"/>
  <c r="N721" i="1"/>
  <c r="Q720" i="1"/>
  <c r="P720" i="1"/>
  <c r="O720" i="1"/>
  <c r="R720" i="1" s="1"/>
  <c r="N720" i="1"/>
  <c r="Q719" i="1"/>
  <c r="P719" i="1"/>
  <c r="O719" i="1"/>
  <c r="R719" i="1" s="1"/>
  <c r="N719" i="1"/>
  <c r="Q718" i="1"/>
  <c r="P718" i="1"/>
  <c r="O718" i="1"/>
  <c r="R718" i="1" s="1"/>
  <c r="N718" i="1"/>
  <c r="Q717" i="1"/>
  <c r="P717" i="1"/>
  <c r="O717" i="1"/>
  <c r="R717" i="1" s="1"/>
  <c r="N717" i="1"/>
  <c r="Q716" i="1"/>
  <c r="P716" i="1"/>
  <c r="O716" i="1"/>
  <c r="R716" i="1" s="1"/>
  <c r="N716" i="1"/>
  <c r="Q715" i="1"/>
  <c r="P715" i="1"/>
  <c r="O715" i="1"/>
  <c r="R715" i="1" s="1"/>
  <c r="N715" i="1"/>
  <c r="Q714" i="1"/>
  <c r="P714" i="1"/>
  <c r="O714" i="1"/>
  <c r="R714" i="1" s="1"/>
  <c r="N714" i="1"/>
  <c r="Q713" i="1"/>
  <c r="P713" i="1"/>
  <c r="O713" i="1"/>
  <c r="R713" i="1" s="1"/>
  <c r="N713" i="1"/>
  <c r="Q712" i="1"/>
  <c r="P712" i="1"/>
  <c r="O712" i="1"/>
  <c r="R712" i="1" s="1"/>
  <c r="N712" i="1"/>
  <c r="Q711" i="1"/>
  <c r="P711" i="1"/>
  <c r="O711" i="1"/>
  <c r="R711" i="1" s="1"/>
  <c r="N711" i="1"/>
  <c r="Q710" i="1"/>
  <c r="P710" i="1"/>
  <c r="O710" i="1"/>
  <c r="R710" i="1" s="1"/>
  <c r="N710" i="1"/>
  <c r="Q709" i="1"/>
  <c r="P709" i="1"/>
  <c r="O709" i="1"/>
  <c r="R709" i="1" s="1"/>
  <c r="N709" i="1"/>
  <c r="Q708" i="1"/>
  <c r="P708" i="1"/>
  <c r="O708" i="1"/>
  <c r="R708" i="1" s="1"/>
  <c r="N708" i="1"/>
  <c r="Q707" i="1"/>
  <c r="P707" i="1"/>
  <c r="O707" i="1"/>
  <c r="R707" i="1" s="1"/>
  <c r="N707" i="1"/>
  <c r="Q706" i="1"/>
  <c r="P706" i="1"/>
  <c r="O706" i="1"/>
  <c r="R706" i="1" s="1"/>
  <c r="N706" i="1"/>
  <c r="Q705" i="1"/>
  <c r="P705" i="1"/>
  <c r="O705" i="1"/>
  <c r="R705" i="1" s="1"/>
  <c r="N705" i="1"/>
  <c r="Q704" i="1"/>
  <c r="P704" i="1"/>
  <c r="O704" i="1"/>
  <c r="R704" i="1" s="1"/>
  <c r="N704" i="1"/>
  <c r="Q703" i="1"/>
  <c r="P703" i="1"/>
  <c r="O703" i="1"/>
  <c r="R703" i="1" s="1"/>
  <c r="N703" i="1"/>
  <c r="Q702" i="1"/>
  <c r="P702" i="1"/>
  <c r="O702" i="1"/>
  <c r="R702" i="1" s="1"/>
  <c r="N702" i="1"/>
  <c r="Q701" i="1"/>
  <c r="P701" i="1"/>
  <c r="O701" i="1"/>
  <c r="R701" i="1" s="1"/>
  <c r="N701" i="1"/>
  <c r="Q700" i="1"/>
  <c r="P700" i="1"/>
  <c r="O700" i="1"/>
  <c r="R700" i="1" s="1"/>
  <c r="N700" i="1"/>
  <c r="Q699" i="1"/>
  <c r="P699" i="1"/>
  <c r="O699" i="1"/>
  <c r="R699" i="1" s="1"/>
  <c r="N699" i="1"/>
  <c r="Q698" i="1"/>
  <c r="P698" i="1"/>
  <c r="O698" i="1"/>
  <c r="R698" i="1" s="1"/>
  <c r="N698" i="1"/>
  <c r="Q697" i="1"/>
  <c r="P697" i="1"/>
  <c r="O697" i="1"/>
  <c r="R697" i="1" s="1"/>
  <c r="N697" i="1"/>
  <c r="Q696" i="1"/>
  <c r="P696" i="1"/>
  <c r="O696" i="1"/>
  <c r="R696" i="1" s="1"/>
  <c r="N696" i="1"/>
  <c r="Q695" i="1"/>
  <c r="P695" i="1"/>
  <c r="O695" i="1"/>
  <c r="R695" i="1" s="1"/>
  <c r="N695" i="1"/>
  <c r="Q694" i="1"/>
  <c r="P694" i="1"/>
  <c r="O694" i="1"/>
  <c r="R694" i="1" s="1"/>
  <c r="N694" i="1"/>
  <c r="Q693" i="1"/>
  <c r="P693" i="1"/>
  <c r="O693" i="1"/>
  <c r="R693" i="1" s="1"/>
  <c r="N693" i="1"/>
  <c r="Q692" i="1"/>
  <c r="P692" i="1"/>
  <c r="O692" i="1"/>
  <c r="R692" i="1" s="1"/>
  <c r="N692" i="1"/>
  <c r="Q691" i="1"/>
  <c r="P691" i="1"/>
  <c r="O691" i="1"/>
  <c r="R691" i="1" s="1"/>
  <c r="N691" i="1"/>
  <c r="Q690" i="1"/>
  <c r="P690" i="1"/>
  <c r="O690" i="1"/>
  <c r="R690" i="1" s="1"/>
  <c r="N690" i="1"/>
  <c r="Q689" i="1"/>
  <c r="P689" i="1"/>
  <c r="O689" i="1"/>
  <c r="R689" i="1" s="1"/>
  <c r="N689" i="1"/>
  <c r="Q688" i="1"/>
  <c r="P688" i="1"/>
  <c r="O688" i="1"/>
  <c r="R688" i="1" s="1"/>
  <c r="N688" i="1"/>
  <c r="Q687" i="1"/>
  <c r="P687" i="1"/>
  <c r="O687" i="1"/>
  <c r="R687" i="1" s="1"/>
  <c r="N687" i="1"/>
  <c r="Q686" i="1"/>
  <c r="P686" i="1"/>
  <c r="O686" i="1"/>
  <c r="R686" i="1" s="1"/>
  <c r="N686" i="1"/>
  <c r="Q685" i="1"/>
  <c r="P685" i="1"/>
  <c r="O685" i="1"/>
  <c r="R685" i="1" s="1"/>
  <c r="N685" i="1"/>
  <c r="Q684" i="1"/>
  <c r="P684" i="1"/>
  <c r="O684" i="1"/>
  <c r="R684" i="1" s="1"/>
  <c r="N684" i="1"/>
  <c r="Q683" i="1"/>
  <c r="P683" i="1"/>
  <c r="O683" i="1"/>
  <c r="R683" i="1" s="1"/>
  <c r="N683" i="1"/>
  <c r="Q682" i="1"/>
  <c r="P682" i="1"/>
  <c r="O682" i="1"/>
  <c r="R682" i="1" s="1"/>
  <c r="N682" i="1"/>
  <c r="R681" i="1"/>
  <c r="R680" i="1"/>
  <c r="Q679" i="1"/>
  <c r="P679" i="1"/>
  <c r="O679" i="1"/>
  <c r="R679" i="1" s="1"/>
  <c r="N679" i="1"/>
  <c r="Q678" i="1"/>
  <c r="P678" i="1"/>
  <c r="O678" i="1"/>
  <c r="R678" i="1" s="1"/>
  <c r="N678" i="1"/>
  <c r="Q677" i="1"/>
  <c r="P677" i="1"/>
  <c r="O677" i="1"/>
  <c r="R677" i="1" s="1"/>
  <c r="N677" i="1"/>
  <c r="Q676" i="1"/>
  <c r="P676" i="1"/>
  <c r="O676" i="1"/>
  <c r="R676" i="1" s="1"/>
  <c r="N676" i="1"/>
  <c r="Q675" i="1"/>
  <c r="P675" i="1"/>
  <c r="O675" i="1"/>
  <c r="R675" i="1" s="1"/>
  <c r="N675" i="1"/>
  <c r="Q674" i="1"/>
  <c r="P674" i="1"/>
  <c r="O674" i="1"/>
  <c r="R674" i="1" s="1"/>
  <c r="N674" i="1"/>
  <c r="Q673" i="1"/>
  <c r="P673" i="1"/>
  <c r="O673" i="1"/>
  <c r="R673" i="1" s="1"/>
  <c r="N673" i="1"/>
  <c r="Q672" i="1"/>
  <c r="P672" i="1"/>
  <c r="O672" i="1"/>
  <c r="R672" i="1" s="1"/>
  <c r="N672" i="1"/>
  <c r="Q671" i="1"/>
  <c r="P671" i="1"/>
  <c r="O671" i="1"/>
  <c r="R671" i="1" s="1"/>
  <c r="N671" i="1"/>
  <c r="Q670" i="1"/>
  <c r="P670" i="1"/>
  <c r="O670" i="1"/>
  <c r="R670" i="1" s="1"/>
  <c r="N670" i="1"/>
  <c r="Q669" i="1"/>
  <c r="P669" i="1"/>
  <c r="O669" i="1"/>
  <c r="R669" i="1" s="1"/>
  <c r="N669" i="1"/>
  <c r="Q668" i="1"/>
  <c r="P668" i="1"/>
  <c r="O668" i="1"/>
  <c r="R668" i="1" s="1"/>
  <c r="N668" i="1"/>
  <c r="Q667" i="1"/>
  <c r="P667" i="1"/>
  <c r="O667" i="1"/>
  <c r="R667" i="1" s="1"/>
  <c r="N667" i="1"/>
  <c r="Q666" i="1"/>
  <c r="P666" i="1"/>
  <c r="O666" i="1"/>
  <c r="R666" i="1" s="1"/>
  <c r="N666" i="1"/>
  <c r="Q665" i="1"/>
  <c r="P665" i="1"/>
  <c r="O665" i="1"/>
  <c r="R665" i="1" s="1"/>
  <c r="N665" i="1"/>
  <c r="Q664" i="1"/>
  <c r="P664" i="1"/>
  <c r="O664" i="1"/>
  <c r="R664" i="1" s="1"/>
  <c r="N664" i="1"/>
  <c r="Q663" i="1"/>
  <c r="P663" i="1"/>
  <c r="O663" i="1"/>
  <c r="R663" i="1" s="1"/>
  <c r="N663" i="1"/>
  <c r="Q662" i="1"/>
  <c r="P662" i="1"/>
  <c r="O662" i="1"/>
  <c r="R662" i="1" s="1"/>
  <c r="N662" i="1"/>
  <c r="Q661" i="1"/>
  <c r="P661" i="1"/>
  <c r="O661" i="1"/>
  <c r="R661" i="1" s="1"/>
  <c r="N661" i="1"/>
  <c r="Q660" i="1"/>
  <c r="P660" i="1"/>
  <c r="O660" i="1"/>
  <c r="R660" i="1" s="1"/>
  <c r="N660" i="1"/>
  <c r="Q659" i="1"/>
  <c r="P659" i="1"/>
  <c r="O659" i="1"/>
  <c r="R659" i="1" s="1"/>
  <c r="N659" i="1"/>
  <c r="Q658" i="1"/>
  <c r="P658" i="1"/>
  <c r="O658" i="1"/>
  <c r="R658" i="1" s="1"/>
  <c r="N658" i="1"/>
  <c r="Q657" i="1"/>
  <c r="P657" i="1"/>
  <c r="O657" i="1"/>
  <c r="R657" i="1" s="1"/>
  <c r="N657" i="1"/>
  <c r="Q656" i="1"/>
  <c r="P656" i="1"/>
  <c r="O656" i="1"/>
  <c r="R656" i="1" s="1"/>
  <c r="N656" i="1"/>
  <c r="Q655" i="1"/>
  <c r="P655" i="1"/>
  <c r="O655" i="1"/>
  <c r="R655" i="1" s="1"/>
  <c r="N655" i="1"/>
  <c r="Q654" i="1"/>
  <c r="P654" i="1"/>
  <c r="O654" i="1"/>
  <c r="R654" i="1" s="1"/>
  <c r="N654" i="1"/>
  <c r="Q653" i="1"/>
  <c r="P653" i="1"/>
  <c r="O653" i="1"/>
  <c r="R653" i="1" s="1"/>
  <c r="N653" i="1"/>
  <c r="R652" i="1"/>
  <c r="Q651" i="1"/>
  <c r="P651" i="1"/>
  <c r="O651" i="1"/>
  <c r="R651" i="1" s="1"/>
  <c r="N651" i="1"/>
  <c r="R650" i="1"/>
  <c r="R649" i="1"/>
  <c r="Q648" i="1"/>
  <c r="P648" i="1"/>
  <c r="O648" i="1"/>
  <c r="R648" i="1" s="1"/>
  <c r="N648" i="1"/>
  <c r="R647" i="1"/>
  <c r="R646" i="1"/>
  <c r="Q645" i="1"/>
  <c r="P645" i="1"/>
  <c r="O645" i="1"/>
  <c r="R645" i="1" s="1"/>
  <c r="N645" i="1"/>
  <c r="R644" i="1"/>
  <c r="R643" i="1"/>
  <c r="R642" i="1"/>
  <c r="R641" i="1"/>
  <c r="Q640" i="1"/>
  <c r="P640" i="1"/>
  <c r="O640" i="1"/>
  <c r="R640" i="1" s="1"/>
  <c r="N640" i="1"/>
  <c r="Q639" i="1"/>
  <c r="P639" i="1"/>
  <c r="O639" i="1"/>
  <c r="R639" i="1" s="1"/>
  <c r="N639" i="1"/>
  <c r="Q638" i="1"/>
  <c r="P638" i="1"/>
  <c r="O638" i="1"/>
  <c r="R638" i="1" s="1"/>
  <c r="N638" i="1"/>
  <c r="Q637" i="1"/>
  <c r="P637" i="1"/>
  <c r="O637" i="1"/>
  <c r="R637" i="1" s="1"/>
  <c r="N637" i="1"/>
  <c r="Q636" i="1"/>
  <c r="P636" i="1"/>
  <c r="O636" i="1"/>
  <c r="R636" i="1" s="1"/>
  <c r="N636" i="1"/>
  <c r="Q635" i="1"/>
  <c r="P635" i="1"/>
  <c r="O635" i="1"/>
  <c r="R635" i="1" s="1"/>
  <c r="N635" i="1"/>
  <c r="Q634" i="1"/>
  <c r="P634" i="1"/>
  <c r="O634" i="1"/>
  <c r="R634" i="1" s="1"/>
  <c r="N634" i="1"/>
  <c r="Q633" i="1"/>
  <c r="P633" i="1"/>
  <c r="O633" i="1"/>
  <c r="R633" i="1" s="1"/>
  <c r="N633" i="1"/>
  <c r="Q632" i="1"/>
  <c r="P632" i="1"/>
  <c r="O632" i="1"/>
  <c r="R632" i="1" s="1"/>
  <c r="N632" i="1"/>
  <c r="Q631" i="1"/>
  <c r="P631" i="1"/>
  <c r="O631" i="1"/>
  <c r="R631" i="1" s="1"/>
  <c r="N631" i="1"/>
  <c r="Q630" i="1"/>
  <c r="P630" i="1"/>
  <c r="O630" i="1"/>
  <c r="R630" i="1" s="1"/>
  <c r="N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Q617" i="1"/>
  <c r="P617" i="1"/>
  <c r="O617" i="1"/>
  <c r="R617" i="1" s="1"/>
  <c r="N617" i="1"/>
  <c r="Q616" i="1"/>
  <c r="P616" i="1"/>
  <c r="O616" i="1"/>
  <c r="R616" i="1" s="1"/>
  <c r="N616" i="1"/>
  <c r="Q615" i="1"/>
  <c r="P615" i="1"/>
  <c r="O615" i="1"/>
  <c r="R615" i="1" s="1"/>
  <c r="N615" i="1"/>
  <c r="Q614" i="1"/>
  <c r="P614" i="1"/>
  <c r="O614" i="1"/>
  <c r="R614" i="1" s="1"/>
  <c r="N614" i="1"/>
  <c r="Q613" i="1"/>
  <c r="P613" i="1"/>
  <c r="O613" i="1"/>
  <c r="R613" i="1" s="1"/>
  <c r="N613" i="1"/>
  <c r="Q612" i="1"/>
  <c r="P612" i="1"/>
  <c r="O612" i="1"/>
  <c r="R612" i="1" s="1"/>
  <c r="N612" i="1"/>
  <c r="Q611" i="1"/>
  <c r="P611" i="1"/>
  <c r="O611" i="1"/>
  <c r="R611" i="1" s="1"/>
  <c r="N611" i="1"/>
  <c r="Q610" i="1"/>
  <c r="P610" i="1"/>
  <c r="O610" i="1"/>
  <c r="R610" i="1" s="1"/>
  <c r="N610" i="1"/>
  <c r="Q609" i="1"/>
  <c r="P609" i="1"/>
  <c r="O609" i="1"/>
  <c r="R609" i="1" s="1"/>
  <c r="N609" i="1"/>
  <c r="Q608" i="1"/>
  <c r="P608" i="1"/>
  <c r="O608" i="1"/>
  <c r="R608" i="1" s="1"/>
  <c r="N608" i="1"/>
  <c r="Q607" i="1"/>
  <c r="P607" i="1"/>
  <c r="O607" i="1"/>
  <c r="R607" i="1" s="1"/>
  <c r="N607" i="1"/>
  <c r="Q606" i="1"/>
  <c r="P606" i="1"/>
  <c r="O606" i="1"/>
  <c r="R606" i="1" s="1"/>
  <c r="N606" i="1"/>
  <c r="Q605" i="1"/>
  <c r="P605" i="1"/>
  <c r="O605" i="1"/>
  <c r="R605" i="1" s="1"/>
  <c r="N605" i="1"/>
  <c r="Q604" i="1"/>
  <c r="P604" i="1"/>
  <c r="O604" i="1"/>
  <c r="R604" i="1" s="1"/>
  <c r="N604" i="1"/>
  <c r="Q603" i="1"/>
  <c r="P603" i="1"/>
  <c r="O603" i="1"/>
  <c r="R603" i="1" s="1"/>
  <c r="N603" i="1"/>
  <c r="Q602" i="1"/>
  <c r="P602" i="1"/>
  <c r="O602" i="1"/>
  <c r="R602" i="1" s="1"/>
  <c r="N602" i="1"/>
  <c r="Q601" i="1"/>
  <c r="P601" i="1"/>
  <c r="O601" i="1"/>
  <c r="R601" i="1" s="1"/>
  <c r="N601" i="1"/>
  <c r="Q600" i="1"/>
  <c r="P600" i="1"/>
  <c r="O600" i="1"/>
  <c r="R600" i="1" s="1"/>
  <c r="N600" i="1"/>
  <c r="Q599" i="1"/>
  <c r="P599" i="1"/>
  <c r="O599" i="1"/>
  <c r="R599" i="1" s="1"/>
  <c r="N599" i="1"/>
  <c r="Q598" i="1"/>
  <c r="P598" i="1"/>
  <c r="O598" i="1"/>
  <c r="R598" i="1" s="1"/>
  <c r="N598" i="1"/>
  <c r="Q597" i="1"/>
  <c r="P597" i="1"/>
  <c r="O597" i="1"/>
  <c r="R597" i="1" s="1"/>
  <c r="N597" i="1"/>
  <c r="Q596" i="1"/>
  <c r="P596" i="1"/>
  <c r="O596" i="1"/>
  <c r="R596" i="1" s="1"/>
  <c r="N596" i="1"/>
  <c r="Q595" i="1"/>
  <c r="P595" i="1"/>
  <c r="O595" i="1"/>
  <c r="R595" i="1" s="1"/>
  <c r="N595" i="1"/>
  <c r="Q594" i="1"/>
  <c r="P594" i="1"/>
  <c r="O594" i="1"/>
  <c r="R594" i="1" s="1"/>
  <c r="N594" i="1"/>
  <c r="Q593" i="1"/>
  <c r="P593" i="1"/>
  <c r="O593" i="1"/>
  <c r="R593" i="1" s="1"/>
  <c r="N593" i="1"/>
  <c r="Q592" i="1"/>
  <c r="P592" i="1"/>
  <c r="O592" i="1"/>
  <c r="R592" i="1" s="1"/>
  <c r="N592" i="1"/>
  <c r="B592" i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Q591" i="1"/>
  <c r="P591" i="1"/>
  <c r="O591" i="1"/>
  <c r="R591" i="1" s="1"/>
  <c r="N591" i="1"/>
  <c r="R590" i="1"/>
  <c r="R122" i="1"/>
  <c r="F122" i="1"/>
  <c r="Q121" i="1"/>
  <c r="P121" i="1"/>
  <c r="O121" i="1"/>
  <c r="R121" i="1" s="1"/>
  <c r="N121" i="1"/>
  <c r="Q120" i="1"/>
  <c r="P120" i="1"/>
  <c r="O120" i="1"/>
  <c r="R120" i="1" s="1"/>
  <c r="N120" i="1"/>
  <c r="Q119" i="1"/>
  <c r="P119" i="1"/>
  <c r="O119" i="1"/>
  <c r="R119" i="1" s="1"/>
  <c r="N119" i="1"/>
  <c r="Q118" i="1"/>
  <c r="P118" i="1"/>
  <c r="O118" i="1"/>
  <c r="R118" i="1" s="1"/>
  <c r="N118" i="1"/>
  <c r="Q117" i="1"/>
  <c r="P117" i="1"/>
  <c r="O117" i="1"/>
  <c r="R117" i="1" s="1"/>
  <c r="N117" i="1"/>
  <c r="R116" i="1"/>
  <c r="Q116" i="1"/>
  <c r="P116" i="1"/>
  <c r="O116" i="1"/>
  <c r="N116" i="1"/>
  <c r="Q115" i="1"/>
  <c r="P115" i="1"/>
  <c r="O115" i="1"/>
  <c r="R115" i="1" s="1"/>
  <c r="N115" i="1"/>
  <c r="Q114" i="1"/>
  <c r="P114" i="1"/>
  <c r="O114" i="1"/>
  <c r="R114" i="1" s="1"/>
  <c r="N114" i="1"/>
  <c r="Q113" i="1"/>
  <c r="P113" i="1"/>
  <c r="O113" i="1"/>
  <c r="R113" i="1" s="1"/>
  <c r="N113" i="1"/>
  <c r="Q112" i="1"/>
  <c r="P112" i="1"/>
  <c r="O112" i="1"/>
  <c r="R112" i="1" s="1"/>
  <c r="N112" i="1"/>
  <c r="Q111" i="1"/>
  <c r="P111" i="1"/>
  <c r="O111" i="1"/>
  <c r="R111" i="1" s="1"/>
  <c r="N111" i="1"/>
  <c r="Q110" i="1"/>
  <c r="P110" i="1"/>
  <c r="O110" i="1"/>
  <c r="R110" i="1" s="1"/>
  <c r="N110" i="1"/>
  <c r="Q109" i="1"/>
  <c r="P109" i="1"/>
  <c r="O109" i="1"/>
  <c r="R109" i="1" s="1"/>
  <c r="N109" i="1"/>
  <c r="Q108" i="1"/>
  <c r="P108" i="1"/>
  <c r="O108" i="1"/>
  <c r="R108" i="1" s="1"/>
  <c r="N108" i="1"/>
  <c r="Q107" i="1"/>
  <c r="P107" i="1"/>
  <c r="O107" i="1"/>
  <c r="R107" i="1" s="1"/>
  <c r="N107" i="1"/>
  <c r="Q106" i="1"/>
  <c r="P106" i="1"/>
  <c r="O106" i="1"/>
  <c r="R106" i="1" s="1"/>
  <c r="N106" i="1"/>
  <c r="R105" i="1"/>
  <c r="Q104" i="1"/>
  <c r="P104" i="1"/>
  <c r="O104" i="1"/>
  <c r="R104" i="1" s="1"/>
  <c r="N104" i="1"/>
  <c r="Q103" i="1"/>
  <c r="P103" i="1"/>
  <c r="O103" i="1"/>
  <c r="R103" i="1" s="1"/>
  <c r="N103" i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Q102" i="1"/>
  <c r="P102" i="1"/>
  <c r="O102" i="1"/>
  <c r="R102" i="1" s="1"/>
  <c r="N102" i="1"/>
  <c r="R101" i="1"/>
  <c r="R100" i="1"/>
  <c r="F44" i="19" l="1"/>
  <c r="Q43" i="19"/>
  <c r="P43" i="19"/>
  <c r="O43" i="19"/>
  <c r="N43" i="19"/>
  <c r="Q42" i="19"/>
  <c r="P42" i="19"/>
  <c r="O42" i="19"/>
  <c r="R42" i="19" s="1"/>
  <c r="N42" i="19"/>
  <c r="Q41" i="19"/>
  <c r="P41" i="19"/>
  <c r="O41" i="19"/>
  <c r="N41" i="19"/>
  <c r="Q40" i="19"/>
  <c r="P40" i="19"/>
  <c r="O40" i="19"/>
  <c r="N40" i="19"/>
  <c r="Q39" i="19"/>
  <c r="P39" i="19"/>
  <c r="O39" i="19"/>
  <c r="N39" i="19"/>
  <c r="R43" i="19"/>
  <c r="R41" i="19"/>
  <c r="P75" i="19" l="1"/>
  <c r="O75" i="19"/>
  <c r="N75" i="19"/>
  <c r="P74" i="19"/>
  <c r="O74" i="19"/>
  <c r="P73" i="19"/>
  <c r="O73" i="19"/>
  <c r="N73" i="19"/>
  <c r="P72" i="19"/>
  <c r="O72" i="19"/>
  <c r="N72" i="19"/>
  <c r="P71" i="19"/>
  <c r="O71" i="19"/>
  <c r="N71" i="19"/>
  <c r="P70" i="19"/>
  <c r="O70" i="19"/>
  <c r="N70" i="19"/>
  <c r="P69" i="19"/>
  <c r="O69" i="19"/>
  <c r="N69" i="19"/>
  <c r="P68" i="19"/>
  <c r="O68" i="19"/>
  <c r="N68" i="19"/>
  <c r="P67" i="19"/>
  <c r="O67" i="19"/>
  <c r="N67" i="19"/>
  <c r="P66" i="19"/>
  <c r="O66" i="19"/>
  <c r="N66" i="19"/>
  <c r="P65" i="19"/>
  <c r="O65" i="19"/>
  <c r="N65" i="19"/>
  <c r="P64" i="19"/>
  <c r="O64" i="19"/>
  <c r="N64" i="19"/>
  <c r="P63" i="19"/>
  <c r="O63" i="19"/>
  <c r="N63" i="19"/>
  <c r="P62" i="19"/>
  <c r="O62" i="19"/>
  <c r="N62" i="19"/>
  <c r="P61" i="19"/>
  <c r="O61" i="19"/>
  <c r="N61" i="19"/>
  <c r="P60" i="19"/>
  <c r="O60" i="19"/>
  <c r="N60" i="19"/>
  <c r="P59" i="19"/>
  <c r="O59" i="19"/>
  <c r="N59" i="19"/>
  <c r="P58" i="19"/>
  <c r="O58" i="19"/>
  <c r="N58" i="19"/>
  <c r="P57" i="19"/>
  <c r="O57" i="19"/>
  <c r="N57" i="19"/>
  <c r="P56" i="19"/>
  <c r="O56" i="19"/>
  <c r="N56" i="19"/>
  <c r="P55" i="19"/>
  <c r="O55" i="19"/>
  <c r="N55" i="19"/>
  <c r="P54" i="19"/>
  <c r="O54" i="19"/>
  <c r="N54" i="19"/>
  <c r="P53" i="19"/>
  <c r="O53" i="19"/>
  <c r="N53" i="19"/>
  <c r="P52" i="19"/>
  <c r="O52" i="19"/>
  <c r="P51" i="19"/>
  <c r="O51" i="19"/>
  <c r="N51" i="19"/>
  <c r="P50" i="19"/>
  <c r="O50" i="19"/>
  <c r="N50" i="19"/>
  <c r="P49" i="19"/>
  <c r="O49" i="19"/>
  <c r="N49" i="19"/>
  <c r="P246" i="3" l="1"/>
  <c r="O246" i="3"/>
  <c r="N246" i="3"/>
  <c r="P244" i="3"/>
  <c r="O244" i="3"/>
  <c r="N244" i="3"/>
  <c r="P243" i="3"/>
  <c r="O243" i="3"/>
  <c r="N243" i="3"/>
  <c r="P242" i="3"/>
  <c r="O242" i="3"/>
  <c r="N242" i="3"/>
  <c r="P240" i="3"/>
  <c r="O240" i="3"/>
  <c r="N240" i="3"/>
  <c r="P239" i="3"/>
  <c r="O239" i="3"/>
  <c r="N239" i="3"/>
  <c r="P237" i="3"/>
  <c r="O237" i="3"/>
  <c r="N237" i="3"/>
  <c r="P234" i="3"/>
  <c r="O234" i="3"/>
  <c r="N234" i="3"/>
  <c r="P233" i="3"/>
  <c r="O233" i="3"/>
  <c r="N233" i="3"/>
  <c r="P232" i="3"/>
  <c r="O232" i="3"/>
  <c r="N232" i="3"/>
  <c r="P231" i="3"/>
  <c r="O231" i="3"/>
  <c r="N231" i="3"/>
  <c r="P230" i="3"/>
  <c r="O230" i="3"/>
  <c r="N230" i="3"/>
  <c r="P229" i="3"/>
  <c r="O229" i="3"/>
  <c r="N229" i="3"/>
  <c r="P228" i="3"/>
  <c r="O228" i="3"/>
  <c r="N228" i="3"/>
  <c r="P227" i="3"/>
  <c r="O227" i="3"/>
  <c r="N227" i="3"/>
  <c r="P226" i="3"/>
  <c r="O226" i="3"/>
  <c r="N226" i="3"/>
  <c r="P225" i="3"/>
  <c r="O225" i="3"/>
  <c r="N225" i="3"/>
  <c r="P222" i="3"/>
  <c r="O222" i="3"/>
  <c r="N222" i="3"/>
  <c r="P221" i="3"/>
  <c r="O221" i="3"/>
  <c r="N221" i="3"/>
  <c r="P220" i="3"/>
  <c r="O220" i="3"/>
  <c r="N220" i="3"/>
  <c r="P219" i="3"/>
  <c r="O219" i="3"/>
  <c r="N219" i="3"/>
  <c r="P216" i="3"/>
  <c r="O216" i="3"/>
  <c r="N216" i="3"/>
  <c r="P215" i="3"/>
  <c r="O215" i="3"/>
  <c r="N215" i="3"/>
  <c r="P214" i="3"/>
  <c r="O214" i="3"/>
  <c r="N214" i="3"/>
  <c r="P213" i="3"/>
  <c r="O213" i="3"/>
  <c r="N213" i="3"/>
  <c r="P211" i="3"/>
  <c r="O211" i="3"/>
  <c r="N211" i="3"/>
  <c r="P210" i="3"/>
  <c r="O210" i="3"/>
  <c r="N210" i="3"/>
  <c r="P209" i="3"/>
  <c r="O209" i="3"/>
  <c r="N209" i="3"/>
  <c r="P208" i="3"/>
  <c r="O208" i="3"/>
  <c r="N208" i="3"/>
  <c r="P206" i="3"/>
  <c r="O206" i="3"/>
  <c r="N206" i="3"/>
  <c r="P205" i="3"/>
  <c r="O205" i="3"/>
  <c r="N205" i="3"/>
  <c r="P204" i="3"/>
  <c r="O204" i="3"/>
  <c r="N204" i="3"/>
  <c r="P203" i="3"/>
  <c r="O203" i="3"/>
  <c r="N203" i="3"/>
  <c r="P202" i="3"/>
  <c r="O202" i="3"/>
  <c r="N202" i="3"/>
  <c r="P201" i="3"/>
  <c r="O201" i="3"/>
  <c r="N201" i="3"/>
  <c r="P200" i="3"/>
  <c r="O200" i="3"/>
  <c r="N200" i="3"/>
  <c r="P199" i="3"/>
  <c r="O199" i="3"/>
  <c r="N199" i="3"/>
  <c r="P198" i="3"/>
  <c r="O198" i="3"/>
  <c r="N198" i="3"/>
  <c r="P189" i="3"/>
  <c r="O189" i="3"/>
  <c r="N189" i="3"/>
  <c r="P188" i="3"/>
  <c r="O188" i="3"/>
  <c r="N188" i="3"/>
  <c r="P187" i="3"/>
  <c r="O187" i="3"/>
  <c r="N187" i="3"/>
  <c r="P186" i="3"/>
  <c r="O186" i="3"/>
  <c r="N186" i="3"/>
  <c r="P185" i="3"/>
  <c r="O185" i="3"/>
  <c r="N185" i="3"/>
  <c r="Q169" i="3"/>
  <c r="P169" i="3"/>
  <c r="O169" i="3"/>
  <c r="N169" i="3"/>
  <c r="Q168" i="3"/>
  <c r="P168" i="3"/>
  <c r="O168" i="3"/>
  <c r="N168" i="3"/>
  <c r="Q167" i="3"/>
  <c r="P167" i="3"/>
  <c r="O167" i="3"/>
  <c r="N167" i="3"/>
  <c r="Q166" i="3"/>
  <c r="P166" i="3"/>
  <c r="O166" i="3"/>
  <c r="N166" i="3"/>
  <c r="Q165" i="3"/>
  <c r="P165" i="3"/>
  <c r="O165" i="3"/>
  <c r="N165" i="3"/>
  <c r="Q164" i="3"/>
  <c r="P164" i="3"/>
  <c r="O164" i="3"/>
  <c r="N164" i="3"/>
  <c r="Q163" i="3"/>
  <c r="P163" i="3"/>
  <c r="O163" i="3"/>
  <c r="N163" i="3"/>
  <c r="Q162" i="3"/>
  <c r="P162" i="3"/>
  <c r="O162" i="3"/>
  <c r="N162" i="3"/>
  <c r="Q161" i="3"/>
  <c r="P161" i="3"/>
  <c r="O161" i="3"/>
  <c r="N161" i="3"/>
  <c r="Q160" i="3"/>
  <c r="P160" i="3"/>
  <c r="O160" i="3"/>
  <c r="N160" i="3"/>
  <c r="Q159" i="3"/>
  <c r="P159" i="3"/>
  <c r="O159" i="3"/>
  <c r="N159" i="3"/>
  <c r="Q158" i="3"/>
  <c r="P158" i="3"/>
  <c r="O158" i="3"/>
  <c r="N158" i="3"/>
  <c r="Q157" i="3"/>
  <c r="P157" i="3"/>
  <c r="O157" i="3"/>
  <c r="N157" i="3"/>
  <c r="Q156" i="3"/>
  <c r="P156" i="3"/>
  <c r="O156" i="3"/>
  <c r="N156" i="3"/>
  <c r="Q155" i="3"/>
  <c r="P155" i="3"/>
  <c r="O155" i="3"/>
  <c r="N155" i="3"/>
  <c r="Q154" i="3"/>
  <c r="P154" i="3"/>
  <c r="O154" i="3"/>
  <c r="N154" i="3"/>
  <c r="Q153" i="3"/>
  <c r="P153" i="3"/>
  <c r="O153" i="3"/>
  <c r="N153" i="3"/>
  <c r="Q152" i="3"/>
  <c r="P152" i="3"/>
  <c r="O152" i="3"/>
  <c r="N152" i="3"/>
  <c r="Q151" i="3"/>
  <c r="P151" i="3"/>
  <c r="O151" i="3"/>
  <c r="N151" i="3"/>
  <c r="Q150" i="3"/>
  <c r="P150" i="3"/>
  <c r="O150" i="3"/>
  <c r="N150" i="3"/>
  <c r="Q149" i="3"/>
  <c r="P149" i="3"/>
  <c r="O149" i="3"/>
  <c r="N149" i="3"/>
  <c r="Q148" i="3"/>
  <c r="P148" i="3"/>
  <c r="O148" i="3"/>
  <c r="N148" i="3"/>
  <c r="Q147" i="3"/>
  <c r="P147" i="3"/>
  <c r="O147" i="3"/>
  <c r="N147" i="3"/>
  <c r="Q146" i="3"/>
  <c r="P146" i="3"/>
  <c r="O146" i="3"/>
  <c r="N146" i="3"/>
  <c r="Q145" i="3"/>
  <c r="P145" i="3"/>
  <c r="O145" i="3"/>
  <c r="N145" i="3"/>
  <c r="Q144" i="3"/>
  <c r="P144" i="3"/>
  <c r="O144" i="3"/>
  <c r="N144" i="3"/>
  <c r="Q143" i="3"/>
  <c r="P143" i="3"/>
  <c r="O143" i="3"/>
  <c r="N143" i="3"/>
  <c r="Q142" i="3"/>
  <c r="P142" i="3"/>
  <c r="O142" i="3"/>
  <c r="N142" i="3"/>
  <c r="Q141" i="3"/>
  <c r="P141" i="3"/>
  <c r="O141" i="3"/>
  <c r="N141" i="3"/>
  <c r="Q140" i="3"/>
  <c r="P140" i="3"/>
  <c r="O140" i="3"/>
  <c r="N140" i="3"/>
  <c r="Q139" i="3"/>
  <c r="P139" i="3"/>
  <c r="O139" i="3"/>
  <c r="N139" i="3"/>
  <c r="Q138" i="3"/>
  <c r="P138" i="3"/>
  <c r="O138" i="3"/>
  <c r="N138" i="3"/>
  <c r="Q137" i="3"/>
  <c r="P137" i="3"/>
  <c r="O137" i="3"/>
  <c r="N137" i="3"/>
  <c r="Q136" i="3"/>
  <c r="P136" i="3"/>
  <c r="O136" i="3"/>
  <c r="N136" i="3"/>
  <c r="Q135" i="3"/>
  <c r="P135" i="3"/>
  <c r="O135" i="3"/>
  <c r="N135" i="3"/>
  <c r="Q134" i="3"/>
  <c r="P134" i="3"/>
  <c r="O134" i="3"/>
  <c r="N134" i="3"/>
  <c r="Q133" i="3"/>
  <c r="P133" i="3"/>
  <c r="O133" i="3"/>
  <c r="N133" i="3"/>
  <c r="Q132" i="3"/>
  <c r="P132" i="3"/>
  <c r="O132" i="3"/>
  <c r="N132" i="3"/>
  <c r="Q131" i="3"/>
  <c r="P131" i="3"/>
  <c r="O131" i="3"/>
  <c r="N131" i="3"/>
  <c r="Q130" i="3"/>
  <c r="P130" i="3"/>
  <c r="O130" i="3"/>
  <c r="N130" i="3"/>
  <c r="Q129" i="3"/>
  <c r="P129" i="3"/>
  <c r="O129" i="3"/>
  <c r="N129" i="3"/>
  <c r="Q128" i="3"/>
  <c r="P128" i="3"/>
  <c r="O128" i="3"/>
  <c r="N128" i="3"/>
  <c r="Q127" i="3"/>
  <c r="P127" i="3"/>
  <c r="O127" i="3"/>
  <c r="N127" i="3"/>
  <c r="Q126" i="3"/>
  <c r="P126" i="3"/>
  <c r="O126" i="3"/>
  <c r="N126" i="3"/>
  <c r="Q125" i="3"/>
  <c r="P125" i="3"/>
  <c r="O125" i="3"/>
  <c r="N125" i="3"/>
  <c r="Q124" i="3"/>
  <c r="P124" i="3"/>
  <c r="O124" i="3"/>
  <c r="N124" i="3"/>
  <c r="Q123" i="3"/>
  <c r="P123" i="3"/>
  <c r="O123" i="3"/>
  <c r="N123" i="3"/>
  <c r="Q122" i="3"/>
  <c r="P122" i="3"/>
  <c r="O122" i="3"/>
  <c r="N122" i="3"/>
  <c r="Q121" i="3"/>
  <c r="P121" i="3"/>
  <c r="O121" i="3"/>
  <c r="N121" i="3"/>
  <c r="Q119" i="3"/>
  <c r="P119" i="3"/>
  <c r="O119" i="3"/>
  <c r="N119" i="3"/>
  <c r="Q118" i="3"/>
  <c r="P118" i="3"/>
  <c r="O118" i="3"/>
  <c r="N118" i="3"/>
  <c r="Q117" i="3"/>
  <c r="P117" i="3"/>
  <c r="O117" i="3"/>
  <c r="N117" i="3"/>
  <c r="Q116" i="3"/>
  <c r="P116" i="3"/>
  <c r="O116" i="3"/>
  <c r="N116" i="3"/>
  <c r="Q115" i="3"/>
  <c r="P115" i="3"/>
  <c r="O115" i="3"/>
  <c r="N115" i="3"/>
  <c r="Q114" i="3"/>
  <c r="P114" i="3"/>
  <c r="O114" i="3"/>
  <c r="N114" i="3"/>
  <c r="Q113" i="3"/>
  <c r="P113" i="3"/>
  <c r="O113" i="3"/>
  <c r="N113" i="3"/>
  <c r="Q112" i="3"/>
  <c r="P112" i="3"/>
  <c r="O112" i="3"/>
  <c r="N112" i="3"/>
  <c r="Q111" i="3"/>
  <c r="P111" i="3"/>
  <c r="O111" i="3"/>
  <c r="N111" i="3"/>
  <c r="Q110" i="3"/>
  <c r="P110" i="3"/>
  <c r="O110" i="3"/>
  <c r="N110" i="3"/>
  <c r="Q109" i="3"/>
  <c r="P109" i="3"/>
  <c r="O109" i="3"/>
  <c r="N109" i="3"/>
  <c r="Q108" i="3"/>
  <c r="P108" i="3"/>
  <c r="O108" i="3"/>
  <c r="N108" i="3"/>
  <c r="Q107" i="3"/>
  <c r="P107" i="3"/>
  <c r="O107" i="3"/>
  <c r="N107" i="3"/>
  <c r="Q106" i="3"/>
  <c r="P106" i="3"/>
  <c r="O106" i="3"/>
  <c r="N106" i="3"/>
  <c r="Q105" i="3"/>
  <c r="P105" i="3"/>
  <c r="O105" i="3"/>
  <c r="N105" i="3"/>
  <c r="Q104" i="3"/>
  <c r="P104" i="3"/>
  <c r="O104" i="3"/>
  <c r="N104" i="3"/>
  <c r="Q103" i="3"/>
  <c r="P103" i="3"/>
  <c r="O103" i="3"/>
  <c r="N103" i="3"/>
  <c r="Q102" i="3"/>
  <c r="P102" i="3"/>
  <c r="O102" i="3"/>
  <c r="N102" i="3"/>
  <c r="Q101" i="3"/>
  <c r="P101" i="3"/>
  <c r="O101" i="3"/>
  <c r="N101" i="3"/>
  <c r="Q100" i="3"/>
  <c r="P100" i="3"/>
  <c r="O100" i="3"/>
  <c r="N100" i="3"/>
  <c r="Q99" i="3"/>
  <c r="P99" i="3"/>
  <c r="O99" i="3"/>
  <c r="N99" i="3"/>
  <c r="Q98" i="3"/>
  <c r="P98" i="3"/>
  <c r="O98" i="3"/>
  <c r="N98" i="3"/>
  <c r="Q97" i="3"/>
  <c r="P97" i="3"/>
  <c r="O97" i="3"/>
  <c r="N97" i="3"/>
  <c r="Q96" i="3"/>
  <c r="P96" i="3"/>
  <c r="O96" i="3"/>
  <c r="N96" i="3"/>
  <c r="Q95" i="3"/>
  <c r="P95" i="3"/>
  <c r="O95" i="3"/>
  <c r="N95" i="3"/>
  <c r="Q94" i="3"/>
  <c r="P94" i="3"/>
  <c r="O94" i="3"/>
  <c r="N94" i="3"/>
  <c r="Q93" i="3"/>
  <c r="P93" i="3"/>
  <c r="O93" i="3"/>
  <c r="N93" i="3"/>
  <c r="Q92" i="3"/>
  <c r="P92" i="3"/>
  <c r="O92" i="3"/>
  <c r="N92" i="3"/>
  <c r="Q91" i="3"/>
  <c r="P91" i="3"/>
  <c r="O91" i="3"/>
  <c r="N91" i="3"/>
  <c r="Q90" i="3"/>
  <c r="P90" i="3"/>
  <c r="O90" i="3"/>
  <c r="N90" i="3"/>
  <c r="Q89" i="3"/>
  <c r="P89" i="3"/>
  <c r="O89" i="3"/>
  <c r="N89" i="3"/>
  <c r="Q88" i="3"/>
  <c r="P88" i="3"/>
  <c r="O88" i="3"/>
  <c r="N88" i="3"/>
  <c r="Q87" i="3"/>
  <c r="P87" i="3"/>
  <c r="O87" i="3"/>
  <c r="N87" i="3"/>
  <c r="Q86" i="3"/>
  <c r="P86" i="3"/>
  <c r="O86" i="3"/>
  <c r="N86" i="3"/>
  <c r="Q85" i="3"/>
  <c r="P85" i="3"/>
  <c r="O85" i="3"/>
  <c r="N85" i="3"/>
  <c r="Q84" i="3"/>
  <c r="P84" i="3"/>
  <c r="O84" i="3"/>
  <c r="N84" i="3"/>
  <c r="Q83" i="3"/>
  <c r="P83" i="3"/>
  <c r="O83" i="3"/>
  <c r="N83" i="3"/>
  <c r="Q81" i="3"/>
  <c r="P81" i="3"/>
  <c r="O81" i="3"/>
  <c r="N81" i="3"/>
  <c r="Q80" i="3"/>
  <c r="P80" i="3"/>
  <c r="O80" i="3"/>
  <c r="N80" i="3"/>
  <c r="Q79" i="3"/>
  <c r="P79" i="3"/>
  <c r="O79" i="3"/>
  <c r="N79" i="3"/>
  <c r="Q78" i="3"/>
  <c r="P78" i="3"/>
  <c r="O78" i="3"/>
  <c r="N78" i="3"/>
  <c r="Q77" i="3"/>
  <c r="P77" i="3"/>
  <c r="O77" i="3"/>
  <c r="N77" i="3"/>
  <c r="Q76" i="3"/>
  <c r="P76" i="3"/>
  <c r="O76" i="3"/>
  <c r="N76" i="3"/>
  <c r="Q75" i="3"/>
  <c r="P75" i="3"/>
  <c r="O75" i="3"/>
  <c r="N75" i="3"/>
  <c r="Q74" i="3"/>
  <c r="P74" i="3"/>
  <c r="O74" i="3"/>
  <c r="N74" i="3"/>
  <c r="Q73" i="3"/>
  <c r="P73" i="3"/>
  <c r="O73" i="3"/>
  <c r="N73" i="3"/>
  <c r="Q72" i="3"/>
  <c r="P72" i="3"/>
  <c r="O72" i="3"/>
  <c r="N72" i="3"/>
  <c r="Q71" i="3"/>
  <c r="P71" i="3"/>
  <c r="O71" i="3"/>
  <c r="N71" i="3"/>
  <c r="Q70" i="3"/>
  <c r="P70" i="3"/>
  <c r="O70" i="3"/>
  <c r="N70" i="3"/>
  <c r="Q69" i="3"/>
  <c r="P69" i="3"/>
  <c r="O69" i="3"/>
  <c r="N69" i="3"/>
  <c r="Q68" i="3"/>
  <c r="P68" i="3"/>
  <c r="O68" i="3"/>
  <c r="N68" i="3"/>
  <c r="Q67" i="3"/>
  <c r="P67" i="3"/>
  <c r="O67" i="3"/>
  <c r="N67" i="3"/>
  <c r="Q66" i="3"/>
  <c r="P66" i="3"/>
  <c r="O66" i="3"/>
  <c r="N66" i="3"/>
  <c r="Q65" i="3"/>
  <c r="P65" i="3"/>
  <c r="O65" i="3"/>
  <c r="N65" i="3"/>
  <c r="Q64" i="3"/>
  <c r="P64" i="3"/>
  <c r="O64" i="3"/>
  <c r="N64" i="3"/>
  <c r="Q63" i="3"/>
  <c r="P63" i="3"/>
  <c r="O63" i="3"/>
  <c r="N63" i="3"/>
  <c r="Q62" i="3"/>
  <c r="P62" i="3"/>
  <c r="O62" i="3"/>
  <c r="N62" i="3"/>
  <c r="Q61" i="3"/>
  <c r="P61" i="3"/>
  <c r="O61" i="3"/>
  <c r="N61" i="3"/>
  <c r="Q59" i="3"/>
  <c r="P59" i="3"/>
  <c r="O59" i="3"/>
  <c r="N59" i="3"/>
  <c r="Q57" i="3"/>
  <c r="P57" i="3"/>
  <c r="O57" i="3"/>
  <c r="N57" i="3"/>
  <c r="Q56" i="3"/>
  <c r="P56" i="3"/>
  <c r="O56" i="3"/>
  <c r="N56" i="3"/>
  <c r="Q55" i="3"/>
  <c r="P55" i="3"/>
  <c r="O55" i="3"/>
  <c r="N55" i="3"/>
  <c r="Q54" i="3"/>
  <c r="P54" i="3"/>
  <c r="O54" i="3"/>
  <c r="N54" i="3"/>
  <c r="Q53" i="3"/>
  <c r="P53" i="3"/>
  <c r="O53" i="3"/>
  <c r="N53" i="3"/>
  <c r="Q52" i="3"/>
  <c r="P52" i="3"/>
  <c r="O52" i="3"/>
  <c r="N52" i="3"/>
  <c r="Q51" i="3"/>
  <c r="P51" i="3"/>
  <c r="O51" i="3"/>
  <c r="N51" i="3"/>
  <c r="Q50" i="3"/>
  <c r="P50" i="3"/>
  <c r="O50" i="3"/>
  <c r="N50" i="3"/>
  <c r="Q49" i="3"/>
  <c r="P49" i="3"/>
  <c r="O49" i="3"/>
  <c r="N49" i="3"/>
  <c r="Q48" i="3"/>
  <c r="P48" i="3"/>
  <c r="O48" i="3"/>
  <c r="N48" i="3"/>
  <c r="F1758" i="1" l="1"/>
  <c r="F1664" i="1"/>
  <c r="P1757" i="1"/>
  <c r="O1757" i="1"/>
  <c r="N1757" i="1"/>
  <c r="P1756" i="1"/>
  <c r="O1756" i="1"/>
  <c r="N1756" i="1"/>
  <c r="P1755" i="1"/>
  <c r="O1755" i="1"/>
  <c r="N1755" i="1"/>
  <c r="P1754" i="1"/>
  <c r="O1754" i="1"/>
  <c r="N1754" i="1"/>
  <c r="P1753" i="1"/>
  <c r="O1753" i="1"/>
  <c r="N1753" i="1"/>
  <c r="P1752" i="1"/>
  <c r="O1752" i="1"/>
  <c r="N1752" i="1"/>
  <c r="P1560" i="1"/>
  <c r="O1560" i="1"/>
  <c r="N1560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O916" i="1"/>
  <c r="P916" i="1"/>
  <c r="O917" i="1"/>
  <c r="P917" i="1"/>
  <c r="O918" i="1"/>
  <c r="P918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O941" i="1"/>
  <c r="P941" i="1"/>
  <c r="Q248" i="1"/>
  <c r="P248" i="1"/>
  <c r="O248" i="1"/>
  <c r="N248" i="1"/>
  <c r="Q247" i="1"/>
  <c r="P247" i="1"/>
  <c r="O247" i="1"/>
  <c r="N247" i="1"/>
  <c r="Q246" i="1"/>
  <c r="P246" i="1"/>
  <c r="O246" i="1"/>
  <c r="N246" i="1"/>
  <c r="Q245" i="1"/>
  <c r="P245" i="1"/>
  <c r="O245" i="1"/>
  <c r="N245" i="1"/>
  <c r="Q244" i="1"/>
  <c r="P244" i="1"/>
  <c r="O244" i="1"/>
  <c r="N244" i="1"/>
  <c r="Q243" i="1"/>
  <c r="P243" i="1"/>
  <c r="O243" i="1"/>
  <c r="N243" i="1"/>
  <c r="Q242" i="1"/>
  <c r="P242" i="1"/>
  <c r="O242" i="1"/>
  <c r="N242" i="1"/>
  <c r="Q241" i="1"/>
  <c r="P241" i="1"/>
  <c r="O241" i="1"/>
  <c r="N241" i="1"/>
  <c r="Q240" i="1"/>
  <c r="P240" i="1"/>
  <c r="O240" i="1"/>
  <c r="N240" i="1"/>
  <c r="Q239" i="1"/>
  <c r="P239" i="1"/>
  <c r="O239" i="1"/>
  <c r="N239" i="1"/>
  <c r="Q238" i="1"/>
  <c r="P238" i="1"/>
  <c r="O238" i="1"/>
  <c r="N238" i="1"/>
  <c r="Q237" i="1"/>
  <c r="P237" i="1"/>
  <c r="O237" i="1"/>
  <c r="N237" i="1"/>
  <c r="Q236" i="1"/>
  <c r="P236" i="1"/>
  <c r="O236" i="1"/>
  <c r="N236" i="1"/>
  <c r="Q235" i="1"/>
  <c r="P235" i="1"/>
  <c r="O235" i="1"/>
  <c r="N235" i="1"/>
  <c r="Q234" i="1"/>
  <c r="P234" i="1"/>
  <c r="O234" i="1"/>
  <c r="N234" i="1"/>
  <c r="Q233" i="1"/>
  <c r="P233" i="1"/>
  <c r="O233" i="1"/>
  <c r="N233" i="1"/>
  <c r="Q232" i="1"/>
  <c r="P232" i="1"/>
  <c r="O232" i="1"/>
  <c r="N232" i="1"/>
  <c r="Q231" i="1"/>
  <c r="P231" i="1"/>
  <c r="O231" i="1"/>
  <c r="N231" i="1"/>
  <c r="Q230" i="1"/>
  <c r="P230" i="1"/>
  <c r="O230" i="1"/>
  <c r="N230" i="1"/>
  <c r="Q229" i="1"/>
  <c r="P229" i="1"/>
  <c r="O229" i="1"/>
  <c r="N229" i="1"/>
  <c r="P228" i="1"/>
  <c r="O228" i="1"/>
  <c r="P227" i="1"/>
  <c r="O227" i="1"/>
  <c r="P226" i="1"/>
  <c r="O226" i="1"/>
  <c r="Q225" i="1"/>
  <c r="P225" i="1"/>
  <c r="O225" i="1"/>
  <c r="N225" i="1"/>
  <c r="Q224" i="1"/>
  <c r="P224" i="1"/>
  <c r="O224" i="1"/>
  <c r="N224" i="1"/>
  <c r="P223" i="1"/>
  <c r="O223" i="1"/>
  <c r="P222" i="1"/>
  <c r="O222" i="1"/>
  <c r="Q221" i="1"/>
  <c r="P221" i="1"/>
  <c r="O221" i="1"/>
  <c r="N221" i="1"/>
  <c r="P220" i="1"/>
  <c r="O220" i="1"/>
  <c r="Q219" i="1"/>
  <c r="P219" i="1"/>
  <c r="O219" i="1"/>
  <c r="N219" i="1"/>
  <c r="Q218" i="1"/>
  <c r="P218" i="1"/>
  <c r="O218" i="1"/>
  <c r="N218" i="1"/>
  <c r="P217" i="1"/>
  <c r="O217" i="1"/>
  <c r="Q216" i="1"/>
  <c r="P216" i="1"/>
  <c r="O216" i="1"/>
  <c r="N216" i="1"/>
  <c r="Q215" i="1"/>
  <c r="P215" i="1"/>
  <c r="O215" i="1"/>
  <c r="N215" i="1"/>
  <c r="Q214" i="1"/>
  <c r="P214" i="1"/>
  <c r="O214" i="1"/>
  <c r="N214" i="1"/>
  <c r="P213" i="1"/>
  <c r="O213" i="1"/>
  <c r="Q212" i="1"/>
  <c r="P212" i="1"/>
  <c r="O212" i="1"/>
  <c r="N212" i="1"/>
  <c r="Q211" i="1"/>
  <c r="P211" i="1"/>
  <c r="O211" i="1"/>
  <c r="N211" i="1"/>
  <c r="Q210" i="1"/>
  <c r="P210" i="1"/>
  <c r="O210" i="1"/>
  <c r="N210" i="1"/>
  <c r="Q208" i="1"/>
  <c r="P208" i="1"/>
  <c r="O208" i="1"/>
  <c r="N208" i="1"/>
  <c r="Q207" i="1"/>
  <c r="P207" i="1"/>
  <c r="O207" i="1"/>
  <c r="N207" i="1"/>
  <c r="Q206" i="1"/>
  <c r="P206" i="1"/>
  <c r="O206" i="1"/>
  <c r="N206" i="1"/>
  <c r="Q205" i="1"/>
  <c r="P205" i="1"/>
  <c r="O205" i="1"/>
  <c r="N205" i="1"/>
  <c r="Q204" i="1"/>
  <c r="P204" i="1"/>
  <c r="O204" i="1"/>
  <c r="N204" i="1"/>
  <c r="Q203" i="1"/>
  <c r="P203" i="1"/>
  <c r="O203" i="1"/>
  <c r="N203" i="1"/>
  <c r="Q202" i="1"/>
  <c r="P202" i="1"/>
  <c r="O202" i="1"/>
  <c r="N202" i="1"/>
  <c r="Q201" i="1"/>
  <c r="P201" i="1"/>
  <c r="O201" i="1"/>
  <c r="N201" i="1"/>
  <c r="Q200" i="1"/>
  <c r="P200" i="1"/>
  <c r="O200" i="1"/>
  <c r="N200" i="1"/>
  <c r="Q199" i="1"/>
  <c r="P199" i="1"/>
  <c r="O199" i="1"/>
  <c r="N199" i="1"/>
  <c r="P198" i="1"/>
  <c r="O198" i="1"/>
  <c r="Q197" i="1"/>
  <c r="P197" i="1"/>
  <c r="O197" i="1"/>
  <c r="N197" i="1"/>
  <c r="Q196" i="1"/>
  <c r="P196" i="1"/>
  <c r="O196" i="1"/>
  <c r="N196" i="1"/>
  <c r="Q195" i="1"/>
  <c r="P195" i="1"/>
  <c r="O195" i="1"/>
  <c r="N195" i="1"/>
  <c r="Q194" i="1"/>
  <c r="P194" i="1"/>
  <c r="O194" i="1"/>
  <c r="N194" i="1"/>
  <c r="Q193" i="1"/>
  <c r="P193" i="1"/>
  <c r="O193" i="1"/>
  <c r="N193" i="1"/>
  <c r="Q192" i="1"/>
  <c r="P192" i="1"/>
  <c r="O192" i="1"/>
  <c r="N192" i="1"/>
  <c r="P191" i="1"/>
  <c r="O191" i="1"/>
  <c r="P190" i="1"/>
  <c r="O190" i="1"/>
  <c r="Q189" i="1"/>
  <c r="P189" i="1"/>
  <c r="O189" i="1"/>
  <c r="N189" i="1"/>
  <c r="Q188" i="1"/>
  <c r="P188" i="1"/>
  <c r="O188" i="1"/>
  <c r="N188" i="1"/>
  <c r="P187" i="1"/>
  <c r="O187" i="1"/>
  <c r="Q186" i="1"/>
  <c r="P186" i="1"/>
  <c r="O186" i="1"/>
  <c r="N186" i="1"/>
  <c r="P185" i="1"/>
  <c r="O185" i="1"/>
  <c r="P184" i="1"/>
  <c r="O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Q180" i="1"/>
  <c r="P180" i="1"/>
  <c r="O180" i="1"/>
  <c r="N180" i="1"/>
  <c r="Q179" i="1"/>
  <c r="P179" i="1"/>
  <c r="O179" i="1"/>
  <c r="N179" i="1"/>
  <c r="Q178" i="1"/>
  <c r="P178" i="1"/>
  <c r="O178" i="1"/>
  <c r="N178" i="1"/>
  <c r="Q177" i="1"/>
  <c r="P177" i="1"/>
  <c r="O177" i="1"/>
  <c r="N177" i="1"/>
  <c r="Q176" i="1"/>
  <c r="P176" i="1"/>
  <c r="O176" i="1"/>
  <c r="N176" i="1"/>
  <c r="Q175" i="1"/>
  <c r="P175" i="1"/>
  <c r="O175" i="1"/>
  <c r="N175" i="1"/>
  <c r="Q174" i="1"/>
  <c r="P174" i="1"/>
  <c r="O174" i="1"/>
  <c r="N174" i="1"/>
  <c r="Q173" i="1"/>
  <c r="P173" i="1"/>
  <c r="O173" i="1"/>
  <c r="N173" i="1"/>
  <c r="Q172" i="1"/>
  <c r="P172" i="1"/>
  <c r="O172" i="1"/>
  <c r="N172" i="1"/>
  <c r="Q171" i="1"/>
  <c r="P171" i="1"/>
  <c r="O171" i="1"/>
  <c r="N171" i="1"/>
  <c r="Q170" i="1"/>
  <c r="P170" i="1"/>
  <c r="O170" i="1"/>
  <c r="N170" i="1"/>
  <c r="Q169" i="1"/>
  <c r="P169" i="1"/>
  <c r="O169" i="1"/>
  <c r="N169" i="1"/>
  <c r="Q168" i="1"/>
  <c r="P168" i="1"/>
  <c r="O168" i="1"/>
  <c r="N168" i="1"/>
  <c r="Q167" i="1"/>
  <c r="P167" i="1"/>
  <c r="O167" i="1"/>
  <c r="N167" i="1"/>
  <c r="Q166" i="1"/>
  <c r="P166" i="1"/>
  <c r="O166" i="1"/>
  <c r="N166" i="1"/>
  <c r="Q165" i="1"/>
  <c r="P165" i="1"/>
  <c r="O165" i="1"/>
  <c r="N165" i="1"/>
  <c r="Q164" i="1"/>
  <c r="P164" i="1"/>
  <c r="O164" i="1"/>
  <c r="N164" i="1"/>
  <c r="Q163" i="1"/>
  <c r="P163" i="1"/>
  <c r="O163" i="1"/>
  <c r="N163" i="1"/>
  <c r="Q162" i="1"/>
  <c r="P162" i="1"/>
  <c r="O162" i="1"/>
  <c r="N162" i="1"/>
  <c r="P161" i="1"/>
  <c r="O161" i="1"/>
  <c r="Q160" i="1"/>
  <c r="P160" i="1"/>
  <c r="O160" i="1"/>
  <c r="N160" i="1"/>
  <c r="Q159" i="1"/>
  <c r="P159" i="1"/>
  <c r="O159" i="1"/>
  <c r="N159" i="1"/>
  <c r="Q158" i="1"/>
  <c r="P158" i="1"/>
  <c r="O158" i="1"/>
  <c r="N158" i="1"/>
  <c r="Q157" i="1"/>
  <c r="P157" i="1"/>
  <c r="O157" i="1"/>
  <c r="N157" i="1"/>
  <c r="Q156" i="1"/>
  <c r="P156" i="1"/>
  <c r="O156" i="1"/>
  <c r="N156" i="1"/>
  <c r="P155" i="1"/>
  <c r="O155" i="1"/>
  <c r="Q154" i="1"/>
  <c r="P154" i="1"/>
  <c r="O154" i="1"/>
  <c r="N154" i="1"/>
  <c r="Q153" i="1"/>
  <c r="P153" i="1"/>
  <c r="O153" i="1"/>
  <c r="N153" i="1"/>
  <c r="Q152" i="1"/>
  <c r="P152" i="1"/>
  <c r="O152" i="1"/>
  <c r="N152" i="1"/>
  <c r="P151" i="1"/>
  <c r="O151" i="1"/>
  <c r="Q150" i="1"/>
  <c r="P150" i="1"/>
  <c r="O150" i="1"/>
  <c r="N150" i="1"/>
  <c r="P149" i="1"/>
  <c r="O149" i="1"/>
  <c r="P148" i="1"/>
  <c r="O148" i="1"/>
  <c r="P147" i="1"/>
  <c r="O147" i="1"/>
  <c r="Q146" i="1"/>
  <c r="P146" i="1"/>
  <c r="O146" i="1"/>
  <c r="N146" i="1"/>
  <c r="Q145" i="1"/>
  <c r="P145" i="1"/>
  <c r="O145" i="1"/>
  <c r="N145" i="1"/>
  <c r="Q144" i="1"/>
  <c r="P144" i="1"/>
  <c r="O144" i="1"/>
  <c r="N144" i="1"/>
  <c r="Q143" i="1"/>
  <c r="P143" i="1"/>
  <c r="O143" i="1"/>
  <c r="N143" i="1"/>
  <c r="P142" i="1"/>
  <c r="O142" i="1"/>
  <c r="P141" i="1"/>
  <c r="O141" i="1"/>
  <c r="Q140" i="1"/>
  <c r="P140" i="1"/>
  <c r="O140" i="1"/>
  <c r="N140" i="1"/>
  <c r="Q139" i="1"/>
  <c r="P139" i="1"/>
  <c r="O139" i="1"/>
  <c r="N139" i="1"/>
  <c r="P138" i="1"/>
  <c r="O138" i="1"/>
  <c r="Q137" i="1"/>
  <c r="P137" i="1"/>
  <c r="O137" i="1"/>
  <c r="N137" i="1"/>
  <c r="Q136" i="1"/>
  <c r="P136" i="1"/>
  <c r="O136" i="1"/>
  <c r="N136" i="1"/>
  <c r="P135" i="1"/>
  <c r="O135" i="1"/>
  <c r="Q134" i="1"/>
  <c r="P134" i="1"/>
  <c r="O134" i="1"/>
  <c r="N134" i="1"/>
  <c r="Q133" i="1"/>
  <c r="P133" i="1"/>
  <c r="O133" i="1"/>
  <c r="N133" i="1"/>
  <c r="P132" i="1"/>
  <c r="O132" i="1"/>
  <c r="Q131" i="1"/>
  <c r="P131" i="1"/>
  <c r="O131" i="1"/>
  <c r="N131" i="1"/>
  <c r="Q130" i="1"/>
  <c r="P130" i="1"/>
  <c r="O130" i="1"/>
  <c r="N130" i="1"/>
  <c r="P129" i="1"/>
  <c r="O129" i="1"/>
  <c r="Q128" i="1"/>
  <c r="P128" i="1"/>
  <c r="O128" i="1"/>
  <c r="N128" i="1"/>
  <c r="Q127" i="1"/>
  <c r="P127" i="1"/>
  <c r="O127" i="1"/>
  <c r="N127" i="1"/>
  <c r="O147" i="17" l="1"/>
  <c r="N147" i="17"/>
  <c r="P146" i="17"/>
  <c r="O146" i="17"/>
  <c r="N146" i="17"/>
  <c r="O145" i="17"/>
  <c r="N145" i="17"/>
  <c r="P144" i="17"/>
  <c r="O144" i="17"/>
  <c r="N144" i="17"/>
  <c r="O143" i="17"/>
  <c r="N143" i="17"/>
  <c r="P142" i="17"/>
  <c r="O142" i="17"/>
  <c r="N142" i="17"/>
  <c r="O141" i="17"/>
  <c r="N141" i="17"/>
  <c r="P140" i="17"/>
  <c r="O140" i="17"/>
  <c r="N140" i="17"/>
  <c r="P139" i="17"/>
  <c r="O139" i="17"/>
  <c r="N139" i="17"/>
  <c r="P138" i="17"/>
  <c r="O138" i="17"/>
  <c r="N138" i="17"/>
  <c r="P137" i="17"/>
  <c r="O137" i="17"/>
  <c r="N137" i="17"/>
  <c r="P136" i="17"/>
  <c r="O136" i="17"/>
  <c r="N136" i="17"/>
  <c r="P135" i="17"/>
  <c r="O135" i="17"/>
  <c r="N135" i="17"/>
  <c r="P134" i="17"/>
  <c r="O134" i="17"/>
  <c r="N134" i="17"/>
  <c r="Q115" i="17"/>
  <c r="P115" i="17"/>
  <c r="O115" i="17"/>
  <c r="N115" i="17"/>
  <c r="Q114" i="17"/>
  <c r="P114" i="17"/>
  <c r="O114" i="17"/>
  <c r="N114" i="17"/>
  <c r="Q113" i="17"/>
  <c r="P113" i="17"/>
  <c r="O113" i="17"/>
  <c r="N113" i="17"/>
  <c r="Q112" i="17"/>
  <c r="P112" i="17"/>
  <c r="O112" i="17"/>
  <c r="N112" i="17"/>
  <c r="Q111" i="17"/>
  <c r="P111" i="17"/>
  <c r="O111" i="17"/>
  <c r="N111" i="17"/>
  <c r="Q110" i="17"/>
  <c r="P110" i="17"/>
  <c r="O110" i="17"/>
  <c r="N110" i="17"/>
  <c r="Q109" i="17"/>
  <c r="P109" i="17"/>
  <c r="O109" i="17"/>
  <c r="N109" i="17"/>
  <c r="Q108" i="17"/>
  <c r="P108" i="17"/>
  <c r="O108" i="17"/>
  <c r="N108" i="17"/>
  <c r="Q107" i="17"/>
  <c r="P107" i="17"/>
  <c r="O107" i="17"/>
  <c r="N107" i="17"/>
  <c r="Q106" i="17"/>
  <c r="P106" i="17"/>
  <c r="O106" i="17"/>
  <c r="N106" i="17"/>
  <c r="Q105" i="17"/>
  <c r="P105" i="17"/>
  <c r="O105" i="17"/>
  <c r="N105" i="17"/>
  <c r="Q104" i="17"/>
  <c r="P104" i="17"/>
  <c r="O104" i="17"/>
  <c r="N104" i="17"/>
  <c r="Q103" i="17"/>
  <c r="P103" i="17"/>
  <c r="O103" i="17"/>
  <c r="N103" i="17"/>
  <c r="Q102" i="17"/>
  <c r="P102" i="17"/>
  <c r="O102" i="17"/>
  <c r="N102" i="17"/>
  <c r="Q101" i="17"/>
  <c r="P101" i="17"/>
  <c r="O101" i="17"/>
  <c r="N101" i="17"/>
  <c r="Q100" i="17"/>
  <c r="P100" i="17"/>
  <c r="O100" i="17"/>
  <c r="N100" i="17"/>
  <c r="Q99" i="17"/>
  <c r="P99" i="17"/>
  <c r="O99" i="17"/>
  <c r="N99" i="17"/>
  <c r="Q98" i="17"/>
  <c r="P98" i="17"/>
  <c r="O98" i="17"/>
  <c r="N98" i="17"/>
  <c r="Q97" i="17"/>
  <c r="P97" i="17"/>
  <c r="O97" i="17"/>
  <c r="N97" i="17"/>
  <c r="Q96" i="17"/>
  <c r="P96" i="17"/>
  <c r="O96" i="17"/>
  <c r="N96" i="17"/>
  <c r="Q95" i="17"/>
  <c r="P95" i="17"/>
  <c r="O95" i="17"/>
  <c r="N95" i="17"/>
  <c r="Q94" i="17"/>
  <c r="P94" i="17"/>
  <c r="O94" i="17"/>
  <c r="N94" i="17"/>
  <c r="Q93" i="17"/>
  <c r="P93" i="17"/>
  <c r="O93" i="17"/>
  <c r="N93" i="17"/>
  <c r="Q92" i="17"/>
  <c r="P92" i="17"/>
  <c r="O92" i="17"/>
  <c r="N92" i="17"/>
  <c r="Q91" i="17"/>
  <c r="P91" i="17"/>
  <c r="O91" i="17"/>
  <c r="N91" i="17"/>
  <c r="Q90" i="17"/>
  <c r="P90" i="17"/>
  <c r="O90" i="17"/>
  <c r="N90" i="17"/>
  <c r="Q89" i="17"/>
  <c r="P89" i="17"/>
  <c r="O89" i="17"/>
  <c r="N89" i="17"/>
  <c r="O88" i="17"/>
  <c r="N88" i="17"/>
  <c r="Q87" i="17"/>
  <c r="P87" i="17"/>
  <c r="O87" i="17"/>
  <c r="N87" i="17"/>
  <c r="Q86" i="17"/>
  <c r="P86" i="17"/>
  <c r="O86" i="17"/>
  <c r="N86" i="17"/>
  <c r="Q85" i="17"/>
  <c r="P85" i="17"/>
  <c r="O85" i="17"/>
  <c r="N85" i="17"/>
  <c r="O84" i="17"/>
  <c r="N84" i="17"/>
  <c r="Q83" i="17"/>
  <c r="P83" i="17"/>
  <c r="O83" i="17"/>
  <c r="N83" i="17"/>
  <c r="O82" i="17"/>
  <c r="N82" i="17"/>
  <c r="O81" i="17"/>
  <c r="N81" i="17"/>
  <c r="O80" i="17"/>
  <c r="N80" i="17"/>
  <c r="O79" i="17"/>
  <c r="N79" i="17"/>
  <c r="Q78" i="17"/>
  <c r="P78" i="17"/>
  <c r="O78" i="17"/>
  <c r="N78" i="17"/>
  <c r="O77" i="17"/>
  <c r="N77" i="17"/>
  <c r="Q76" i="17"/>
  <c r="P76" i="17"/>
  <c r="O76" i="17"/>
  <c r="N76" i="17"/>
  <c r="O75" i="17"/>
  <c r="N75" i="17"/>
  <c r="Q74" i="17"/>
  <c r="P74" i="17"/>
  <c r="O74" i="17"/>
  <c r="N74" i="17"/>
  <c r="Q73" i="17"/>
  <c r="P73" i="17"/>
  <c r="O73" i="17"/>
  <c r="N73" i="17"/>
  <c r="Q72" i="17"/>
  <c r="P72" i="17"/>
  <c r="O72" i="17"/>
  <c r="N72" i="17"/>
  <c r="O71" i="17"/>
  <c r="N71" i="17"/>
  <c r="O70" i="17"/>
  <c r="N70" i="17"/>
  <c r="Q69" i="17"/>
  <c r="P69" i="17"/>
  <c r="O69" i="17"/>
  <c r="N69" i="17"/>
  <c r="Q68" i="17"/>
  <c r="P68" i="17"/>
  <c r="O68" i="17"/>
  <c r="N68" i="17"/>
  <c r="Q67" i="17"/>
  <c r="P67" i="17"/>
  <c r="O67" i="17"/>
  <c r="N67" i="17"/>
  <c r="Q66" i="17"/>
  <c r="P66" i="17"/>
  <c r="O66" i="17"/>
  <c r="N66" i="17"/>
  <c r="Q65" i="17"/>
  <c r="P65" i="17"/>
  <c r="O65" i="17"/>
  <c r="N65" i="17"/>
  <c r="Q64" i="17"/>
  <c r="P64" i="17"/>
  <c r="O64" i="17"/>
  <c r="N64" i="17"/>
  <c r="Q63" i="17"/>
  <c r="P63" i="17"/>
  <c r="O63" i="17"/>
  <c r="N63" i="17"/>
  <c r="O62" i="17"/>
  <c r="N62" i="17"/>
  <c r="Q61" i="17"/>
  <c r="P61" i="17"/>
  <c r="O61" i="17"/>
  <c r="N61" i="17"/>
  <c r="Q60" i="17"/>
  <c r="P60" i="17"/>
  <c r="O60" i="17"/>
  <c r="N60" i="17"/>
  <c r="Q59" i="17"/>
  <c r="P59" i="17"/>
  <c r="O59" i="17"/>
  <c r="N59" i="17"/>
  <c r="O58" i="17"/>
  <c r="N58" i="17"/>
  <c r="Q57" i="17"/>
  <c r="P57" i="17"/>
  <c r="O57" i="17"/>
  <c r="N57" i="17"/>
  <c r="Q56" i="17"/>
  <c r="P56" i="17"/>
  <c r="O56" i="17"/>
  <c r="N56" i="17"/>
  <c r="Q55" i="17"/>
  <c r="P55" i="17"/>
  <c r="O55" i="17"/>
  <c r="N55" i="17"/>
  <c r="Q54" i="17"/>
  <c r="P54" i="17"/>
  <c r="O54" i="17"/>
  <c r="N54" i="17"/>
  <c r="O53" i="17"/>
  <c r="N53" i="17"/>
  <c r="Q52" i="17"/>
  <c r="P52" i="17"/>
  <c r="O52" i="17"/>
  <c r="N52" i="17"/>
  <c r="P51" i="17"/>
  <c r="O51" i="17"/>
  <c r="N51" i="17"/>
  <c r="Q50" i="17"/>
  <c r="P50" i="17"/>
  <c r="O50" i="17"/>
  <c r="N50" i="17"/>
  <c r="Q49" i="17"/>
  <c r="P49" i="17"/>
  <c r="O49" i="17"/>
  <c r="N49" i="17"/>
  <c r="Q48" i="17"/>
  <c r="P48" i="17"/>
  <c r="O48" i="17"/>
  <c r="N48" i="17"/>
  <c r="Q47" i="17"/>
  <c r="P47" i="17"/>
  <c r="O47" i="17"/>
  <c r="N47" i="17"/>
  <c r="Q46" i="17"/>
  <c r="P46" i="17"/>
  <c r="O46" i="17"/>
  <c r="N46" i="17"/>
  <c r="Q45" i="17"/>
  <c r="P45" i="17"/>
  <c r="O45" i="17"/>
  <c r="N45" i="17"/>
  <c r="Q44" i="17"/>
  <c r="P44" i="17"/>
  <c r="O44" i="17"/>
  <c r="N44" i="17"/>
  <c r="Q43" i="17"/>
  <c r="P43" i="17"/>
  <c r="O43" i="17"/>
  <c r="N43" i="17"/>
  <c r="O42" i="17"/>
  <c r="N42" i="17"/>
  <c r="Q41" i="17"/>
  <c r="P41" i="17"/>
  <c r="O41" i="17"/>
  <c r="N41" i="17"/>
  <c r="Q40" i="17"/>
  <c r="P40" i="17"/>
  <c r="O40" i="17"/>
  <c r="N40" i="17"/>
  <c r="O39" i="17"/>
  <c r="N39" i="17"/>
  <c r="Q38" i="17"/>
  <c r="P38" i="17"/>
  <c r="O38" i="17"/>
  <c r="N38" i="17"/>
  <c r="Q26" i="17"/>
  <c r="P26" i="17"/>
  <c r="O26" i="17"/>
  <c r="N26" i="17"/>
  <c r="Q25" i="17"/>
  <c r="P25" i="17"/>
  <c r="O25" i="17"/>
  <c r="N25" i="17"/>
  <c r="Q24" i="17"/>
  <c r="P24" i="17"/>
  <c r="O24" i="17"/>
  <c r="N24" i="17"/>
  <c r="Q23" i="17"/>
  <c r="P23" i="17"/>
  <c r="O23" i="17"/>
  <c r="N23" i="17"/>
  <c r="Q22" i="17"/>
  <c r="P22" i="17"/>
  <c r="O22" i="17"/>
  <c r="N22" i="17"/>
  <c r="Q21" i="17"/>
  <c r="P21" i="17"/>
  <c r="O21" i="17"/>
  <c r="N21" i="17"/>
  <c r="Q20" i="17"/>
  <c r="P20" i="17"/>
  <c r="O20" i="17"/>
  <c r="N20" i="17"/>
  <c r="Q19" i="17"/>
  <c r="P19" i="17"/>
  <c r="O19" i="17"/>
  <c r="N19" i="17"/>
  <c r="O18" i="17"/>
  <c r="N18" i="17"/>
  <c r="O17" i="17"/>
  <c r="N17" i="17"/>
  <c r="Q16" i="17"/>
  <c r="P16" i="17"/>
  <c r="O16" i="17"/>
  <c r="N16" i="17"/>
  <c r="O15" i="17"/>
  <c r="N15" i="17"/>
  <c r="Q14" i="17"/>
  <c r="P14" i="17"/>
  <c r="O14" i="17"/>
  <c r="N14" i="17"/>
  <c r="Q13" i="17"/>
  <c r="P13" i="17"/>
  <c r="O13" i="17"/>
  <c r="N13" i="17"/>
  <c r="Q12" i="17"/>
  <c r="P12" i="17"/>
  <c r="O12" i="17"/>
  <c r="N12" i="17"/>
  <c r="Q34" i="5"/>
  <c r="P34" i="5"/>
  <c r="O34" i="5"/>
  <c r="N34" i="5"/>
  <c r="Q462" i="1" l="1"/>
  <c r="P462" i="1"/>
  <c r="O462" i="1"/>
  <c r="N462" i="1"/>
  <c r="Q461" i="1"/>
  <c r="P461" i="1"/>
  <c r="O461" i="1"/>
  <c r="N461" i="1"/>
  <c r="R99" i="1"/>
  <c r="F99" i="1"/>
  <c r="Q98" i="1"/>
  <c r="P98" i="1"/>
  <c r="O98" i="1"/>
  <c r="R98" i="1" s="1"/>
  <c r="N98" i="1"/>
  <c r="Q97" i="1"/>
  <c r="P97" i="1"/>
  <c r="O97" i="1"/>
  <c r="R97" i="1" s="1"/>
  <c r="N97" i="1"/>
  <c r="Q96" i="1"/>
  <c r="P96" i="1"/>
  <c r="O96" i="1"/>
  <c r="R96" i="1" s="1"/>
  <c r="N96" i="1"/>
  <c r="Q95" i="1"/>
  <c r="P95" i="1"/>
  <c r="O95" i="1"/>
  <c r="R95" i="1" s="1"/>
  <c r="N95" i="1"/>
  <c r="Q94" i="1"/>
  <c r="P94" i="1"/>
  <c r="O94" i="1"/>
  <c r="R94" i="1" s="1"/>
  <c r="N94" i="1"/>
  <c r="Q93" i="1"/>
  <c r="P93" i="1"/>
  <c r="O93" i="1"/>
  <c r="R93" i="1" s="1"/>
  <c r="N93" i="1"/>
  <c r="Q92" i="1"/>
  <c r="P92" i="1"/>
  <c r="O92" i="1"/>
  <c r="R92" i="1" s="1"/>
  <c r="N92" i="1"/>
  <c r="Q91" i="1"/>
  <c r="P91" i="1"/>
  <c r="O91" i="1"/>
  <c r="R91" i="1" s="1"/>
  <c r="N91" i="1"/>
  <c r="Q90" i="1"/>
  <c r="P90" i="1"/>
  <c r="O90" i="1"/>
  <c r="R90" i="1" s="1"/>
  <c r="N90" i="1"/>
  <c r="Q89" i="1"/>
  <c r="P89" i="1"/>
  <c r="O89" i="1"/>
  <c r="R89" i="1" s="1"/>
  <c r="N89" i="1"/>
  <c r="Q88" i="1"/>
  <c r="P88" i="1"/>
  <c r="O88" i="1"/>
  <c r="R88" i="1" s="1"/>
  <c r="N88" i="1"/>
  <c r="Q87" i="1"/>
  <c r="P87" i="1"/>
  <c r="O87" i="1"/>
  <c r="R87" i="1" s="1"/>
  <c r="N87" i="1"/>
  <c r="Q86" i="1"/>
  <c r="P86" i="1"/>
  <c r="O86" i="1"/>
  <c r="R86" i="1" s="1"/>
  <c r="N86" i="1"/>
  <c r="Q85" i="1"/>
  <c r="P85" i="1"/>
  <c r="O85" i="1"/>
  <c r="R85" i="1" s="1"/>
  <c r="N85" i="1"/>
  <c r="Q84" i="1"/>
  <c r="P84" i="1"/>
  <c r="O84" i="1"/>
  <c r="R84" i="1" s="1"/>
  <c r="N84" i="1"/>
  <c r="Q83" i="1"/>
  <c r="P83" i="1"/>
  <c r="O83" i="1"/>
  <c r="R83" i="1" s="1"/>
  <c r="N83" i="1"/>
  <c r="R82" i="1"/>
  <c r="Q81" i="1"/>
  <c r="P81" i="1"/>
  <c r="O81" i="1"/>
  <c r="R81" i="1" s="1"/>
  <c r="N81" i="1"/>
  <c r="Q80" i="1"/>
  <c r="P80" i="1"/>
  <c r="O80" i="1"/>
  <c r="R80" i="1" s="1"/>
  <c r="N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Q79" i="1"/>
  <c r="P79" i="1"/>
  <c r="O79" i="1"/>
  <c r="R79" i="1" s="1"/>
  <c r="N79" i="1"/>
  <c r="R78" i="1"/>
  <c r="Q56" i="1"/>
  <c r="P56" i="1"/>
  <c r="O56" i="1"/>
  <c r="N56" i="1"/>
  <c r="P197" i="3" l="1"/>
  <c r="O197" i="3"/>
  <c r="N197" i="3"/>
  <c r="Q47" i="3"/>
  <c r="P1663" i="1" l="1"/>
  <c r="O1663" i="1"/>
  <c r="R1663" i="1" s="1"/>
  <c r="N1663" i="1"/>
  <c r="P1662" i="1"/>
  <c r="O1662" i="1"/>
  <c r="R1662" i="1" s="1"/>
  <c r="N1662" i="1"/>
  <c r="P1661" i="1"/>
  <c r="O1661" i="1"/>
  <c r="R1661" i="1" s="1"/>
  <c r="N1661" i="1"/>
  <c r="P1660" i="1"/>
  <c r="O1660" i="1"/>
  <c r="R1660" i="1" s="1"/>
  <c r="N1660" i="1"/>
  <c r="P1659" i="1"/>
  <c r="O1659" i="1"/>
  <c r="R1659" i="1" s="1"/>
  <c r="N1659" i="1"/>
  <c r="P1658" i="1"/>
  <c r="O1658" i="1"/>
  <c r="R1658" i="1" s="1"/>
  <c r="N1658" i="1"/>
  <c r="P1657" i="1"/>
  <c r="O1657" i="1"/>
  <c r="R1657" i="1" s="1"/>
  <c r="N1657" i="1"/>
  <c r="P1656" i="1"/>
  <c r="O1656" i="1"/>
  <c r="R1656" i="1" s="1"/>
  <c r="N1656" i="1"/>
  <c r="P1655" i="1"/>
  <c r="O1655" i="1"/>
  <c r="R1655" i="1" s="1"/>
  <c r="N1655" i="1"/>
  <c r="P1654" i="1"/>
  <c r="O1654" i="1"/>
  <c r="R1654" i="1" s="1"/>
  <c r="N1654" i="1"/>
  <c r="P1653" i="1"/>
  <c r="O1653" i="1"/>
  <c r="R1653" i="1" s="1"/>
  <c r="N1653" i="1"/>
  <c r="P1652" i="1"/>
  <c r="O1652" i="1"/>
  <c r="R1652" i="1" s="1"/>
  <c r="N1652" i="1"/>
  <c r="P1651" i="1"/>
  <c r="O1651" i="1"/>
  <c r="R1651" i="1" s="1"/>
  <c r="N1651" i="1"/>
  <c r="P1650" i="1"/>
  <c r="O1650" i="1"/>
  <c r="R1650" i="1" s="1"/>
  <c r="N1650" i="1"/>
  <c r="P1649" i="1"/>
  <c r="O1649" i="1"/>
  <c r="R1649" i="1" s="1"/>
  <c r="N1649" i="1"/>
  <c r="P1648" i="1"/>
  <c r="O1648" i="1"/>
  <c r="R1648" i="1" s="1"/>
  <c r="N1648" i="1"/>
  <c r="P1647" i="1"/>
  <c r="O1647" i="1"/>
  <c r="R1647" i="1" s="1"/>
  <c r="N1647" i="1"/>
  <c r="P1646" i="1"/>
  <c r="O1646" i="1"/>
  <c r="R1646" i="1" s="1"/>
  <c r="N1646" i="1"/>
  <c r="P1645" i="1"/>
  <c r="O1645" i="1"/>
  <c r="R1645" i="1" s="1"/>
  <c r="N1645" i="1"/>
  <c r="P1644" i="1"/>
  <c r="O1644" i="1"/>
  <c r="R1644" i="1" s="1"/>
  <c r="N1644" i="1"/>
  <c r="P1643" i="1"/>
  <c r="O1643" i="1"/>
  <c r="R1643" i="1" s="1"/>
  <c r="N1643" i="1"/>
  <c r="P1642" i="1"/>
  <c r="O1642" i="1"/>
  <c r="R1642" i="1" s="1"/>
  <c r="N1642" i="1"/>
  <c r="P1641" i="1"/>
  <c r="O1641" i="1"/>
  <c r="R1641" i="1" s="1"/>
  <c r="N1641" i="1"/>
  <c r="P1640" i="1"/>
  <c r="O1640" i="1"/>
  <c r="R1640" i="1" s="1"/>
  <c r="N1640" i="1"/>
  <c r="P1639" i="1"/>
  <c r="O1639" i="1"/>
  <c r="R1639" i="1" s="1"/>
  <c r="N1639" i="1"/>
  <c r="P1638" i="1"/>
  <c r="O1638" i="1"/>
  <c r="R1638" i="1" s="1"/>
  <c r="N1638" i="1"/>
  <c r="P1637" i="1"/>
  <c r="O1637" i="1"/>
  <c r="R1637" i="1" s="1"/>
  <c r="N1637" i="1"/>
  <c r="P1636" i="1"/>
  <c r="O1636" i="1"/>
  <c r="R1636" i="1" s="1"/>
  <c r="N1636" i="1"/>
  <c r="P1635" i="1"/>
  <c r="O1635" i="1"/>
  <c r="R1635" i="1" s="1"/>
  <c r="N1635" i="1"/>
  <c r="P1634" i="1"/>
  <c r="O1634" i="1"/>
  <c r="R1634" i="1" s="1"/>
  <c r="N1634" i="1"/>
  <c r="P1633" i="1"/>
  <c r="O1633" i="1"/>
  <c r="R1633" i="1" s="1"/>
  <c r="N1633" i="1"/>
  <c r="P1632" i="1"/>
  <c r="O1632" i="1"/>
  <c r="R1632" i="1" s="1"/>
  <c r="N1632" i="1"/>
  <c r="P1631" i="1"/>
  <c r="O1631" i="1"/>
  <c r="R1631" i="1" s="1"/>
  <c r="N1631" i="1"/>
  <c r="P1630" i="1"/>
  <c r="O1630" i="1"/>
  <c r="R1630" i="1" s="1"/>
  <c r="N1630" i="1"/>
  <c r="P1629" i="1"/>
  <c r="O1629" i="1"/>
  <c r="R1629" i="1" s="1"/>
  <c r="N1629" i="1"/>
  <c r="R1628" i="1"/>
  <c r="P1627" i="1"/>
  <c r="O1627" i="1"/>
  <c r="R1627" i="1" s="1"/>
  <c r="N1627" i="1"/>
  <c r="P1626" i="1"/>
  <c r="O1626" i="1"/>
  <c r="R1626" i="1" s="1"/>
  <c r="N1626" i="1"/>
  <c r="P1625" i="1"/>
  <c r="O1625" i="1"/>
  <c r="R1625" i="1" s="1"/>
  <c r="N1625" i="1"/>
  <c r="P1624" i="1"/>
  <c r="O1624" i="1"/>
  <c r="R1624" i="1" s="1"/>
  <c r="N1624" i="1"/>
  <c r="P1623" i="1"/>
  <c r="O1623" i="1"/>
  <c r="R1623" i="1" s="1"/>
  <c r="N1623" i="1"/>
  <c r="P1622" i="1"/>
  <c r="O1622" i="1"/>
  <c r="R1622" i="1" s="1"/>
  <c r="N1622" i="1"/>
  <c r="R1621" i="1"/>
  <c r="P1620" i="1"/>
  <c r="O1620" i="1"/>
  <c r="R1620" i="1" s="1"/>
  <c r="N1620" i="1"/>
  <c r="R1619" i="1"/>
  <c r="R1618" i="1"/>
  <c r="P1617" i="1"/>
  <c r="O1617" i="1"/>
  <c r="R1617" i="1" s="1"/>
  <c r="N1617" i="1"/>
  <c r="P1616" i="1"/>
  <c r="O1616" i="1"/>
  <c r="R1616" i="1" s="1"/>
  <c r="N1616" i="1"/>
  <c r="P1615" i="1"/>
  <c r="O1615" i="1"/>
  <c r="R1615" i="1" s="1"/>
  <c r="N1615" i="1"/>
  <c r="P1614" i="1"/>
  <c r="O1614" i="1"/>
  <c r="R1614" i="1" s="1"/>
  <c r="N1614" i="1"/>
  <c r="P1613" i="1"/>
  <c r="O1613" i="1"/>
  <c r="R1613" i="1" s="1"/>
  <c r="N1613" i="1"/>
  <c r="P1612" i="1"/>
  <c r="O1612" i="1"/>
  <c r="R1612" i="1" s="1"/>
  <c r="N1612" i="1"/>
  <c r="P1611" i="1"/>
  <c r="O1611" i="1"/>
  <c r="R1611" i="1" s="1"/>
  <c r="N1611" i="1"/>
  <c r="P1610" i="1"/>
  <c r="O1610" i="1"/>
  <c r="R1610" i="1" s="1"/>
  <c r="N1610" i="1"/>
  <c r="P1609" i="1"/>
  <c r="O1609" i="1"/>
  <c r="R1609" i="1" s="1"/>
  <c r="N1609" i="1"/>
  <c r="B1609" i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P1608" i="1"/>
  <c r="O1608" i="1"/>
  <c r="R1608" i="1" s="1"/>
  <c r="N1608" i="1"/>
  <c r="R1607" i="1"/>
  <c r="N942" i="1"/>
  <c r="N904" i="1"/>
  <c r="Q460" i="1"/>
  <c r="P460" i="1"/>
  <c r="O460" i="1"/>
  <c r="N460" i="1"/>
  <c r="R589" i="1"/>
  <c r="F589" i="1"/>
  <c r="Q588" i="1"/>
  <c r="P588" i="1"/>
  <c r="O588" i="1"/>
  <c r="R588" i="1" s="1"/>
  <c r="N588" i="1"/>
  <c r="Q587" i="1"/>
  <c r="P587" i="1"/>
  <c r="O587" i="1"/>
  <c r="R587" i="1" s="1"/>
  <c r="N587" i="1"/>
  <c r="Q586" i="1"/>
  <c r="P586" i="1"/>
  <c r="O586" i="1"/>
  <c r="R586" i="1" s="1"/>
  <c r="N586" i="1"/>
  <c r="Q585" i="1"/>
  <c r="P585" i="1"/>
  <c r="O585" i="1"/>
  <c r="R585" i="1" s="1"/>
  <c r="N585" i="1"/>
  <c r="Q584" i="1"/>
  <c r="P584" i="1"/>
  <c r="O584" i="1"/>
  <c r="R584" i="1" s="1"/>
  <c r="N584" i="1"/>
  <c r="Q583" i="1"/>
  <c r="P583" i="1"/>
  <c r="O583" i="1"/>
  <c r="R583" i="1" s="1"/>
  <c r="N583" i="1"/>
  <c r="Q582" i="1"/>
  <c r="P582" i="1"/>
  <c r="O582" i="1"/>
  <c r="R582" i="1" s="1"/>
  <c r="N582" i="1"/>
  <c r="Q581" i="1"/>
  <c r="P581" i="1"/>
  <c r="O581" i="1"/>
  <c r="R581" i="1" s="1"/>
  <c r="N581" i="1"/>
  <c r="Q580" i="1"/>
  <c r="P580" i="1"/>
  <c r="O580" i="1"/>
  <c r="R580" i="1" s="1"/>
  <c r="N580" i="1"/>
  <c r="Q579" i="1"/>
  <c r="P579" i="1"/>
  <c r="O579" i="1"/>
  <c r="R579" i="1" s="1"/>
  <c r="N579" i="1"/>
  <c r="Q578" i="1"/>
  <c r="P578" i="1"/>
  <c r="O578" i="1"/>
  <c r="R578" i="1" s="1"/>
  <c r="N578" i="1"/>
  <c r="Q577" i="1"/>
  <c r="P577" i="1"/>
  <c r="O577" i="1"/>
  <c r="R577" i="1" s="1"/>
  <c r="N577" i="1"/>
  <c r="Q576" i="1"/>
  <c r="P576" i="1"/>
  <c r="O576" i="1"/>
  <c r="R576" i="1" s="1"/>
  <c r="N576" i="1"/>
  <c r="Q575" i="1"/>
  <c r="P575" i="1"/>
  <c r="O575" i="1"/>
  <c r="R575" i="1" s="1"/>
  <c r="N575" i="1"/>
  <c r="Q574" i="1"/>
  <c r="P574" i="1"/>
  <c r="O574" i="1"/>
  <c r="R574" i="1" s="1"/>
  <c r="N574" i="1"/>
  <c r="Q573" i="1"/>
  <c r="P573" i="1"/>
  <c r="O573" i="1"/>
  <c r="R573" i="1" s="1"/>
  <c r="N573" i="1"/>
  <c r="Q572" i="1"/>
  <c r="P572" i="1"/>
  <c r="O572" i="1"/>
  <c r="R572" i="1" s="1"/>
  <c r="N572" i="1"/>
  <c r="Q571" i="1"/>
  <c r="P571" i="1"/>
  <c r="O571" i="1"/>
  <c r="R571" i="1" s="1"/>
  <c r="N571" i="1"/>
  <c r="Q570" i="1"/>
  <c r="P570" i="1"/>
  <c r="O570" i="1"/>
  <c r="R570" i="1" s="1"/>
  <c r="N570" i="1"/>
  <c r="Q569" i="1"/>
  <c r="P569" i="1"/>
  <c r="O569" i="1"/>
  <c r="R569" i="1" s="1"/>
  <c r="N569" i="1"/>
  <c r="Q568" i="1"/>
  <c r="P568" i="1"/>
  <c r="O568" i="1"/>
  <c r="R568" i="1" s="1"/>
  <c r="N568" i="1"/>
  <c r="Q567" i="1"/>
  <c r="P567" i="1"/>
  <c r="O567" i="1"/>
  <c r="R567" i="1" s="1"/>
  <c r="N567" i="1"/>
  <c r="Q566" i="1"/>
  <c r="P566" i="1"/>
  <c r="O566" i="1"/>
  <c r="R566" i="1" s="1"/>
  <c r="N566" i="1"/>
  <c r="Q565" i="1"/>
  <c r="P565" i="1"/>
  <c r="O565" i="1"/>
  <c r="R565" i="1" s="1"/>
  <c r="N565" i="1"/>
  <c r="Q564" i="1"/>
  <c r="P564" i="1"/>
  <c r="O564" i="1"/>
  <c r="R564" i="1" s="1"/>
  <c r="N564" i="1"/>
  <c r="Q563" i="1"/>
  <c r="P563" i="1"/>
  <c r="O563" i="1"/>
  <c r="R563" i="1" s="1"/>
  <c r="N563" i="1"/>
  <c r="Q562" i="1"/>
  <c r="P562" i="1"/>
  <c r="O562" i="1"/>
  <c r="R562" i="1" s="1"/>
  <c r="N562" i="1"/>
  <c r="Q561" i="1"/>
  <c r="P561" i="1"/>
  <c r="O561" i="1"/>
  <c r="R561" i="1" s="1"/>
  <c r="N561" i="1"/>
  <c r="Q560" i="1"/>
  <c r="P560" i="1"/>
  <c r="O560" i="1"/>
  <c r="R560" i="1" s="1"/>
  <c r="N560" i="1"/>
  <c r="Q559" i="1"/>
  <c r="P559" i="1"/>
  <c r="O559" i="1"/>
  <c r="R559" i="1" s="1"/>
  <c r="N559" i="1"/>
  <c r="Q558" i="1"/>
  <c r="P558" i="1"/>
  <c r="O558" i="1"/>
  <c r="R558" i="1" s="1"/>
  <c r="N558" i="1"/>
  <c r="Q557" i="1"/>
  <c r="P557" i="1"/>
  <c r="O557" i="1"/>
  <c r="R557" i="1" s="1"/>
  <c r="N557" i="1"/>
  <c r="Q556" i="1"/>
  <c r="P556" i="1"/>
  <c r="O556" i="1"/>
  <c r="R556" i="1" s="1"/>
  <c r="N556" i="1"/>
  <c r="Q555" i="1"/>
  <c r="P555" i="1"/>
  <c r="O555" i="1"/>
  <c r="R555" i="1" s="1"/>
  <c r="N555" i="1"/>
  <c r="Q554" i="1"/>
  <c r="P554" i="1"/>
  <c r="O554" i="1"/>
  <c r="R554" i="1" s="1"/>
  <c r="N554" i="1"/>
  <c r="Q553" i="1"/>
  <c r="P553" i="1"/>
  <c r="O553" i="1"/>
  <c r="R553" i="1" s="1"/>
  <c r="N553" i="1"/>
  <c r="Q552" i="1"/>
  <c r="P552" i="1"/>
  <c r="O552" i="1"/>
  <c r="R552" i="1" s="1"/>
  <c r="N552" i="1"/>
  <c r="Q551" i="1"/>
  <c r="P551" i="1"/>
  <c r="O551" i="1"/>
  <c r="R551" i="1" s="1"/>
  <c r="N551" i="1"/>
  <c r="Q550" i="1"/>
  <c r="P550" i="1"/>
  <c r="O550" i="1"/>
  <c r="R550" i="1" s="1"/>
  <c r="N550" i="1"/>
  <c r="Q549" i="1"/>
  <c r="P549" i="1"/>
  <c r="O549" i="1"/>
  <c r="R549" i="1" s="1"/>
  <c r="N549" i="1"/>
  <c r="Q548" i="1"/>
  <c r="P548" i="1"/>
  <c r="O548" i="1"/>
  <c r="R548" i="1" s="1"/>
  <c r="N548" i="1"/>
  <c r="Q547" i="1"/>
  <c r="P547" i="1"/>
  <c r="O547" i="1"/>
  <c r="R547" i="1" s="1"/>
  <c r="N547" i="1"/>
  <c r="Q546" i="1"/>
  <c r="P546" i="1"/>
  <c r="O546" i="1"/>
  <c r="R546" i="1" s="1"/>
  <c r="N546" i="1"/>
  <c r="Q545" i="1"/>
  <c r="P545" i="1"/>
  <c r="O545" i="1"/>
  <c r="R545" i="1" s="1"/>
  <c r="N545" i="1"/>
  <c r="Q544" i="1"/>
  <c r="P544" i="1"/>
  <c r="O544" i="1"/>
  <c r="R544" i="1" s="1"/>
  <c r="N544" i="1"/>
  <c r="Q543" i="1"/>
  <c r="P543" i="1"/>
  <c r="O543" i="1"/>
  <c r="R543" i="1" s="1"/>
  <c r="N543" i="1"/>
  <c r="Q542" i="1"/>
  <c r="P542" i="1"/>
  <c r="O542" i="1"/>
  <c r="R542" i="1" s="1"/>
  <c r="N542" i="1"/>
  <c r="Q541" i="1"/>
  <c r="P541" i="1"/>
  <c r="O541" i="1"/>
  <c r="R541" i="1" s="1"/>
  <c r="N541" i="1"/>
  <c r="Q540" i="1"/>
  <c r="P540" i="1"/>
  <c r="O540" i="1"/>
  <c r="R540" i="1" s="1"/>
  <c r="N540" i="1"/>
  <c r="Q539" i="1"/>
  <c r="P539" i="1"/>
  <c r="O539" i="1"/>
  <c r="R539" i="1" s="1"/>
  <c r="N539" i="1"/>
  <c r="Q538" i="1"/>
  <c r="P538" i="1"/>
  <c r="O538" i="1"/>
  <c r="R538" i="1" s="1"/>
  <c r="N538" i="1"/>
  <c r="Q537" i="1"/>
  <c r="P537" i="1"/>
  <c r="O537" i="1"/>
  <c r="R537" i="1" s="1"/>
  <c r="N537" i="1"/>
  <c r="Q536" i="1"/>
  <c r="P536" i="1"/>
  <c r="O536" i="1"/>
  <c r="R536" i="1" s="1"/>
  <c r="N536" i="1"/>
  <c r="Q535" i="1"/>
  <c r="P535" i="1"/>
  <c r="O535" i="1"/>
  <c r="R535" i="1" s="1"/>
  <c r="N535" i="1"/>
  <c r="Q534" i="1"/>
  <c r="P534" i="1"/>
  <c r="O534" i="1"/>
  <c r="R534" i="1" s="1"/>
  <c r="N534" i="1"/>
  <c r="Q533" i="1"/>
  <c r="P533" i="1"/>
  <c r="O533" i="1"/>
  <c r="R533" i="1" s="1"/>
  <c r="N533" i="1"/>
  <c r="Q532" i="1"/>
  <c r="P532" i="1"/>
  <c r="O532" i="1"/>
  <c r="R532" i="1" s="1"/>
  <c r="N532" i="1"/>
  <c r="Q531" i="1"/>
  <c r="P531" i="1"/>
  <c r="O531" i="1"/>
  <c r="R531" i="1" s="1"/>
  <c r="N531" i="1"/>
  <c r="Q530" i="1"/>
  <c r="P530" i="1"/>
  <c r="O530" i="1"/>
  <c r="R530" i="1" s="1"/>
  <c r="N530" i="1"/>
  <c r="Q529" i="1"/>
  <c r="P529" i="1"/>
  <c r="O529" i="1"/>
  <c r="R529" i="1" s="1"/>
  <c r="N529" i="1"/>
  <c r="Q528" i="1"/>
  <c r="P528" i="1"/>
  <c r="O528" i="1"/>
  <c r="R528" i="1" s="1"/>
  <c r="N528" i="1"/>
  <c r="Q527" i="1"/>
  <c r="P527" i="1"/>
  <c r="O527" i="1"/>
  <c r="R527" i="1" s="1"/>
  <c r="N527" i="1"/>
  <c r="R526" i="1"/>
  <c r="R525" i="1"/>
  <c r="Q524" i="1"/>
  <c r="P524" i="1"/>
  <c r="O524" i="1"/>
  <c r="R524" i="1" s="1"/>
  <c r="N524" i="1"/>
  <c r="Q523" i="1"/>
  <c r="P523" i="1"/>
  <c r="O523" i="1"/>
  <c r="R523" i="1" s="1"/>
  <c r="N523" i="1"/>
  <c r="Q522" i="1"/>
  <c r="P522" i="1"/>
  <c r="O522" i="1"/>
  <c r="R522" i="1" s="1"/>
  <c r="N522" i="1"/>
  <c r="Q521" i="1"/>
  <c r="P521" i="1"/>
  <c r="O521" i="1"/>
  <c r="R521" i="1" s="1"/>
  <c r="N521" i="1"/>
  <c r="Q520" i="1"/>
  <c r="P520" i="1"/>
  <c r="O520" i="1"/>
  <c r="R520" i="1" s="1"/>
  <c r="N520" i="1"/>
  <c r="Q519" i="1"/>
  <c r="P519" i="1"/>
  <c r="O519" i="1"/>
  <c r="R519" i="1" s="1"/>
  <c r="N519" i="1"/>
  <c r="Q518" i="1"/>
  <c r="P518" i="1"/>
  <c r="O518" i="1"/>
  <c r="R518" i="1" s="1"/>
  <c r="N518" i="1"/>
  <c r="Q517" i="1"/>
  <c r="P517" i="1"/>
  <c r="O517" i="1"/>
  <c r="R517" i="1" s="1"/>
  <c r="N517" i="1"/>
  <c r="Q516" i="1"/>
  <c r="P516" i="1"/>
  <c r="O516" i="1"/>
  <c r="R516" i="1" s="1"/>
  <c r="N516" i="1"/>
  <c r="Q515" i="1"/>
  <c r="P515" i="1"/>
  <c r="O515" i="1"/>
  <c r="R515" i="1" s="1"/>
  <c r="N515" i="1"/>
  <c r="Q514" i="1"/>
  <c r="P514" i="1"/>
  <c r="O514" i="1"/>
  <c r="R514" i="1" s="1"/>
  <c r="N514" i="1"/>
  <c r="Q513" i="1"/>
  <c r="P513" i="1"/>
  <c r="O513" i="1"/>
  <c r="R513" i="1" s="1"/>
  <c r="N513" i="1"/>
  <c r="Q512" i="1"/>
  <c r="P512" i="1"/>
  <c r="O512" i="1"/>
  <c r="R512" i="1" s="1"/>
  <c r="N512" i="1"/>
  <c r="Q511" i="1"/>
  <c r="P511" i="1"/>
  <c r="O511" i="1"/>
  <c r="R511" i="1" s="1"/>
  <c r="N511" i="1"/>
  <c r="Q510" i="1"/>
  <c r="P510" i="1"/>
  <c r="O510" i="1"/>
  <c r="R510" i="1" s="1"/>
  <c r="N510" i="1"/>
  <c r="Q509" i="1"/>
  <c r="P509" i="1"/>
  <c r="O509" i="1"/>
  <c r="R509" i="1" s="1"/>
  <c r="N509" i="1"/>
  <c r="Q508" i="1"/>
  <c r="P508" i="1"/>
  <c r="O508" i="1"/>
  <c r="R508" i="1" s="1"/>
  <c r="N508" i="1"/>
  <c r="Q507" i="1"/>
  <c r="P507" i="1"/>
  <c r="O507" i="1"/>
  <c r="R507" i="1" s="1"/>
  <c r="N507" i="1"/>
  <c r="Q506" i="1"/>
  <c r="P506" i="1"/>
  <c r="O506" i="1"/>
  <c r="R506" i="1" s="1"/>
  <c r="N506" i="1"/>
  <c r="Q505" i="1"/>
  <c r="P505" i="1"/>
  <c r="O505" i="1"/>
  <c r="R505" i="1" s="1"/>
  <c r="N505" i="1"/>
  <c r="Q504" i="1"/>
  <c r="P504" i="1"/>
  <c r="O504" i="1"/>
  <c r="R504" i="1" s="1"/>
  <c r="N504" i="1"/>
  <c r="Q503" i="1"/>
  <c r="P503" i="1"/>
  <c r="O503" i="1"/>
  <c r="R503" i="1" s="1"/>
  <c r="N503" i="1"/>
  <c r="Q502" i="1"/>
  <c r="P502" i="1"/>
  <c r="O502" i="1"/>
  <c r="R502" i="1" s="1"/>
  <c r="N502" i="1"/>
  <c r="Q501" i="1"/>
  <c r="P501" i="1"/>
  <c r="O501" i="1"/>
  <c r="R501" i="1" s="1"/>
  <c r="N501" i="1"/>
  <c r="Q500" i="1"/>
  <c r="P500" i="1"/>
  <c r="O500" i="1"/>
  <c r="R500" i="1" s="1"/>
  <c r="N500" i="1"/>
  <c r="Q499" i="1"/>
  <c r="P499" i="1"/>
  <c r="O499" i="1"/>
  <c r="R499" i="1" s="1"/>
  <c r="N499" i="1"/>
  <c r="Q498" i="1"/>
  <c r="P498" i="1"/>
  <c r="O498" i="1"/>
  <c r="R498" i="1" s="1"/>
  <c r="N498" i="1"/>
  <c r="R497" i="1"/>
  <c r="Q496" i="1"/>
  <c r="P496" i="1"/>
  <c r="O496" i="1"/>
  <c r="R496" i="1" s="1"/>
  <c r="N496" i="1"/>
  <c r="R495" i="1"/>
  <c r="R494" i="1"/>
  <c r="Q493" i="1"/>
  <c r="P493" i="1"/>
  <c r="O493" i="1"/>
  <c r="R493" i="1" s="1"/>
  <c r="N493" i="1"/>
  <c r="R492" i="1"/>
  <c r="R491" i="1"/>
  <c r="Q490" i="1"/>
  <c r="P490" i="1"/>
  <c r="O490" i="1"/>
  <c r="R490" i="1" s="1"/>
  <c r="N490" i="1"/>
  <c r="R489" i="1"/>
  <c r="R488" i="1"/>
  <c r="R487" i="1"/>
  <c r="R486" i="1"/>
  <c r="Q485" i="1"/>
  <c r="P485" i="1"/>
  <c r="O485" i="1"/>
  <c r="R485" i="1" s="1"/>
  <c r="N485" i="1"/>
  <c r="Q484" i="1"/>
  <c r="P484" i="1"/>
  <c r="O484" i="1"/>
  <c r="R484" i="1" s="1"/>
  <c r="N484" i="1"/>
  <c r="Q483" i="1"/>
  <c r="P483" i="1"/>
  <c r="O483" i="1"/>
  <c r="R483" i="1" s="1"/>
  <c r="N483" i="1"/>
  <c r="Q482" i="1"/>
  <c r="P482" i="1"/>
  <c r="O482" i="1"/>
  <c r="R482" i="1" s="1"/>
  <c r="N482" i="1"/>
  <c r="Q481" i="1"/>
  <c r="P481" i="1"/>
  <c r="O481" i="1"/>
  <c r="R481" i="1" s="1"/>
  <c r="N481" i="1"/>
  <c r="Q480" i="1"/>
  <c r="P480" i="1"/>
  <c r="O480" i="1"/>
  <c r="R480" i="1" s="1"/>
  <c r="N480" i="1"/>
  <c r="Q479" i="1"/>
  <c r="P479" i="1"/>
  <c r="O479" i="1"/>
  <c r="R479" i="1" s="1"/>
  <c r="N479" i="1"/>
  <c r="Q478" i="1"/>
  <c r="P478" i="1"/>
  <c r="O478" i="1"/>
  <c r="R478" i="1" s="1"/>
  <c r="N478" i="1"/>
  <c r="Q477" i="1"/>
  <c r="P477" i="1"/>
  <c r="O477" i="1"/>
  <c r="R477" i="1" s="1"/>
  <c r="N477" i="1"/>
  <c r="Q476" i="1"/>
  <c r="P476" i="1"/>
  <c r="O476" i="1"/>
  <c r="R476" i="1" s="1"/>
  <c r="N476" i="1"/>
  <c r="Q475" i="1"/>
  <c r="P475" i="1"/>
  <c r="O475" i="1"/>
  <c r="R475" i="1" s="1"/>
  <c r="N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Q459" i="1"/>
  <c r="P459" i="1"/>
  <c r="O459" i="1"/>
  <c r="R459" i="1" s="1"/>
  <c r="N459" i="1"/>
  <c r="Q458" i="1"/>
  <c r="P458" i="1"/>
  <c r="O458" i="1"/>
  <c r="R458" i="1" s="1"/>
  <c r="N458" i="1"/>
  <c r="Q457" i="1"/>
  <c r="P457" i="1"/>
  <c r="O457" i="1"/>
  <c r="R457" i="1" s="1"/>
  <c r="N457" i="1"/>
  <c r="Q456" i="1"/>
  <c r="P456" i="1"/>
  <c r="O456" i="1"/>
  <c r="R456" i="1" s="1"/>
  <c r="N456" i="1"/>
  <c r="Q455" i="1"/>
  <c r="P455" i="1"/>
  <c r="O455" i="1"/>
  <c r="R455" i="1" s="1"/>
  <c r="N455" i="1"/>
  <c r="Q454" i="1"/>
  <c r="P454" i="1"/>
  <c r="O454" i="1"/>
  <c r="R454" i="1" s="1"/>
  <c r="N454" i="1"/>
  <c r="Q453" i="1"/>
  <c r="P453" i="1"/>
  <c r="O453" i="1"/>
  <c r="R453" i="1" s="1"/>
  <c r="N453" i="1"/>
  <c r="Q452" i="1"/>
  <c r="P452" i="1"/>
  <c r="O452" i="1"/>
  <c r="R452" i="1" s="1"/>
  <c r="N452" i="1"/>
  <c r="Q451" i="1"/>
  <c r="P451" i="1"/>
  <c r="O451" i="1"/>
  <c r="R451" i="1" s="1"/>
  <c r="N451" i="1"/>
  <c r="Q450" i="1"/>
  <c r="P450" i="1"/>
  <c r="O450" i="1"/>
  <c r="R450" i="1" s="1"/>
  <c r="N450" i="1"/>
  <c r="Q449" i="1"/>
  <c r="P449" i="1"/>
  <c r="O449" i="1"/>
  <c r="R449" i="1" s="1"/>
  <c r="N449" i="1"/>
  <c r="Q448" i="1"/>
  <c r="P448" i="1"/>
  <c r="O448" i="1"/>
  <c r="R448" i="1" s="1"/>
  <c r="N448" i="1"/>
  <c r="Q447" i="1"/>
  <c r="P447" i="1"/>
  <c r="O447" i="1"/>
  <c r="R447" i="1" s="1"/>
  <c r="N447" i="1"/>
  <c r="Q446" i="1"/>
  <c r="P446" i="1"/>
  <c r="O446" i="1"/>
  <c r="R446" i="1" s="1"/>
  <c r="N446" i="1"/>
  <c r="Q445" i="1"/>
  <c r="P445" i="1"/>
  <c r="O445" i="1"/>
  <c r="R445" i="1" s="1"/>
  <c r="N445" i="1"/>
  <c r="Q444" i="1"/>
  <c r="P444" i="1"/>
  <c r="O444" i="1"/>
  <c r="R444" i="1" s="1"/>
  <c r="N444" i="1"/>
  <c r="Q443" i="1"/>
  <c r="P443" i="1"/>
  <c r="O443" i="1"/>
  <c r="R443" i="1" s="1"/>
  <c r="N443" i="1"/>
  <c r="Q442" i="1"/>
  <c r="P442" i="1"/>
  <c r="O442" i="1"/>
  <c r="R442" i="1" s="1"/>
  <c r="N442" i="1"/>
  <c r="Q441" i="1"/>
  <c r="P441" i="1"/>
  <c r="O441" i="1"/>
  <c r="R441" i="1" s="1"/>
  <c r="N441" i="1"/>
  <c r="Q440" i="1"/>
  <c r="P440" i="1"/>
  <c r="O440" i="1"/>
  <c r="R440" i="1" s="1"/>
  <c r="N440" i="1"/>
  <c r="Q439" i="1"/>
  <c r="P439" i="1"/>
  <c r="O439" i="1"/>
  <c r="R439" i="1" s="1"/>
  <c r="N439" i="1"/>
  <c r="Q438" i="1"/>
  <c r="P438" i="1"/>
  <c r="O438" i="1"/>
  <c r="R438" i="1" s="1"/>
  <c r="N438" i="1"/>
  <c r="Q437" i="1"/>
  <c r="P437" i="1"/>
  <c r="O437" i="1"/>
  <c r="R437" i="1" s="1"/>
  <c r="N437" i="1"/>
  <c r="B437" i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Q436" i="1"/>
  <c r="P436" i="1"/>
  <c r="O436" i="1"/>
  <c r="R436" i="1" s="1"/>
  <c r="N436" i="1"/>
  <c r="R435" i="1"/>
  <c r="R34" i="5"/>
  <c r="Q33" i="5"/>
  <c r="P33" i="5"/>
  <c r="O33" i="5"/>
  <c r="R33" i="5" s="1"/>
  <c r="N33" i="5"/>
  <c r="F16" i="5"/>
  <c r="F3" i="13"/>
  <c r="Q12" i="1"/>
  <c r="P12" i="1"/>
  <c r="O12" i="1"/>
  <c r="N12" i="1"/>
  <c r="Q19" i="3"/>
  <c r="R128" i="17" l="1"/>
  <c r="Q127" i="17"/>
  <c r="P127" i="17"/>
  <c r="O127" i="17"/>
  <c r="R127" i="17" s="1"/>
  <c r="N127" i="17"/>
  <c r="Q126" i="17"/>
  <c r="P126" i="17"/>
  <c r="O126" i="17"/>
  <c r="N126" i="17"/>
  <c r="Q31" i="17" l="1"/>
  <c r="P31" i="17"/>
  <c r="O31" i="17"/>
  <c r="N31" i="17"/>
  <c r="P30" i="17"/>
  <c r="O30" i="17"/>
  <c r="N30" i="17"/>
  <c r="P19" i="3"/>
  <c r="O19" i="3"/>
  <c r="N19" i="3"/>
  <c r="R2027" i="1"/>
  <c r="R2026" i="1"/>
  <c r="R2025" i="1"/>
  <c r="P1751" i="1"/>
  <c r="O1751" i="1"/>
  <c r="N1751" i="1"/>
  <c r="P1750" i="1"/>
  <c r="O1750" i="1"/>
  <c r="N1750" i="1"/>
  <c r="P1749" i="1"/>
  <c r="O1749" i="1"/>
  <c r="N1749" i="1"/>
  <c r="P1748" i="1"/>
  <c r="O1748" i="1"/>
  <c r="N1748" i="1"/>
  <c r="P1747" i="1"/>
  <c r="O1747" i="1"/>
  <c r="N1747" i="1"/>
  <c r="P1746" i="1"/>
  <c r="O1746" i="1"/>
  <c r="N1746" i="1"/>
  <c r="P1745" i="1"/>
  <c r="O1745" i="1"/>
  <c r="N1745" i="1"/>
  <c r="P1744" i="1"/>
  <c r="O1744" i="1"/>
  <c r="N1744" i="1"/>
  <c r="P1743" i="1"/>
  <c r="O1743" i="1"/>
  <c r="N1743" i="1"/>
  <c r="P1742" i="1"/>
  <c r="O1742" i="1"/>
  <c r="N1742" i="1"/>
  <c r="P1741" i="1"/>
  <c r="O1741" i="1"/>
  <c r="N1741" i="1"/>
  <c r="P1740" i="1"/>
  <c r="O1740" i="1"/>
  <c r="N1740" i="1"/>
  <c r="P1739" i="1"/>
  <c r="O1739" i="1"/>
  <c r="N1739" i="1"/>
  <c r="P1738" i="1"/>
  <c r="O1738" i="1"/>
  <c r="N1738" i="1"/>
  <c r="P1737" i="1"/>
  <c r="O1737" i="1"/>
  <c r="N1737" i="1"/>
  <c r="P1736" i="1"/>
  <c r="O1736" i="1"/>
  <c r="N1736" i="1"/>
  <c r="P1735" i="1"/>
  <c r="O1735" i="1"/>
  <c r="N1735" i="1"/>
  <c r="P1734" i="1"/>
  <c r="O1734" i="1"/>
  <c r="P1733" i="1"/>
  <c r="O1733" i="1"/>
  <c r="N1733" i="1"/>
  <c r="P1732" i="1"/>
  <c r="O1732" i="1"/>
  <c r="N1732" i="1"/>
  <c r="P1731" i="1"/>
  <c r="O1731" i="1"/>
  <c r="N1731" i="1"/>
  <c r="P1730" i="1"/>
  <c r="O1730" i="1"/>
  <c r="N1730" i="1"/>
  <c r="P1729" i="1"/>
  <c r="O1729" i="1"/>
  <c r="N1729" i="1"/>
  <c r="P1728" i="1"/>
  <c r="O1728" i="1"/>
  <c r="N1728" i="1"/>
  <c r="P1727" i="1"/>
  <c r="O1727" i="1"/>
  <c r="N1727" i="1"/>
  <c r="P1726" i="1"/>
  <c r="O1726" i="1"/>
  <c r="N1726" i="1"/>
  <c r="P1725" i="1"/>
  <c r="O1725" i="1"/>
  <c r="N1725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7" i="1"/>
  <c r="O58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126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20" i="1"/>
  <c r="O321" i="1"/>
  <c r="O322" i="1"/>
  <c r="O323" i="1"/>
  <c r="O324" i="1"/>
  <c r="O325" i="1"/>
  <c r="O326" i="1"/>
  <c r="O327" i="1"/>
  <c r="O328" i="1"/>
  <c r="O329" i="1"/>
  <c r="O330" i="1"/>
  <c r="O335" i="1"/>
  <c r="O338" i="1"/>
  <c r="O341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8" i="1"/>
  <c r="O770" i="1"/>
  <c r="O771" i="1"/>
  <c r="O772" i="1"/>
  <c r="O773" i="1"/>
  <c r="O774" i="1"/>
  <c r="O775" i="1"/>
  <c r="O776" i="1"/>
  <c r="O777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800" i="1"/>
  <c r="O803" i="1"/>
  <c r="O806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904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1227" i="1"/>
  <c r="O1228" i="1"/>
  <c r="O1229" i="1"/>
  <c r="O1230" i="1"/>
  <c r="O1231" i="1"/>
  <c r="O1232" i="1"/>
  <c r="O1233" i="1"/>
  <c r="O1234" i="1"/>
  <c r="O1235" i="1"/>
  <c r="O1236" i="1"/>
  <c r="O1239" i="1"/>
  <c r="O1241" i="1"/>
  <c r="O1242" i="1"/>
  <c r="O1243" i="1"/>
  <c r="O1244" i="1"/>
  <c r="O1245" i="1"/>
  <c r="O1246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550" i="1"/>
  <c r="O1551" i="1"/>
  <c r="O1552" i="1"/>
  <c r="O1553" i="1"/>
  <c r="O1554" i="1"/>
  <c r="O1555" i="1"/>
  <c r="O1556" i="1"/>
  <c r="O1557" i="1"/>
  <c r="O1558" i="1"/>
  <c r="O1559" i="1"/>
  <c r="O1562" i="1"/>
  <c r="O1564" i="1"/>
  <c r="O1565" i="1"/>
  <c r="O1566" i="1"/>
  <c r="O1567" i="1"/>
  <c r="O1568" i="1"/>
  <c r="O1569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P1236" i="1" l="1"/>
  <c r="N1236" i="1"/>
  <c r="P1235" i="1"/>
  <c r="N1235" i="1"/>
  <c r="P1234" i="1"/>
  <c r="N1234" i="1"/>
  <c r="P1233" i="1"/>
  <c r="N1233" i="1"/>
  <c r="P1232" i="1"/>
  <c r="N1232" i="1"/>
  <c r="P1231" i="1"/>
  <c r="N1231" i="1"/>
  <c r="P1230" i="1"/>
  <c r="P1229" i="1"/>
  <c r="P1228" i="1"/>
  <c r="P942" i="1"/>
  <c r="Q762" i="1"/>
  <c r="P762" i="1"/>
  <c r="N762" i="1"/>
  <c r="Q761" i="1"/>
  <c r="P761" i="1"/>
  <c r="N761" i="1"/>
  <c r="Q760" i="1"/>
  <c r="P760" i="1"/>
  <c r="N760" i="1"/>
  <c r="Q759" i="1"/>
  <c r="P759" i="1"/>
  <c r="N759" i="1"/>
  <c r="Q758" i="1"/>
  <c r="P758" i="1"/>
  <c r="N758" i="1"/>
  <c r="Q757" i="1"/>
  <c r="P757" i="1"/>
  <c r="N757" i="1"/>
  <c r="Q756" i="1"/>
  <c r="P756" i="1"/>
  <c r="N756" i="1"/>
  <c r="Q755" i="1"/>
  <c r="P755" i="1"/>
  <c r="N755" i="1"/>
  <c r="Q754" i="1"/>
  <c r="P754" i="1"/>
  <c r="N754" i="1"/>
  <c r="Q753" i="1"/>
  <c r="P753" i="1"/>
  <c r="N753" i="1"/>
  <c r="Q752" i="1"/>
  <c r="P752" i="1"/>
  <c r="N752" i="1"/>
  <c r="Q751" i="1"/>
  <c r="P751" i="1"/>
  <c r="N751" i="1"/>
  <c r="Q750" i="1"/>
  <c r="P750" i="1"/>
  <c r="N750" i="1"/>
  <c r="Q749" i="1"/>
  <c r="P749" i="1"/>
  <c r="N749" i="1"/>
  <c r="Q748" i="1"/>
  <c r="P748" i="1"/>
  <c r="N748" i="1"/>
  <c r="Q747" i="1"/>
  <c r="P747" i="1"/>
  <c r="N747" i="1"/>
  <c r="Q252" i="1"/>
  <c r="P252" i="1"/>
  <c r="N252" i="1"/>
  <c r="Q251" i="1"/>
  <c r="P251" i="1"/>
  <c r="N251" i="1"/>
  <c r="Q250" i="1"/>
  <c r="P250" i="1"/>
  <c r="N250" i="1"/>
  <c r="Q249" i="1"/>
  <c r="P249" i="1"/>
  <c r="N249" i="1"/>
  <c r="Q24" i="1"/>
  <c r="P24" i="1"/>
  <c r="N24" i="1"/>
  <c r="Q125" i="17"/>
  <c r="P125" i="17"/>
  <c r="O125" i="17"/>
  <c r="R125" i="17" s="1"/>
  <c r="N125" i="17"/>
  <c r="Q124" i="17"/>
  <c r="P124" i="17"/>
  <c r="O124" i="17"/>
  <c r="R124" i="17" s="1"/>
  <c r="N124" i="17"/>
  <c r="Q123" i="17"/>
  <c r="P123" i="17"/>
  <c r="O123" i="17"/>
  <c r="R123" i="17" s="1"/>
  <c r="N123" i="17"/>
  <c r="Q122" i="17"/>
  <c r="P122" i="17"/>
  <c r="O122" i="17"/>
  <c r="R122" i="17" s="1"/>
  <c r="N122" i="17"/>
  <c r="Q120" i="17"/>
  <c r="P120" i="17"/>
  <c r="O120" i="17"/>
  <c r="N120" i="17"/>
  <c r="Q119" i="17"/>
  <c r="P119" i="17"/>
  <c r="O119" i="17"/>
  <c r="N119" i="17"/>
  <c r="Q118" i="17"/>
  <c r="P118" i="17"/>
  <c r="O118" i="17"/>
  <c r="N118" i="17"/>
  <c r="Q117" i="17"/>
  <c r="P117" i="17"/>
  <c r="O117" i="17"/>
  <c r="N117" i="17"/>
  <c r="R126" i="17"/>
  <c r="P47" i="3" l="1"/>
  <c r="O47" i="3"/>
  <c r="N47" i="3"/>
  <c r="N12" i="3"/>
  <c r="O12" i="3"/>
  <c r="P12" i="3"/>
  <c r="Q12" i="3"/>
  <c r="N11" i="3"/>
  <c r="N13" i="3"/>
  <c r="N14" i="3"/>
  <c r="N15" i="3"/>
  <c r="N17" i="3"/>
  <c r="N20" i="3"/>
  <c r="N21" i="3"/>
  <c r="N22" i="3"/>
  <c r="N23" i="3"/>
  <c r="N25" i="3"/>
  <c r="N26" i="3"/>
  <c r="Q23" i="3" l="1"/>
  <c r="P904" i="1"/>
  <c r="Q23" i="1"/>
  <c r="P23" i="1"/>
  <c r="N23" i="1"/>
  <c r="Q22" i="1"/>
  <c r="P22" i="1"/>
  <c r="N22" i="1"/>
  <c r="O48" i="15"/>
  <c r="P48" i="15"/>
  <c r="O50" i="15"/>
  <c r="P50" i="15"/>
  <c r="P51" i="15"/>
  <c r="O51" i="15"/>
  <c r="Q24" i="15"/>
  <c r="Q25" i="15"/>
  <c r="Q26" i="15"/>
  <c r="Q27" i="15"/>
  <c r="P25" i="15"/>
  <c r="O25" i="15"/>
  <c r="N25" i="15"/>
  <c r="N11" i="15"/>
  <c r="O11" i="15"/>
  <c r="R11" i="15" s="1"/>
  <c r="N12" i="15"/>
  <c r="O12" i="15"/>
  <c r="R12" i="15" s="1"/>
  <c r="P12" i="15"/>
  <c r="Q12" i="15"/>
  <c r="P184" i="3"/>
  <c r="O184" i="3"/>
  <c r="N184" i="3"/>
  <c r="P26" i="3"/>
  <c r="O26" i="3"/>
  <c r="P25" i="3"/>
  <c r="O25" i="3"/>
  <c r="P23" i="3"/>
  <c r="O23" i="3"/>
  <c r="P22" i="3"/>
  <c r="O22" i="3"/>
  <c r="P21" i="3"/>
  <c r="O21" i="3"/>
  <c r="P20" i="3"/>
  <c r="O20" i="3"/>
  <c r="P17" i="3"/>
  <c r="O17" i="3"/>
  <c r="Q32" i="5" l="1"/>
  <c r="P32" i="5"/>
  <c r="O32" i="5"/>
  <c r="R32" i="5" s="1"/>
  <c r="N32" i="5"/>
  <c r="O133" i="17" l="1"/>
  <c r="N133" i="17"/>
  <c r="Q116" i="17"/>
  <c r="P116" i="17"/>
  <c r="O116" i="17"/>
  <c r="N116" i="17"/>
  <c r="Q11" i="17"/>
  <c r="P11" i="17"/>
  <c r="O11" i="17"/>
  <c r="N11" i="17"/>
  <c r="R51" i="19" l="1"/>
  <c r="D170" i="13" l="1"/>
  <c r="D169" i="13"/>
  <c r="D167" i="13"/>
  <c r="D166" i="13"/>
  <c r="P53" i="15" l="1"/>
  <c r="O53" i="15"/>
  <c r="P52" i="15"/>
  <c r="O52" i="15"/>
  <c r="P47" i="15"/>
  <c r="O47" i="15"/>
  <c r="N47" i="15"/>
  <c r="P46" i="15"/>
  <c r="O46" i="15"/>
  <c r="N46" i="15"/>
  <c r="P45" i="15"/>
  <c r="O45" i="15"/>
  <c r="N45" i="15"/>
  <c r="P44" i="15"/>
  <c r="O44" i="15"/>
  <c r="N44" i="15"/>
  <c r="F78" i="19"/>
  <c r="R758" i="1" l="1"/>
  <c r="R757" i="1"/>
  <c r="R756" i="1"/>
  <c r="R755" i="1"/>
  <c r="R754" i="1"/>
  <c r="R752" i="1"/>
  <c r="R751" i="1"/>
  <c r="R750" i="1"/>
  <c r="R749" i="1"/>
  <c r="R748" i="1"/>
  <c r="R747" i="1"/>
  <c r="P746" i="1"/>
  <c r="N746" i="1"/>
  <c r="Q746" i="1"/>
  <c r="R753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R317" i="1"/>
  <c r="R315" i="1"/>
  <c r="R314" i="1"/>
  <c r="R313" i="1"/>
  <c r="R312" i="1"/>
  <c r="R311" i="1"/>
  <c r="R308" i="1"/>
  <c r="R307" i="1"/>
  <c r="R305" i="1"/>
  <c r="P304" i="1"/>
  <c r="R304" i="1"/>
  <c r="N304" i="1"/>
  <c r="P303" i="1"/>
  <c r="N303" i="1"/>
  <c r="P302" i="1"/>
  <c r="N302" i="1"/>
  <c r="P301" i="1"/>
  <c r="N301" i="1"/>
  <c r="P300" i="1"/>
  <c r="R300" i="1"/>
  <c r="N300" i="1"/>
  <c r="P299" i="1"/>
  <c r="R299" i="1"/>
  <c r="N299" i="1"/>
  <c r="P298" i="1"/>
  <c r="N298" i="1"/>
  <c r="P297" i="1"/>
  <c r="R297" i="1"/>
  <c r="N297" i="1"/>
  <c r="P296" i="1"/>
  <c r="R296" i="1"/>
  <c r="N296" i="1"/>
  <c r="P295" i="1"/>
  <c r="R295" i="1"/>
  <c r="N295" i="1"/>
  <c r="P294" i="1"/>
  <c r="N294" i="1"/>
  <c r="P293" i="1"/>
  <c r="N293" i="1"/>
  <c r="P292" i="1"/>
  <c r="R292" i="1"/>
  <c r="N292" i="1"/>
  <c r="P291" i="1"/>
  <c r="R291" i="1"/>
  <c r="N291" i="1"/>
  <c r="P290" i="1"/>
  <c r="R290" i="1"/>
  <c r="N290" i="1"/>
  <c r="P289" i="1"/>
  <c r="R289" i="1"/>
  <c r="N289" i="1"/>
  <c r="P288" i="1"/>
  <c r="R288" i="1"/>
  <c r="N288" i="1"/>
  <c r="P287" i="1"/>
  <c r="R287" i="1"/>
  <c r="N287" i="1"/>
  <c r="P286" i="1"/>
  <c r="N286" i="1"/>
  <c r="P285" i="1"/>
  <c r="N285" i="1"/>
  <c r="P284" i="1"/>
  <c r="R284" i="1"/>
  <c r="N284" i="1"/>
  <c r="P283" i="1"/>
  <c r="R283" i="1"/>
  <c r="N283" i="1"/>
  <c r="P282" i="1"/>
  <c r="R282" i="1"/>
  <c r="N282" i="1"/>
  <c r="R316" i="1"/>
  <c r="N320" i="1"/>
  <c r="P320" i="1"/>
  <c r="N321" i="1"/>
  <c r="P321" i="1"/>
  <c r="N322" i="1"/>
  <c r="P322" i="1"/>
  <c r="N323" i="1"/>
  <c r="P323" i="1"/>
  <c r="N324" i="1"/>
  <c r="P324" i="1"/>
  <c r="N325" i="1"/>
  <c r="P325" i="1"/>
  <c r="N326" i="1"/>
  <c r="P326" i="1"/>
  <c r="N327" i="1"/>
  <c r="P327" i="1"/>
  <c r="N328" i="1"/>
  <c r="P328" i="1"/>
  <c r="N329" i="1"/>
  <c r="P329" i="1"/>
  <c r="N330" i="1"/>
  <c r="P330" i="1"/>
  <c r="N335" i="1"/>
  <c r="P335" i="1"/>
  <c r="N338" i="1"/>
  <c r="P338" i="1"/>
  <c r="N341" i="1"/>
  <c r="P341" i="1"/>
  <c r="N343" i="1"/>
  <c r="P343" i="1"/>
  <c r="N344" i="1"/>
  <c r="P344" i="1"/>
  <c r="N345" i="1"/>
  <c r="P345" i="1"/>
  <c r="N346" i="1"/>
  <c r="P346" i="1"/>
  <c r="N347" i="1"/>
  <c r="P347" i="1"/>
  <c r="N348" i="1"/>
  <c r="P348" i="1"/>
  <c r="N349" i="1"/>
  <c r="P349" i="1"/>
  <c r="N350" i="1"/>
  <c r="P350" i="1"/>
  <c r="N351" i="1"/>
  <c r="P351" i="1"/>
  <c r="N352" i="1"/>
  <c r="P352" i="1"/>
  <c r="N353" i="1"/>
  <c r="P353" i="1"/>
  <c r="N354" i="1"/>
  <c r="P354" i="1"/>
  <c r="N355" i="1"/>
  <c r="P355" i="1"/>
  <c r="N356" i="1"/>
  <c r="P356" i="1"/>
  <c r="N357" i="1"/>
  <c r="P357" i="1"/>
  <c r="N358" i="1"/>
  <c r="P358" i="1"/>
  <c r="N359" i="1"/>
  <c r="P359" i="1"/>
  <c r="N360" i="1"/>
  <c r="P360" i="1"/>
  <c r="N361" i="1"/>
  <c r="P361" i="1"/>
  <c r="N362" i="1"/>
  <c r="P362" i="1"/>
  <c r="N363" i="1"/>
  <c r="P363" i="1"/>
  <c r="N364" i="1"/>
  <c r="P364" i="1"/>
  <c r="N365" i="1"/>
  <c r="P365" i="1"/>
  <c r="N366" i="1"/>
  <c r="P366" i="1"/>
  <c r="N367" i="1"/>
  <c r="P367" i="1"/>
  <c r="N368" i="1"/>
  <c r="P368" i="1"/>
  <c r="N369" i="1"/>
  <c r="P369" i="1"/>
  <c r="N372" i="1"/>
  <c r="P372" i="1"/>
  <c r="N373" i="1"/>
  <c r="P373" i="1"/>
  <c r="N374" i="1"/>
  <c r="P374" i="1"/>
  <c r="N375" i="1"/>
  <c r="P375" i="1"/>
  <c r="N376" i="1"/>
  <c r="P376" i="1"/>
  <c r="N377" i="1"/>
  <c r="P377" i="1"/>
  <c r="N378" i="1"/>
  <c r="P378" i="1"/>
  <c r="N379" i="1"/>
  <c r="P379" i="1"/>
  <c r="N380" i="1"/>
  <c r="P380" i="1"/>
  <c r="N381" i="1"/>
  <c r="P381" i="1"/>
  <c r="N382" i="1"/>
  <c r="P382" i="1"/>
  <c r="N383" i="1"/>
  <c r="P383" i="1"/>
  <c r="N384" i="1"/>
  <c r="P384" i="1"/>
  <c r="N385" i="1"/>
  <c r="P385" i="1"/>
  <c r="N386" i="1"/>
  <c r="P386" i="1"/>
  <c r="N387" i="1"/>
  <c r="P387" i="1"/>
  <c r="N388" i="1"/>
  <c r="P388" i="1"/>
  <c r="N389" i="1"/>
  <c r="P389" i="1"/>
  <c r="N390" i="1"/>
  <c r="P390" i="1"/>
  <c r="N391" i="1"/>
  <c r="P391" i="1"/>
  <c r="N392" i="1"/>
  <c r="P392" i="1"/>
  <c r="N393" i="1"/>
  <c r="P393" i="1"/>
  <c r="N394" i="1"/>
  <c r="P394" i="1"/>
  <c r="N395" i="1"/>
  <c r="P395" i="1"/>
  <c r="N396" i="1"/>
  <c r="P396" i="1"/>
  <c r="N397" i="1"/>
  <c r="P397" i="1"/>
  <c r="N398" i="1"/>
  <c r="P398" i="1"/>
  <c r="N399" i="1"/>
  <c r="P399" i="1"/>
  <c r="N400" i="1"/>
  <c r="P400" i="1"/>
  <c r="N401" i="1"/>
  <c r="P401" i="1"/>
  <c r="N402" i="1"/>
  <c r="P402" i="1"/>
  <c r="N403" i="1"/>
  <c r="P403" i="1"/>
  <c r="N404" i="1"/>
  <c r="P404" i="1"/>
  <c r="N405" i="1"/>
  <c r="P405" i="1"/>
  <c r="N406" i="1"/>
  <c r="P406" i="1"/>
  <c r="N407" i="1"/>
  <c r="P407" i="1"/>
  <c r="N408" i="1"/>
  <c r="P408" i="1"/>
  <c r="N409" i="1"/>
  <c r="P409" i="1"/>
  <c r="N410" i="1"/>
  <c r="P410" i="1"/>
  <c r="N411" i="1"/>
  <c r="P411" i="1"/>
  <c r="N412" i="1"/>
  <c r="P412" i="1"/>
  <c r="N413" i="1"/>
  <c r="P413" i="1"/>
  <c r="N414" i="1"/>
  <c r="P414" i="1"/>
  <c r="N415" i="1"/>
  <c r="P415" i="1"/>
  <c r="N416" i="1"/>
  <c r="P416" i="1"/>
  <c r="N417" i="1"/>
  <c r="P417" i="1"/>
  <c r="N418" i="1"/>
  <c r="P418" i="1"/>
  <c r="N419" i="1"/>
  <c r="P419" i="1"/>
  <c r="N420" i="1"/>
  <c r="P420" i="1"/>
  <c r="N421" i="1"/>
  <c r="P421" i="1"/>
  <c r="N422" i="1"/>
  <c r="P422" i="1"/>
  <c r="N423" i="1"/>
  <c r="P423" i="1"/>
  <c r="N424" i="1"/>
  <c r="P424" i="1"/>
  <c r="N425" i="1"/>
  <c r="P425" i="1"/>
  <c r="N426" i="1"/>
  <c r="P426" i="1"/>
  <c r="N427" i="1"/>
  <c r="P427" i="1"/>
  <c r="N428" i="1"/>
  <c r="P428" i="1"/>
  <c r="N429" i="1"/>
  <c r="P429" i="1"/>
  <c r="N430" i="1"/>
  <c r="P430" i="1"/>
  <c r="N431" i="1"/>
  <c r="P431" i="1"/>
  <c r="N432" i="1"/>
  <c r="P432" i="1"/>
  <c r="N433" i="1"/>
  <c r="P433" i="1"/>
  <c r="R310" i="1"/>
  <c r="R303" i="1"/>
  <c r="R302" i="1"/>
  <c r="R294" i="1"/>
  <c r="R286" i="1"/>
  <c r="N281" i="1"/>
  <c r="R281" i="1"/>
  <c r="P281" i="1"/>
  <c r="R285" i="1"/>
  <c r="R293" i="1"/>
  <c r="R298" i="1"/>
  <c r="R301" i="1"/>
  <c r="R306" i="1"/>
  <c r="R309" i="1"/>
  <c r="P126" i="1"/>
  <c r="D103" i="13"/>
  <c r="D83" i="13"/>
  <c r="R182" i="3" l="1"/>
  <c r="R186" i="3"/>
  <c r="R188" i="3"/>
  <c r="R189" i="3"/>
  <c r="R190" i="3"/>
  <c r="R194" i="3"/>
  <c r="R197" i="3"/>
  <c r="R198" i="3"/>
  <c r="R199" i="3"/>
  <c r="R202" i="3"/>
  <c r="R206" i="3"/>
  <c r="R207" i="3"/>
  <c r="R208" i="3"/>
  <c r="R210" i="3"/>
  <c r="R213" i="3"/>
  <c r="R214" i="3"/>
  <c r="R215" i="3"/>
  <c r="R216" i="3"/>
  <c r="R218" i="3"/>
  <c r="R219" i="3"/>
  <c r="R220" i="3"/>
  <c r="R222" i="3"/>
  <c r="R223" i="3"/>
  <c r="R225" i="3"/>
  <c r="R226" i="3"/>
  <c r="R227" i="3"/>
  <c r="R228" i="3"/>
  <c r="R229" i="3"/>
  <c r="R230" i="3"/>
  <c r="R232" i="3"/>
  <c r="R233" i="3"/>
  <c r="R234" i="3"/>
  <c r="R238" i="3"/>
  <c r="R239" i="3"/>
  <c r="R240" i="3"/>
  <c r="R241" i="3"/>
  <c r="R242" i="3"/>
  <c r="R244" i="3"/>
  <c r="R245" i="3"/>
  <c r="R246" i="3"/>
  <c r="R270" i="3"/>
  <c r="R269" i="3"/>
  <c r="R268" i="3"/>
  <c r="R267" i="3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3" i="3"/>
  <c r="R237" i="3"/>
  <c r="R236" i="3"/>
  <c r="R235" i="3"/>
  <c r="R231" i="3"/>
  <c r="R224" i="3"/>
  <c r="R221" i="3"/>
  <c r="R217" i="3"/>
  <c r="R212" i="3"/>
  <c r="R211" i="3"/>
  <c r="R209" i="3"/>
  <c r="R205" i="3"/>
  <c r="R204" i="3"/>
  <c r="R203" i="3"/>
  <c r="R201" i="3"/>
  <c r="R200" i="3"/>
  <c r="R195" i="3"/>
  <c r="R193" i="3"/>
  <c r="R192" i="3"/>
  <c r="R191" i="3"/>
  <c r="R187" i="3"/>
  <c r="R185" i="3"/>
  <c r="R184" i="3"/>
  <c r="R183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D126" i="13"/>
  <c r="R144" i="17"/>
  <c r="R143" i="17"/>
  <c r="R140" i="17"/>
  <c r="R137" i="17"/>
  <c r="R135" i="17"/>
  <c r="R269" i="17"/>
  <c r="R212" i="17"/>
  <c r="R211" i="17"/>
  <c r="R210" i="17"/>
  <c r="R209" i="17"/>
  <c r="R208" i="17"/>
  <c r="R207" i="17"/>
  <c r="R206" i="17"/>
  <c r="R205" i="17"/>
  <c r="R204" i="17"/>
  <c r="R203" i="17"/>
  <c r="R202" i="17"/>
  <c r="R201" i="17"/>
  <c r="R200" i="17"/>
  <c r="R199" i="17"/>
  <c r="R198" i="17"/>
  <c r="R197" i="17"/>
  <c r="R196" i="17"/>
  <c r="R195" i="17"/>
  <c r="R194" i="17"/>
  <c r="R193" i="17"/>
  <c r="R192" i="17"/>
  <c r="R191" i="17"/>
  <c r="R190" i="17"/>
  <c r="R189" i="17"/>
  <c r="R188" i="17"/>
  <c r="R187" i="17"/>
  <c r="R186" i="17"/>
  <c r="R185" i="17"/>
  <c r="R184" i="17"/>
  <c r="R183" i="17"/>
  <c r="R182" i="17"/>
  <c r="R181" i="17"/>
  <c r="R180" i="17"/>
  <c r="R179" i="17"/>
  <c r="R178" i="17"/>
  <c r="R177" i="17"/>
  <c r="R176" i="17"/>
  <c r="R175" i="17"/>
  <c r="R174" i="17"/>
  <c r="R173" i="17"/>
  <c r="R172" i="17"/>
  <c r="R171" i="17"/>
  <c r="R170" i="17"/>
  <c r="R169" i="17"/>
  <c r="R168" i="17"/>
  <c r="R167" i="17"/>
  <c r="R166" i="17"/>
  <c r="R165" i="17"/>
  <c r="R164" i="17"/>
  <c r="R163" i="17"/>
  <c r="R162" i="17"/>
  <c r="R161" i="17"/>
  <c r="R160" i="17"/>
  <c r="R159" i="17"/>
  <c r="R158" i="17"/>
  <c r="R157" i="17"/>
  <c r="R156" i="17"/>
  <c r="R155" i="17"/>
  <c r="R154" i="17"/>
  <c r="R153" i="17"/>
  <c r="R152" i="17"/>
  <c r="R151" i="17"/>
  <c r="R150" i="17"/>
  <c r="R149" i="17"/>
  <c r="R148" i="17"/>
  <c r="R147" i="17"/>
  <c r="R146" i="17"/>
  <c r="R145" i="17"/>
  <c r="R142" i="17"/>
  <c r="R141" i="17"/>
  <c r="R139" i="17"/>
  <c r="R138" i="17"/>
  <c r="R136" i="17"/>
  <c r="R134" i="17"/>
  <c r="R133" i="17"/>
  <c r="R132" i="17"/>
  <c r="R131" i="17"/>
  <c r="R129" i="17"/>
  <c r="R121" i="17"/>
  <c r="R120" i="17"/>
  <c r="R117" i="17"/>
  <c r="R116" i="17"/>
  <c r="R113" i="17"/>
  <c r="R91" i="17"/>
  <c r="R84" i="17"/>
  <c r="R71" i="17"/>
  <c r="R69" i="17"/>
  <c r="R68" i="17"/>
  <c r="R67" i="17"/>
  <c r="R66" i="17"/>
  <c r="R36" i="17"/>
  <c r="R35" i="17"/>
  <c r="R34" i="17"/>
  <c r="R33" i="17"/>
  <c r="R11" i="17"/>
  <c r="R13" i="17"/>
  <c r="R21" i="17"/>
  <c r="R19" i="17"/>
  <c r="R77" i="19"/>
  <c r="R76" i="19"/>
  <c r="R75" i="19"/>
  <c r="R74" i="19"/>
  <c r="R73" i="19"/>
  <c r="R72" i="19"/>
  <c r="R47" i="19"/>
  <c r="R46" i="19"/>
  <c r="R45" i="19"/>
  <c r="R44" i="19"/>
  <c r="R40" i="19"/>
  <c r="R39" i="19"/>
  <c r="R18" i="19"/>
  <c r="R17" i="19"/>
  <c r="R16" i="19"/>
  <c r="R15" i="19"/>
  <c r="D159" i="13"/>
  <c r="D161" i="13"/>
  <c r="D158" i="13"/>
  <c r="D157" i="13"/>
  <c r="D160" i="13"/>
  <c r="F73" i="15"/>
  <c r="E134" i="13" l="1"/>
  <c r="R73" i="15"/>
  <c r="R72" i="15"/>
  <c r="R71" i="15"/>
  <c r="R70" i="15"/>
  <c r="R69" i="15"/>
  <c r="R68" i="15"/>
  <c r="R67" i="15"/>
  <c r="R66" i="15"/>
  <c r="R65" i="15"/>
  <c r="R64" i="15"/>
  <c r="R63" i="15"/>
  <c r="R62" i="15"/>
  <c r="R61" i="15"/>
  <c r="R60" i="15"/>
  <c r="R59" i="15"/>
  <c r="R58" i="15"/>
  <c r="R57" i="15"/>
  <c r="R56" i="15"/>
  <c r="R55" i="15"/>
  <c r="R54" i="15"/>
  <c r="R53" i="15"/>
  <c r="R52" i="15"/>
  <c r="R51" i="15"/>
  <c r="R50" i="15"/>
  <c r="R49" i="15"/>
  <c r="R48" i="15"/>
  <c r="R47" i="15"/>
  <c r="R46" i="15"/>
  <c r="R45" i="15"/>
  <c r="R44" i="15"/>
  <c r="R43" i="15"/>
  <c r="R42" i="15"/>
  <c r="R41" i="15"/>
  <c r="R40" i="15"/>
  <c r="R39" i="15"/>
  <c r="R38" i="15"/>
  <c r="R37" i="15"/>
  <c r="R36" i="15"/>
  <c r="R35" i="15"/>
  <c r="R34" i="15"/>
  <c r="R33" i="15"/>
  <c r="R32" i="15"/>
  <c r="R31" i="15"/>
  <c r="R30" i="15"/>
  <c r="R29" i="15"/>
  <c r="R17" i="15"/>
  <c r="R16" i="15"/>
  <c r="R15" i="15"/>
  <c r="R14" i="15"/>
  <c r="R13" i="15"/>
  <c r="R28" i="15"/>
  <c r="D113" i="13" l="1"/>
  <c r="Q209" i="5" l="1"/>
  <c r="P209" i="5"/>
  <c r="O209" i="5"/>
  <c r="N209" i="5"/>
  <c r="Q208" i="5"/>
  <c r="P208" i="5"/>
  <c r="O208" i="5"/>
  <c r="N208" i="5"/>
  <c r="Q207" i="5"/>
  <c r="P207" i="5"/>
  <c r="O207" i="5"/>
  <c r="N207" i="5"/>
  <c r="Q206" i="5"/>
  <c r="P206" i="5"/>
  <c r="O206" i="5"/>
  <c r="N206" i="5"/>
  <c r="R566" i="5"/>
  <c r="R531" i="5"/>
  <c r="R530" i="5"/>
  <c r="R529" i="5"/>
  <c r="R528" i="5"/>
  <c r="R527" i="5"/>
  <c r="R526" i="5"/>
  <c r="R525" i="5"/>
  <c r="R524" i="5"/>
  <c r="R523" i="5"/>
  <c r="R522" i="5"/>
  <c r="R521" i="5"/>
  <c r="R520" i="5"/>
  <c r="R519" i="5"/>
  <c r="R518" i="5"/>
  <c r="R517" i="5"/>
  <c r="R516" i="5"/>
  <c r="R515" i="5"/>
  <c r="R514" i="5"/>
  <c r="R513" i="5"/>
  <c r="R512" i="5"/>
  <c r="R511" i="5"/>
  <c r="R510" i="5"/>
  <c r="R509" i="5"/>
  <c r="R508" i="5"/>
  <c r="R507" i="5"/>
  <c r="R506" i="5"/>
  <c r="R505" i="5"/>
  <c r="R504" i="5"/>
  <c r="R503" i="5"/>
  <c r="R502" i="5"/>
  <c r="R501" i="5"/>
  <c r="R500" i="5"/>
  <c r="R499" i="5"/>
  <c r="R498" i="5"/>
  <c r="R497" i="5"/>
  <c r="R496" i="5"/>
  <c r="R495" i="5"/>
  <c r="R494" i="5"/>
  <c r="R493" i="5"/>
  <c r="R492" i="5"/>
  <c r="R491" i="5"/>
  <c r="R490" i="5"/>
  <c r="R489" i="5"/>
  <c r="R488" i="5"/>
  <c r="R487" i="5"/>
  <c r="R486" i="5"/>
  <c r="R485" i="5"/>
  <c r="R484" i="5"/>
  <c r="R483" i="5"/>
  <c r="R482" i="5"/>
  <c r="R481" i="5"/>
  <c r="R480" i="5"/>
  <c r="R479" i="5"/>
  <c r="R478" i="5"/>
  <c r="R477" i="5"/>
  <c r="R476" i="5"/>
  <c r="R475" i="5"/>
  <c r="R474" i="5"/>
  <c r="R473" i="5"/>
  <c r="R472" i="5"/>
  <c r="R471" i="5"/>
  <c r="R470" i="5"/>
  <c r="R469" i="5"/>
  <c r="R468" i="5"/>
  <c r="R467" i="5"/>
  <c r="R466" i="5"/>
  <c r="R465" i="5"/>
  <c r="R464" i="5"/>
  <c r="R463" i="5"/>
  <c r="R462" i="5"/>
  <c r="R461" i="5"/>
  <c r="R460" i="5"/>
  <c r="R459" i="5"/>
  <c r="R458" i="5"/>
  <c r="R457" i="5"/>
  <c r="R456" i="5"/>
  <c r="R455" i="5"/>
  <c r="R454" i="5"/>
  <c r="R453" i="5"/>
  <c r="R452" i="5"/>
  <c r="R451" i="5"/>
  <c r="R450" i="5"/>
  <c r="R449" i="5"/>
  <c r="R448" i="5"/>
  <c r="R447" i="5"/>
  <c r="R446" i="5"/>
  <c r="R445" i="5"/>
  <c r="R444" i="5"/>
  <c r="R443" i="5"/>
  <c r="R442" i="5"/>
  <c r="R441" i="5"/>
  <c r="R440" i="5"/>
  <c r="R439" i="5"/>
  <c r="R438" i="5"/>
  <c r="R437" i="5"/>
  <c r="R436" i="5"/>
  <c r="R435" i="5"/>
  <c r="R434" i="5"/>
  <c r="R433" i="5"/>
  <c r="R432" i="5"/>
  <c r="R431" i="5"/>
  <c r="R430" i="5"/>
  <c r="R429" i="5"/>
  <c r="R428" i="5"/>
  <c r="R427" i="5"/>
  <c r="R426" i="5"/>
  <c r="R425" i="5"/>
  <c r="R424" i="5"/>
  <c r="R423" i="5"/>
  <c r="R422" i="5"/>
  <c r="R421" i="5"/>
  <c r="R420" i="5"/>
  <c r="R419" i="5"/>
  <c r="R418" i="5"/>
  <c r="R417" i="5"/>
  <c r="R416" i="5"/>
  <c r="R415" i="5"/>
  <c r="R414" i="5"/>
  <c r="R413" i="5"/>
  <c r="R412" i="5"/>
  <c r="R411" i="5"/>
  <c r="R410" i="5"/>
  <c r="R409" i="5"/>
  <c r="R408" i="5"/>
  <c r="R407" i="5"/>
  <c r="R406" i="5"/>
  <c r="R405" i="5"/>
  <c r="R404" i="5"/>
  <c r="R403" i="5"/>
  <c r="R402" i="5"/>
  <c r="R401" i="5"/>
  <c r="R400" i="5"/>
  <c r="R399" i="5"/>
  <c r="R398" i="5"/>
  <c r="R397" i="5"/>
  <c r="R396" i="5"/>
  <c r="R395" i="5"/>
  <c r="R394" i="5"/>
  <c r="R393" i="5"/>
  <c r="R392" i="5"/>
  <c r="R391" i="5"/>
  <c r="R390" i="5"/>
  <c r="R389" i="5"/>
  <c r="R388" i="5"/>
  <c r="R387" i="5"/>
  <c r="R386" i="5"/>
  <c r="R385" i="5"/>
  <c r="R384" i="5"/>
  <c r="R383" i="5"/>
  <c r="R382" i="5"/>
  <c r="R381" i="5"/>
  <c r="R380" i="5"/>
  <c r="R379" i="5"/>
  <c r="R378" i="5"/>
  <c r="R377" i="5"/>
  <c r="R376" i="5"/>
  <c r="R375" i="5"/>
  <c r="R374" i="5"/>
  <c r="R373" i="5"/>
  <c r="R372" i="5"/>
  <c r="R371" i="5"/>
  <c r="R370" i="5"/>
  <c r="R369" i="5"/>
  <c r="R368" i="5"/>
  <c r="R367" i="5"/>
  <c r="R366" i="5"/>
  <c r="R365" i="5"/>
  <c r="R364" i="5"/>
  <c r="R363" i="5"/>
  <c r="R362" i="5"/>
  <c r="R361" i="5"/>
  <c r="R360" i="5"/>
  <c r="R359" i="5"/>
  <c r="R358" i="5"/>
  <c r="R357" i="5"/>
  <c r="R356" i="5"/>
  <c r="R355" i="5"/>
  <c r="R354" i="5"/>
  <c r="R353" i="5"/>
  <c r="R352" i="5"/>
  <c r="R351" i="5"/>
  <c r="R350" i="5"/>
  <c r="R349" i="5"/>
  <c r="R348" i="5"/>
  <c r="R347" i="5"/>
  <c r="R346" i="5"/>
  <c r="R345" i="5"/>
  <c r="R344" i="5"/>
  <c r="R343" i="5"/>
  <c r="R342" i="5"/>
  <c r="R341" i="5"/>
  <c r="R340" i="5"/>
  <c r="R339" i="5"/>
  <c r="R338" i="5"/>
  <c r="R337" i="5"/>
  <c r="R336" i="5"/>
  <c r="R335" i="5"/>
  <c r="R334" i="5"/>
  <c r="R333" i="5"/>
  <c r="R332" i="5"/>
  <c r="R331" i="5"/>
  <c r="R330" i="5"/>
  <c r="R329" i="5"/>
  <c r="R328" i="5"/>
  <c r="R327" i="5"/>
  <c r="R326" i="5"/>
  <c r="R325" i="5"/>
  <c r="R324" i="5"/>
  <c r="R323" i="5"/>
  <c r="R322" i="5"/>
  <c r="R321" i="5"/>
  <c r="R320" i="5"/>
  <c r="R319" i="5"/>
  <c r="R318" i="5"/>
  <c r="R317" i="5"/>
  <c r="R316" i="5"/>
  <c r="R315" i="5"/>
  <c r="R314" i="5"/>
  <c r="R313" i="5"/>
  <c r="R312" i="5"/>
  <c r="R311" i="5"/>
  <c r="R310" i="5"/>
  <c r="R309" i="5"/>
  <c r="R308" i="5"/>
  <c r="R307" i="5"/>
  <c r="R306" i="5"/>
  <c r="R305" i="5"/>
  <c r="R304" i="5"/>
  <c r="R303" i="5"/>
  <c r="R302" i="5"/>
  <c r="R301" i="5"/>
  <c r="R300" i="5"/>
  <c r="R299" i="5"/>
  <c r="R298" i="5"/>
  <c r="R297" i="5"/>
  <c r="R296" i="5"/>
  <c r="R295" i="5"/>
  <c r="R294" i="5"/>
  <c r="R293" i="5"/>
  <c r="R292" i="5"/>
  <c r="R291" i="5"/>
  <c r="R290" i="5"/>
  <c r="R289" i="5"/>
  <c r="R288" i="5"/>
  <c r="R287" i="5"/>
  <c r="R286" i="5"/>
  <c r="R285" i="5"/>
  <c r="R284" i="5"/>
  <c r="R283" i="5"/>
  <c r="R282" i="5"/>
  <c r="R281" i="5"/>
  <c r="R280" i="5"/>
  <c r="R279" i="5"/>
  <c r="R278" i="5"/>
  <c r="R277" i="5"/>
  <c r="R276" i="5"/>
  <c r="R275" i="5"/>
  <c r="R274" i="5"/>
  <c r="R273" i="5"/>
  <c r="R272" i="5"/>
  <c r="R271" i="5"/>
  <c r="R270" i="5"/>
  <c r="R269" i="5"/>
  <c r="R268" i="5"/>
  <c r="R267" i="5"/>
  <c r="R266" i="5"/>
  <c r="R265" i="5"/>
  <c r="R264" i="5"/>
  <c r="R263" i="5"/>
  <c r="R262" i="5"/>
  <c r="R261" i="5"/>
  <c r="R260" i="5"/>
  <c r="R259" i="5"/>
  <c r="R258" i="5"/>
  <c r="R257" i="5"/>
  <c r="R256" i="5"/>
  <c r="R255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44" i="5"/>
  <c r="R43" i="5"/>
  <c r="R42" i="5"/>
  <c r="R41" i="5"/>
  <c r="R40" i="5"/>
  <c r="R17" i="5"/>
  <c r="R16" i="5"/>
  <c r="E103" i="13" l="1"/>
  <c r="E102" i="13"/>
  <c r="R168" i="3"/>
  <c r="R166" i="3"/>
  <c r="R162" i="3"/>
  <c r="R160" i="3"/>
  <c r="R158" i="3"/>
  <c r="R154" i="3"/>
  <c r="R152" i="3"/>
  <c r="R150" i="3"/>
  <c r="R146" i="3"/>
  <c r="R144" i="3"/>
  <c r="R142" i="3"/>
  <c r="R138" i="3"/>
  <c r="R136" i="3"/>
  <c r="R134" i="3"/>
  <c r="R132" i="3"/>
  <c r="R130" i="3"/>
  <c r="R128" i="3"/>
  <c r="R126" i="3"/>
  <c r="R122" i="3"/>
  <c r="R120" i="3"/>
  <c r="R118" i="3"/>
  <c r="R116" i="3"/>
  <c r="R114" i="3"/>
  <c r="R112" i="3"/>
  <c r="R110" i="3"/>
  <c r="R108" i="3"/>
  <c r="R106" i="3"/>
  <c r="R104" i="3"/>
  <c r="R102" i="3"/>
  <c r="R100" i="3"/>
  <c r="R96" i="3"/>
  <c r="R94" i="3"/>
  <c r="R92" i="3"/>
  <c r="R91" i="3"/>
  <c r="R89" i="3"/>
  <c r="R88" i="3"/>
  <c r="R87" i="3"/>
  <c r="R86" i="3"/>
  <c r="R84" i="3"/>
  <c r="R83" i="3"/>
  <c r="R81" i="3"/>
  <c r="R80" i="3"/>
  <c r="R79" i="3"/>
  <c r="R78" i="3"/>
  <c r="R76" i="3"/>
  <c r="R72" i="3"/>
  <c r="R71" i="3"/>
  <c r="R70" i="3"/>
  <c r="R69" i="3"/>
  <c r="R68" i="3"/>
  <c r="R67" i="3"/>
  <c r="R64" i="3"/>
  <c r="R62" i="3"/>
  <c r="R60" i="3"/>
  <c r="R57" i="3"/>
  <c r="R56" i="3"/>
  <c r="R55" i="3"/>
  <c r="R54" i="3"/>
  <c r="R53" i="3"/>
  <c r="R52" i="3"/>
  <c r="R51" i="3"/>
  <c r="R48" i="3"/>
  <c r="R169" i="3"/>
  <c r="R167" i="3"/>
  <c r="R165" i="3"/>
  <c r="R164" i="3"/>
  <c r="R163" i="3"/>
  <c r="R161" i="3"/>
  <c r="R159" i="3"/>
  <c r="R157" i="3"/>
  <c r="R156" i="3"/>
  <c r="R155" i="3"/>
  <c r="R153" i="3"/>
  <c r="R151" i="3"/>
  <c r="R149" i="3"/>
  <c r="R148" i="3"/>
  <c r="R147" i="3"/>
  <c r="R145" i="3"/>
  <c r="R143" i="3"/>
  <c r="R141" i="3"/>
  <c r="R140" i="3"/>
  <c r="R139" i="3"/>
  <c r="R137" i="3"/>
  <c r="R135" i="3"/>
  <c r="R133" i="3"/>
  <c r="R131" i="3"/>
  <c r="R129" i="3"/>
  <c r="R127" i="3"/>
  <c r="R125" i="3"/>
  <c r="R124" i="3"/>
  <c r="R123" i="3"/>
  <c r="R121" i="3"/>
  <c r="R119" i="3"/>
  <c r="R117" i="3"/>
  <c r="R115" i="3"/>
  <c r="R113" i="3"/>
  <c r="R111" i="3"/>
  <c r="R109" i="3"/>
  <c r="R107" i="3"/>
  <c r="R105" i="3"/>
  <c r="R103" i="3"/>
  <c r="R101" i="3"/>
  <c r="R99" i="3"/>
  <c r="R98" i="3"/>
  <c r="R97" i="3"/>
  <c r="R95" i="3"/>
  <c r="R93" i="3"/>
  <c r="R90" i="3"/>
  <c r="R85" i="3"/>
  <c r="R82" i="3"/>
  <c r="R77" i="3"/>
  <c r="R75" i="3"/>
  <c r="R74" i="3"/>
  <c r="R73" i="3"/>
  <c r="R66" i="3"/>
  <c r="R65" i="3"/>
  <c r="R63" i="3"/>
  <c r="R61" i="3"/>
  <c r="R59" i="3"/>
  <c r="R58" i="3"/>
  <c r="R50" i="3"/>
  <c r="R49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27" i="3"/>
  <c r="R18" i="3"/>
  <c r="R12" i="3"/>
  <c r="F2028" i="1" l="1"/>
  <c r="F1606" i="1"/>
  <c r="D25" i="13"/>
  <c r="R2028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570" i="1"/>
  <c r="R1563" i="1"/>
  <c r="R1561" i="1"/>
  <c r="R156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47" i="1"/>
  <c r="R1240" i="1"/>
  <c r="R1238" i="1"/>
  <c r="R123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24" i="1"/>
  <c r="R917" i="1"/>
  <c r="R915" i="1"/>
  <c r="R914" i="1"/>
  <c r="R904" i="1"/>
  <c r="R903" i="1"/>
  <c r="R902" i="1"/>
  <c r="R901" i="1"/>
  <c r="R900" i="1"/>
  <c r="R899" i="1"/>
  <c r="R836" i="1"/>
  <c r="R835" i="1"/>
  <c r="R807" i="1"/>
  <c r="R805" i="1"/>
  <c r="R804" i="1"/>
  <c r="R802" i="1"/>
  <c r="R801" i="1"/>
  <c r="R799" i="1"/>
  <c r="R798" i="1"/>
  <c r="R797" i="1"/>
  <c r="R796" i="1"/>
  <c r="R778" i="1"/>
  <c r="R769" i="1"/>
  <c r="R767" i="1"/>
  <c r="R760" i="1"/>
  <c r="R746" i="1"/>
  <c r="R745" i="1"/>
  <c r="R434" i="1"/>
  <c r="R371" i="1"/>
  <c r="R370" i="1"/>
  <c r="R342" i="1"/>
  <c r="R340" i="1"/>
  <c r="R339" i="1"/>
  <c r="R337" i="1"/>
  <c r="R336" i="1"/>
  <c r="R334" i="1"/>
  <c r="R333" i="1"/>
  <c r="R332" i="1"/>
  <c r="R331" i="1"/>
  <c r="R280" i="1"/>
  <c r="R279" i="1"/>
  <c r="R216" i="1"/>
  <c r="R215" i="1"/>
  <c r="R187" i="1"/>
  <c r="R185" i="1"/>
  <c r="R184" i="1"/>
  <c r="R182" i="1"/>
  <c r="R181" i="1"/>
  <c r="R179" i="1"/>
  <c r="R178" i="1"/>
  <c r="R177" i="1"/>
  <c r="R176" i="1"/>
  <c r="R158" i="1"/>
  <c r="R149" i="1"/>
  <c r="R147" i="1"/>
  <c r="R140" i="1"/>
  <c r="R138" i="1"/>
  <c r="R134" i="1"/>
  <c r="R132" i="1"/>
  <c r="R129" i="1"/>
  <c r="R126" i="1"/>
  <c r="R125" i="1"/>
  <c r="R124" i="1"/>
  <c r="R123" i="1"/>
  <c r="R77" i="1"/>
  <c r="R76" i="1"/>
  <c r="R55" i="1"/>
  <c r="R54" i="1"/>
  <c r="R33" i="1"/>
  <c r="R32" i="1"/>
  <c r="E163" i="13" l="1"/>
  <c r="F1225" i="1"/>
  <c r="P1605" i="1"/>
  <c r="R1605" i="1"/>
  <c r="N1605" i="1"/>
  <c r="P1604" i="1"/>
  <c r="R1604" i="1"/>
  <c r="N1604" i="1"/>
  <c r="P1603" i="1"/>
  <c r="R1603" i="1"/>
  <c r="N1603" i="1"/>
  <c r="P1602" i="1"/>
  <c r="R1602" i="1"/>
  <c r="N1602" i="1"/>
  <c r="P1601" i="1"/>
  <c r="R1601" i="1"/>
  <c r="N1601" i="1"/>
  <c r="P1600" i="1"/>
  <c r="R1600" i="1"/>
  <c r="N1600" i="1"/>
  <c r="P1599" i="1"/>
  <c r="R1599" i="1"/>
  <c r="N1599" i="1"/>
  <c r="P1598" i="1"/>
  <c r="R1598" i="1"/>
  <c r="N1598" i="1"/>
  <c r="P1597" i="1"/>
  <c r="R1597" i="1"/>
  <c r="N1597" i="1"/>
  <c r="P1596" i="1"/>
  <c r="R1596" i="1"/>
  <c r="N1596" i="1"/>
  <c r="P1595" i="1"/>
  <c r="R1595" i="1"/>
  <c r="N1595" i="1"/>
  <c r="P1594" i="1"/>
  <c r="R1594" i="1"/>
  <c r="N1594" i="1"/>
  <c r="P1593" i="1"/>
  <c r="R1593" i="1"/>
  <c r="N1593" i="1"/>
  <c r="P1592" i="1"/>
  <c r="R1592" i="1"/>
  <c r="N1592" i="1"/>
  <c r="P1591" i="1"/>
  <c r="R1591" i="1"/>
  <c r="N1591" i="1"/>
  <c r="P1590" i="1"/>
  <c r="R1590" i="1"/>
  <c r="N1590" i="1"/>
  <c r="P1589" i="1"/>
  <c r="R1589" i="1"/>
  <c r="N1589" i="1"/>
  <c r="P1588" i="1"/>
  <c r="R1588" i="1"/>
  <c r="N1588" i="1"/>
  <c r="P1587" i="1"/>
  <c r="R1587" i="1"/>
  <c r="N1587" i="1"/>
  <c r="P1586" i="1"/>
  <c r="R1586" i="1"/>
  <c r="N1586" i="1"/>
  <c r="P1585" i="1"/>
  <c r="R1585" i="1"/>
  <c r="N1585" i="1"/>
  <c r="P1584" i="1"/>
  <c r="R1584" i="1"/>
  <c r="N1584" i="1"/>
  <c r="P1583" i="1"/>
  <c r="R1583" i="1"/>
  <c r="N1583" i="1"/>
  <c r="P1582" i="1"/>
  <c r="R1582" i="1"/>
  <c r="N1582" i="1"/>
  <c r="P1581" i="1"/>
  <c r="R1581" i="1"/>
  <c r="N1581" i="1"/>
  <c r="P1580" i="1"/>
  <c r="R1580" i="1"/>
  <c r="N1580" i="1"/>
  <c r="P1579" i="1"/>
  <c r="R1579" i="1"/>
  <c r="N1579" i="1"/>
  <c r="P1578" i="1"/>
  <c r="R1578" i="1"/>
  <c r="N1578" i="1"/>
  <c r="P1577" i="1"/>
  <c r="R1577" i="1"/>
  <c r="N1577" i="1"/>
  <c r="P1576" i="1"/>
  <c r="R1576" i="1"/>
  <c r="N1576" i="1"/>
  <c r="P1575" i="1"/>
  <c r="R1575" i="1"/>
  <c r="N1575" i="1"/>
  <c r="P1574" i="1"/>
  <c r="R1574" i="1"/>
  <c r="N1574" i="1"/>
  <c r="P1573" i="1"/>
  <c r="R1573" i="1"/>
  <c r="N1573" i="1"/>
  <c r="P1572" i="1"/>
  <c r="R1572" i="1"/>
  <c r="N1572" i="1"/>
  <c r="P1571" i="1"/>
  <c r="R1571" i="1"/>
  <c r="N1571" i="1"/>
  <c r="P1569" i="1"/>
  <c r="R1569" i="1"/>
  <c r="N1569" i="1"/>
  <c r="P1568" i="1"/>
  <c r="R1568" i="1"/>
  <c r="N1568" i="1"/>
  <c r="P1567" i="1"/>
  <c r="R1567" i="1"/>
  <c r="N1567" i="1"/>
  <c r="P1566" i="1"/>
  <c r="R1566" i="1"/>
  <c r="N1566" i="1"/>
  <c r="P1565" i="1"/>
  <c r="R1565" i="1"/>
  <c r="N1565" i="1"/>
  <c r="P1564" i="1"/>
  <c r="R1564" i="1"/>
  <c r="N1564" i="1"/>
  <c r="P1562" i="1"/>
  <c r="R1562" i="1"/>
  <c r="N1562" i="1"/>
  <c r="P1559" i="1"/>
  <c r="R1559" i="1"/>
  <c r="N1559" i="1"/>
  <c r="P1558" i="1"/>
  <c r="R1558" i="1"/>
  <c r="N1558" i="1"/>
  <c r="P1557" i="1"/>
  <c r="R1557" i="1"/>
  <c r="N1557" i="1"/>
  <c r="P1556" i="1"/>
  <c r="R1556" i="1"/>
  <c r="N1556" i="1"/>
  <c r="P1555" i="1"/>
  <c r="R1555" i="1"/>
  <c r="N1555" i="1"/>
  <c r="P1554" i="1"/>
  <c r="R1554" i="1"/>
  <c r="N1554" i="1"/>
  <c r="P1553" i="1"/>
  <c r="R1553" i="1"/>
  <c r="N1553" i="1"/>
  <c r="P1552" i="1"/>
  <c r="R1552" i="1"/>
  <c r="N1552" i="1"/>
  <c r="P1551" i="1"/>
  <c r="R1551" i="1"/>
  <c r="N1551" i="1"/>
  <c r="B1551" i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P1550" i="1"/>
  <c r="R1550" i="1"/>
  <c r="N1550" i="1"/>
  <c r="F1548" i="1"/>
  <c r="P1282" i="1"/>
  <c r="R1282" i="1"/>
  <c r="N1282" i="1"/>
  <c r="P1281" i="1"/>
  <c r="R1281" i="1"/>
  <c r="N1281" i="1"/>
  <c r="P1280" i="1"/>
  <c r="R1280" i="1"/>
  <c r="N1280" i="1"/>
  <c r="P1279" i="1"/>
  <c r="R1279" i="1"/>
  <c r="N1279" i="1"/>
  <c r="P1278" i="1"/>
  <c r="R1278" i="1"/>
  <c r="N1278" i="1"/>
  <c r="P1277" i="1"/>
  <c r="R1277" i="1"/>
  <c r="N1277" i="1"/>
  <c r="P1276" i="1"/>
  <c r="R1276" i="1"/>
  <c r="N1276" i="1"/>
  <c r="P1275" i="1"/>
  <c r="R1275" i="1"/>
  <c r="N1275" i="1"/>
  <c r="P1274" i="1"/>
  <c r="R1274" i="1"/>
  <c r="N1274" i="1"/>
  <c r="P1273" i="1"/>
  <c r="R1273" i="1"/>
  <c r="N1273" i="1"/>
  <c r="P1272" i="1"/>
  <c r="R1272" i="1"/>
  <c r="N1272" i="1"/>
  <c r="P1271" i="1"/>
  <c r="R1271" i="1"/>
  <c r="N1271" i="1"/>
  <c r="P1270" i="1"/>
  <c r="R1270" i="1"/>
  <c r="N1270" i="1"/>
  <c r="P1269" i="1"/>
  <c r="R1269" i="1"/>
  <c r="N1269" i="1"/>
  <c r="P1268" i="1"/>
  <c r="R1268" i="1"/>
  <c r="N1268" i="1"/>
  <c r="P1267" i="1"/>
  <c r="R1267" i="1"/>
  <c r="N1267" i="1"/>
  <c r="P1266" i="1"/>
  <c r="R1266" i="1"/>
  <c r="N1266" i="1"/>
  <c r="P1265" i="1"/>
  <c r="R1265" i="1"/>
  <c r="N1265" i="1"/>
  <c r="P1264" i="1"/>
  <c r="R1264" i="1"/>
  <c r="N1264" i="1"/>
  <c r="P1263" i="1"/>
  <c r="R1263" i="1"/>
  <c r="N1263" i="1"/>
  <c r="P1262" i="1"/>
  <c r="R1262" i="1"/>
  <c r="N1262" i="1"/>
  <c r="P1261" i="1"/>
  <c r="R1261" i="1"/>
  <c r="N1261" i="1"/>
  <c r="P1260" i="1"/>
  <c r="R1260" i="1"/>
  <c r="N1260" i="1"/>
  <c r="P1259" i="1"/>
  <c r="R1259" i="1"/>
  <c r="N1259" i="1"/>
  <c r="P1258" i="1"/>
  <c r="R1258" i="1"/>
  <c r="N1258" i="1"/>
  <c r="P1257" i="1"/>
  <c r="R1257" i="1"/>
  <c r="N1257" i="1"/>
  <c r="P1256" i="1"/>
  <c r="R1256" i="1"/>
  <c r="N1256" i="1"/>
  <c r="P1255" i="1"/>
  <c r="R1255" i="1"/>
  <c r="N1255" i="1"/>
  <c r="P1254" i="1"/>
  <c r="R1254" i="1"/>
  <c r="N1254" i="1"/>
  <c r="P1253" i="1"/>
  <c r="R1253" i="1"/>
  <c r="N1253" i="1"/>
  <c r="P1252" i="1"/>
  <c r="R1252" i="1"/>
  <c r="N1252" i="1"/>
  <c r="P1251" i="1"/>
  <c r="R1251" i="1"/>
  <c r="N1251" i="1"/>
  <c r="P1250" i="1"/>
  <c r="R1250" i="1"/>
  <c r="N1250" i="1"/>
  <c r="P1249" i="1"/>
  <c r="R1249" i="1"/>
  <c r="N1249" i="1"/>
  <c r="P1248" i="1"/>
  <c r="R1248" i="1"/>
  <c r="N1248" i="1"/>
  <c r="P1246" i="1"/>
  <c r="R1246" i="1"/>
  <c r="N1246" i="1"/>
  <c r="P1245" i="1"/>
  <c r="R1245" i="1"/>
  <c r="N1245" i="1"/>
  <c r="P1244" i="1"/>
  <c r="R1244" i="1"/>
  <c r="N1244" i="1"/>
  <c r="P1243" i="1"/>
  <c r="R1243" i="1"/>
  <c r="N1243" i="1"/>
  <c r="P1242" i="1"/>
  <c r="R1242" i="1"/>
  <c r="N1242" i="1"/>
  <c r="P1241" i="1"/>
  <c r="R1241" i="1"/>
  <c r="N1241" i="1"/>
  <c r="P1239" i="1"/>
  <c r="R1239" i="1"/>
  <c r="N1239" i="1"/>
  <c r="R1236" i="1"/>
  <c r="R1235" i="1"/>
  <c r="R1234" i="1"/>
  <c r="R1233" i="1"/>
  <c r="R1232" i="1"/>
  <c r="R1231" i="1"/>
  <c r="R1230" i="1"/>
  <c r="R1229" i="1"/>
  <c r="R1228" i="1"/>
  <c r="B1228" i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P1227" i="1"/>
  <c r="R1227" i="1"/>
  <c r="N1227" i="1"/>
  <c r="F899" i="1"/>
  <c r="F434" i="1"/>
  <c r="F279" i="1"/>
  <c r="Q898" i="1"/>
  <c r="P898" i="1"/>
  <c r="R898" i="1"/>
  <c r="N898" i="1"/>
  <c r="Q897" i="1"/>
  <c r="P897" i="1"/>
  <c r="R897" i="1"/>
  <c r="N897" i="1"/>
  <c r="Q896" i="1"/>
  <c r="P896" i="1"/>
  <c r="R896" i="1"/>
  <c r="N896" i="1"/>
  <c r="Q895" i="1"/>
  <c r="P895" i="1"/>
  <c r="R895" i="1"/>
  <c r="N895" i="1"/>
  <c r="Q894" i="1"/>
  <c r="P894" i="1"/>
  <c r="R894" i="1"/>
  <c r="N894" i="1"/>
  <c r="Q893" i="1"/>
  <c r="P893" i="1"/>
  <c r="R893" i="1"/>
  <c r="N893" i="1"/>
  <c r="Q892" i="1"/>
  <c r="P892" i="1"/>
  <c r="R892" i="1"/>
  <c r="N892" i="1"/>
  <c r="Q891" i="1"/>
  <c r="P891" i="1"/>
  <c r="R891" i="1"/>
  <c r="N891" i="1"/>
  <c r="Q890" i="1"/>
  <c r="P890" i="1"/>
  <c r="R890" i="1"/>
  <c r="N890" i="1"/>
  <c r="Q889" i="1"/>
  <c r="P889" i="1"/>
  <c r="R889" i="1"/>
  <c r="N889" i="1"/>
  <c r="Q888" i="1"/>
  <c r="P888" i="1"/>
  <c r="R888" i="1"/>
  <c r="N888" i="1"/>
  <c r="Q887" i="1"/>
  <c r="P887" i="1"/>
  <c r="R887" i="1"/>
  <c r="N887" i="1"/>
  <c r="Q886" i="1"/>
  <c r="P886" i="1"/>
  <c r="R886" i="1"/>
  <c r="N886" i="1"/>
  <c r="Q885" i="1"/>
  <c r="P885" i="1"/>
  <c r="R885" i="1"/>
  <c r="N885" i="1"/>
  <c r="Q884" i="1"/>
  <c r="P884" i="1"/>
  <c r="R884" i="1"/>
  <c r="N884" i="1"/>
  <c r="Q883" i="1"/>
  <c r="P883" i="1"/>
  <c r="R883" i="1"/>
  <c r="N883" i="1"/>
  <c r="Q882" i="1"/>
  <c r="P882" i="1"/>
  <c r="R882" i="1"/>
  <c r="N882" i="1"/>
  <c r="Q881" i="1"/>
  <c r="P881" i="1"/>
  <c r="R881" i="1"/>
  <c r="N881" i="1"/>
  <c r="Q880" i="1"/>
  <c r="P880" i="1"/>
  <c r="R880" i="1"/>
  <c r="N880" i="1"/>
  <c r="Q879" i="1"/>
  <c r="P879" i="1"/>
  <c r="R879" i="1"/>
  <c r="N879" i="1"/>
  <c r="Q878" i="1"/>
  <c r="P878" i="1"/>
  <c r="R878" i="1"/>
  <c r="N878" i="1"/>
  <c r="Q877" i="1"/>
  <c r="P877" i="1"/>
  <c r="R877" i="1"/>
  <c r="N877" i="1"/>
  <c r="Q876" i="1"/>
  <c r="P876" i="1"/>
  <c r="R876" i="1"/>
  <c r="N876" i="1"/>
  <c r="Q875" i="1"/>
  <c r="P875" i="1"/>
  <c r="R875" i="1"/>
  <c r="N875" i="1"/>
  <c r="Q874" i="1"/>
  <c r="P874" i="1"/>
  <c r="R874" i="1"/>
  <c r="N874" i="1"/>
  <c r="Q873" i="1"/>
  <c r="P873" i="1"/>
  <c r="R873" i="1"/>
  <c r="N873" i="1"/>
  <c r="Q872" i="1"/>
  <c r="P872" i="1"/>
  <c r="R872" i="1"/>
  <c r="N872" i="1"/>
  <c r="Q871" i="1"/>
  <c r="P871" i="1"/>
  <c r="R871" i="1"/>
  <c r="N871" i="1"/>
  <c r="Q870" i="1"/>
  <c r="P870" i="1"/>
  <c r="R870" i="1"/>
  <c r="N870" i="1"/>
  <c r="Q869" i="1"/>
  <c r="P869" i="1"/>
  <c r="R869" i="1"/>
  <c r="N869" i="1"/>
  <c r="Q868" i="1"/>
  <c r="P868" i="1"/>
  <c r="R868" i="1"/>
  <c r="N868" i="1"/>
  <c r="Q867" i="1"/>
  <c r="P867" i="1"/>
  <c r="R867" i="1"/>
  <c r="N867" i="1"/>
  <c r="Q866" i="1"/>
  <c r="P866" i="1"/>
  <c r="R866" i="1"/>
  <c r="N866" i="1"/>
  <c r="Q865" i="1"/>
  <c r="P865" i="1"/>
  <c r="R865" i="1"/>
  <c r="N865" i="1"/>
  <c r="Q864" i="1"/>
  <c r="P864" i="1"/>
  <c r="R864" i="1"/>
  <c r="N864" i="1"/>
  <c r="Q863" i="1"/>
  <c r="P863" i="1"/>
  <c r="R863" i="1"/>
  <c r="N863" i="1"/>
  <c r="Q862" i="1"/>
  <c r="P862" i="1"/>
  <c r="R862" i="1"/>
  <c r="N862" i="1"/>
  <c r="Q861" i="1"/>
  <c r="P861" i="1"/>
  <c r="R861" i="1"/>
  <c r="N861" i="1"/>
  <c r="Q860" i="1"/>
  <c r="P860" i="1"/>
  <c r="R860" i="1"/>
  <c r="N860" i="1"/>
  <c r="Q859" i="1"/>
  <c r="P859" i="1"/>
  <c r="R859" i="1"/>
  <c r="N859" i="1"/>
  <c r="Q858" i="1"/>
  <c r="P858" i="1"/>
  <c r="R858" i="1"/>
  <c r="N858" i="1"/>
  <c r="Q857" i="1"/>
  <c r="P857" i="1"/>
  <c r="R857" i="1"/>
  <c r="N857" i="1"/>
  <c r="Q856" i="1"/>
  <c r="P856" i="1"/>
  <c r="R856" i="1"/>
  <c r="N856" i="1"/>
  <c r="Q855" i="1"/>
  <c r="P855" i="1"/>
  <c r="R855" i="1"/>
  <c r="N855" i="1"/>
  <c r="Q854" i="1"/>
  <c r="P854" i="1"/>
  <c r="R854" i="1"/>
  <c r="N854" i="1"/>
  <c r="Q853" i="1"/>
  <c r="P853" i="1"/>
  <c r="R853" i="1"/>
  <c r="N853" i="1"/>
  <c r="Q852" i="1"/>
  <c r="P852" i="1"/>
  <c r="R852" i="1"/>
  <c r="N852" i="1"/>
  <c r="Q851" i="1"/>
  <c r="P851" i="1"/>
  <c r="R851" i="1"/>
  <c r="N851" i="1"/>
  <c r="Q850" i="1"/>
  <c r="P850" i="1"/>
  <c r="R850" i="1"/>
  <c r="N850" i="1"/>
  <c r="Q849" i="1"/>
  <c r="P849" i="1"/>
  <c r="R849" i="1"/>
  <c r="N849" i="1"/>
  <c r="Q848" i="1"/>
  <c r="P848" i="1"/>
  <c r="R848" i="1"/>
  <c r="N848" i="1"/>
  <c r="Q847" i="1"/>
  <c r="P847" i="1"/>
  <c r="R847" i="1"/>
  <c r="N847" i="1"/>
  <c r="Q846" i="1"/>
  <c r="P846" i="1"/>
  <c r="R846" i="1"/>
  <c r="N846" i="1"/>
  <c r="Q845" i="1"/>
  <c r="P845" i="1"/>
  <c r="R845" i="1"/>
  <c r="N845" i="1"/>
  <c r="Q844" i="1"/>
  <c r="P844" i="1"/>
  <c r="R844" i="1"/>
  <c r="N844" i="1"/>
  <c r="Q843" i="1"/>
  <c r="P843" i="1"/>
  <c r="R843" i="1"/>
  <c r="N843" i="1"/>
  <c r="Q842" i="1"/>
  <c r="P842" i="1"/>
  <c r="R842" i="1"/>
  <c r="N842" i="1"/>
  <c r="Q841" i="1"/>
  <c r="P841" i="1"/>
  <c r="R841" i="1"/>
  <c r="N841" i="1"/>
  <c r="Q840" i="1"/>
  <c r="P840" i="1"/>
  <c r="R840" i="1"/>
  <c r="N840" i="1"/>
  <c r="Q839" i="1"/>
  <c r="P839" i="1"/>
  <c r="R839" i="1"/>
  <c r="N839" i="1"/>
  <c r="Q838" i="1"/>
  <c r="P838" i="1"/>
  <c r="R838" i="1"/>
  <c r="N838" i="1"/>
  <c r="Q837" i="1"/>
  <c r="P837" i="1"/>
  <c r="R837" i="1"/>
  <c r="N837" i="1"/>
  <c r="Q834" i="1"/>
  <c r="P834" i="1"/>
  <c r="R834" i="1"/>
  <c r="N834" i="1"/>
  <c r="Q833" i="1"/>
  <c r="P833" i="1"/>
  <c r="R833" i="1"/>
  <c r="N833" i="1"/>
  <c r="Q832" i="1"/>
  <c r="P832" i="1"/>
  <c r="R832" i="1"/>
  <c r="N832" i="1"/>
  <c r="Q831" i="1"/>
  <c r="P831" i="1"/>
  <c r="R831" i="1"/>
  <c r="N831" i="1"/>
  <c r="Q830" i="1"/>
  <c r="P830" i="1"/>
  <c r="R830" i="1"/>
  <c r="N830" i="1"/>
  <c r="Q829" i="1"/>
  <c r="P829" i="1"/>
  <c r="R829" i="1"/>
  <c r="N829" i="1"/>
  <c r="Q828" i="1"/>
  <c r="P828" i="1"/>
  <c r="R828" i="1"/>
  <c r="N828" i="1"/>
  <c r="Q827" i="1"/>
  <c r="P827" i="1"/>
  <c r="R827" i="1"/>
  <c r="N827" i="1"/>
  <c r="Q826" i="1"/>
  <c r="P826" i="1"/>
  <c r="R826" i="1"/>
  <c r="N826" i="1"/>
  <c r="Q825" i="1"/>
  <c r="P825" i="1"/>
  <c r="R825" i="1"/>
  <c r="N825" i="1"/>
  <c r="Q824" i="1"/>
  <c r="P824" i="1"/>
  <c r="R824" i="1"/>
  <c r="N824" i="1"/>
  <c r="Q823" i="1"/>
  <c r="P823" i="1"/>
  <c r="R823" i="1"/>
  <c r="N823" i="1"/>
  <c r="Q822" i="1"/>
  <c r="P822" i="1"/>
  <c r="R822" i="1"/>
  <c r="N822" i="1"/>
  <c r="Q821" i="1"/>
  <c r="P821" i="1"/>
  <c r="R821" i="1"/>
  <c r="N821" i="1"/>
  <c r="Q820" i="1"/>
  <c r="P820" i="1"/>
  <c r="R820" i="1"/>
  <c r="N820" i="1"/>
  <c r="Q819" i="1"/>
  <c r="P819" i="1"/>
  <c r="R819" i="1"/>
  <c r="N819" i="1"/>
  <c r="Q818" i="1"/>
  <c r="P818" i="1"/>
  <c r="R818" i="1"/>
  <c r="N818" i="1"/>
  <c r="Q817" i="1"/>
  <c r="P817" i="1"/>
  <c r="R817" i="1"/>
  <c r="N817" i="1"/>
  <c r="Q816" i="1"/>
  <c r="P816" i="1"/>
  <c r="R816" i="1"/>
  <c r="N816" i="1"/>
  <c r="Q815" i="1"/>
  <c r="P815" i="1"/>
  <c r="R815" i="1"/>
  <c r="N815" i="1"/>
  <c r="Q814" i="1"/>
  <c r="P814" i="1"/>
  <c r="R814" i="1"/>
  <c r="N814" i="1"/>
  <c r="Q813" i="1"/>
  <c r="P813" i="1"/>
  <c r="R813" i="1"/>
  <c r="N813" i="1"/>
  <c r="Q812" i="1"/>
  <c r="P812" i="1"/>
  <c r="R812" i="1"/>
  <c r="N812" i="1"/>
  <c r="Q811" i="1"/>
  <c r="P811" i="1"/>
  <c r="R811" i="1"/>
  <c r="N811" i="1"/>
  <c r="Q810" i="1"/>
  <c r="P810" i="1"/>
  <c r="R810" i="1"/>
  <c r="N810" i="1"/>
  <c r="Q809" i="1"/>
  <c r="P809" i="1"/>
  <c r="R809" i="1"/>
  <c r="N809" i="1"/>
  <c r="Q808" i="1"/>
  <c r="P808" i="1"/>
  <c r="R808" i="1"/>
  <c r="N808" i="1"/>
  <c r="Q806" i="1"/>
  <c r="P806" i="1"/>
  <c r="R806" i="1"/>
  <c r="N806" i="1"/>
  <c r="Q803" i="1"/>
  <c r="P803" i="1"/>
  <c r="R803" i="1"/>
  <c r="N803" i="1"/>
  <c r="Q800" i="1"/>
  <c r="P800" i="1"/>
  <c r="R800" i="1"/>
  <c r="N800" i="1"/>
  <c r="Q795" i="1"/>
  <c r="P795" i="1"/>
  <c r="R795" i="1"/>
  <c r="N795" i="1"/>
  <c r="Q794" i="1"/>
  <c r="P794" i="1"/>
  <c r="R794" i="1"/>
  <c r="N794" i="1"/>
  <c r="Q793" i="1"/>
  <c r="P793" i="1"/>
  <c r="R793" i="1"/>
  <c r="N793" i="1"/>
  <c r="Q792" i="1"/>
  <c r="P792" i="1"/>
  <c r="R792" i="1"/>
  <c r="N792" i="1"/>
  <c r="Q791" i="1"/>
  <c r="P791" i="1"/>
  <c r="R791" i="1"/>
  <c r="N791" i="1"/>
  <c r="Q790" i="1"/>
  <c r="P790" i="1"/>
  <c r="R790" i="1"/>
  <c r="N790" i="1"/>
  <c r="Q789" i="1"/>
  <c r="P789" i="1"/>
  <c r="R789" i="1"/>
  <c r="N789" i="1"/>
  <c r="Q788" i="1"/>
  <c r="P788" i="1"/>
  <c r="R788" i="1"/>
  <c r="N788" i="1"/>
  <c r="Q787" i="1"/>
  <c r="P787" i="1"/>
  <c r="R787" i="1"/>
  <c r="N787" i="1"/>
  <c r="Q786" i="1"/>
  <c r="P786" i="1"/>
  <c r="R786" i="1"/>
  <c r="N786" i="1"/>
  <c r="Q785" i="1"/>
  <c r="P785" i="1"/>
  <c r="R785" i="1"/>
  <c r="N785" i="1"/>
  <c r="Q784" i="1"/>
  <c r="P784" i="1"/>
  <c r="R784" i="1"/>
  <c r="N784" i="1"/>
  <c r="Q783" i="1"/>
  <c r="P783" i="1"/>
  <c r="R783" i="1"/>
  <c r="N783" i="1"/>
  <c r="Q782" i="1"/>
  <c r="P782" i="1"/>
  <c r="R782" i="1"/>
  <c r="N782" i="1"/>
  <c r="Q781" i="1"/>
  <c r="P781" i="1"/>
  <c r="R781" i="1"/>
  <c r="N781" i="1"/>
  <c r="Q780" i="1"/>
  <c r="P780" i="1"/>
  <c r="R780" i="1"/>
  <c r="N780" i="1"/>
  <c r="Q779" i="1"/>
  <c r="P779" i="1"/>
  <c r="R779" i="1"/>
  <c r="N779" i="1"/>
  <c r="Q777" i="1"/>
  <c r="P777" i="1"/>
  <c r="R777" i="1"/>
  <c r="N777" i="1"/>
  <c r="Q776" i="1"/>
  <c r="P776" i="1"/>
  <c r="R776" i="1"/>
  <c r="N776" i="1"/>
  <c r="Q775" i="1"/>
  <c r="P775" i="1"/>
  <c r="R775" i="1"/>
  <c r="N775" i="1"/>
  <c r="Q774" i="1"/>
  <c r="P774" i="1"/>
  <c r="R774" i="1"/>
  <c r="N774" i="1"/>
  <c r="Q773" i="1"/>
  <c r="P773" i="1"/>
  <c r="R773" i="1"/>
  <c r="N773" i="1"/>
  <c r="Q772" i="1"/>
  <c r="P772" i="1"/>
  <c r="R772" i="1"/>
  <c r="N772" i="1"/>
  <c r="Q771" i="1"/>
  <c r="P771" i="1"/>
  <c r="R771" i="1"/>
  <c r="N771" i="1"/>
  <c r="Q770" i="1"/>
  <c r="P770" i="1"/>
  <c r="R770" i="1"/>
  <c r="N770" i="1"/>
  <c r="Q768" i="1"/>
  <c r="P768" i="1"/>
  <c r="R768" i="1"/>
  <c r="N768" i="1"/>
  <c r="Q766" i="1"/>
  <c r="P766" i="1"/>
  <c r="R766" i="1"/>
  <c r="N766" i="1"/>
  <c r="Q765" i="1"/>
  <c r="P765" i="1"/>
  <c r="R765" i="1"/>
  <c r="N765" i="1"/>
  <c r="Q764" i="1"/>
  <c r="P764" i="1"/>
  <c r="R764" i="1"/>
  <c r="N764" i="1"/>
  <c r="Q763" i="1"/>
  <c r="P763" i="1"/>
  <c r="R763" i="1"/>
  <c r="N763" i="1"/>
  <c r="R762" i="1"/>
  <c r="R761" i="1"/>
  <c r="R759" i="1"/>
  <c r="B747" i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Q433" i="1"/>
  <c r="R433" i="1"/>
  <c r="Q432" i="1"/>
  <c r="R432" i="1"/>
  <c r="Q431" i="1"/>
  <c r="R431" i="1"/>
  <c r="Q430" i="1"/>
  <c r="R430" i="1"/>
  <c r="Q429" i="1"/>
  <c r="R429" i="1"/>
  <c r="Q428" i="1"/>
  <c r="R428" i="1"/>
  <c r="Q427" i="1"/>
  <c r="R427" i="1"/>
  <c r="Q426" i="1"/>
  <c r="R426" i="1"/>
  <c r="Q425" i="1"/>
  <c r="R425" i="1"/>
  <c r="Q424" i="1"/>
  <c r="R424" i="1"/>
  <c r="Q423" i="1"/>
  <c r="R423" i="1"/>
  <c r="Q422" i="1"/>
  <c r="R422" i="1"/>
  <c r="Q421" i="1"/>
  <c r="R421" i="1"/>
  <c r="Q420" i="1"/>
  <c r="R420" i="1"/>
  <c r="Q419" i="1"/>
  <c r="R419" i="1"/>
  <c r="Q418" i="1"/>
  <c r="R418" i="1"/>
  <c r="Q417" i="1"/>
  <c r="R417" i="1"/>
  <c r="Q416" i="1"/>
  <c r="R416" i="1"/>
  <c r="Q415" i="1"/>
  <c r="R415" i="1"/>
  <c r="Q414" i="1"/>
  <c r="R414" i="1"/>
  <c r="Q413" i="1"/>
  <c r="R413" i="1"/>
  <c r="Q412" i="1"/>
  <c r="R412" i="1"/>
  <c r="Q411" i="1"/>
  <c r="R411" i="1"/>
  <c r="Q410" i="1"/>
  <c r="R410" i="1"/>
  <c r="Q409" i="1"/>
  <c r="R409" i="1"/>
  <c r="Q408" i="1"/>
  <c r="R408" i="1"/>
  <c r="Q407" i="1"/>
  <c r="R407" i="1"/>
  <c r="Q406" i="1"/>
  <c r="R406" i="1"/>
  <c r="Q405" i="1"/>
  <c r="R405" i="1"/>
  <c r="Q404" i="1"/>
  <c r="R404" i="1"/>
  <c r="Q403" i="1"/>
  <c r="R403" i="1"/>
  <c r="Q402" i="1"/>
  <c r="R402" i="1"/>
  <c r="Q401" i="1"/>
  <c r="R401" i="1"/>
  <c r="Q400" i="1"/>
  <c r="R400" i="1"/>
  <c r="Q399" i="1"/>
  <c r="R399" i="1"/>
  <c r="Q398" i="1"/>
  <c r="R398" i="1"/>
  <c r="Q397" i="1"/>
  <c r="R397" i="1"/>
  <c r="Q396" i="1"/>
  <c r="R396" i="1"/>
  <c r="Q395" i="1"/>
  <c r="R395" i="1"/>
  <c r="Q394" i="1"/>
  <c r="R394" i="1"/>
  <c r="Q393" i="1"/>
  <c r="R393" i="1"/>
  <c r="Q392" i="1"/>
  <c r="R392" i="1"/>
  <c r="Q391" i="1"/>
  <c r="R391" i="1"/>
  <c r="Q390" i="1"/>
  <c r="R390" i="1"/>
  <c r="Q389" i="1"/>
  <c r="R389" i="1"/>
  <c r="Q388" i="1"/>
  <c r="R388" i="1"/>
  <c r="Q387" i="1"/>
  <c r="R387" i="1"/>
  <c r="Q386" i="1"/>
  <c r="R386" i="1"/>
  <c r="Q385" i="1"/>
  <c r="R385" i="1"/>
  <c r="Q384" i="1"/>
  <c r="R384" i="1"/>
  <c r="Q383" i="1"/>
  <c r="R383" i="1"/>
  <c r="Q382" i="1"/>
  <c r="R382" i="1"/>
  <c r="Q381" i="1"/>
  <c r="R381" i="1"/>
  <c r="Q380" i="1"/>
  <c r="R380" i="1"/>
  <c r="Q379" i="1"/>
  <c r="R379" i="1"/>
  <c r="Q378" i="1"/>
  <c r="R378" i="1"/>
  <c r="Q377" i="1"/>
  <c r="R377" i="1"/>
  <c r="Q376" i="1"/>
  <c r="R376" i="1"/>
  <c r="Q375" i="1"/>
  <c r="R375" i="1"/>
  <c r="Q374" i="1"/>
  <c r="R374" i="1"/>
  <c r="Q373" i="1"/>
  <c r="R373" i="1"/>
  <c r="Q372" i="1"/>
  <c r="R372" i="1"/>
  <c r="Q369" i="1"/>
  <c r="R369" i="1"/>
  <c r="Q368" i="1"/>
  <c r="R368" i="1"/>
  <c r="Q367" i="1"/>
  <c r="R367" i="1"/>
  <c r="Q366" i="1"/>
  <c r="R366" i="1"/>
  <c r="Q365" i="1"/>
  <c r="R365" i="1"/>
  <c r="Q364" i="1"/>
  <c r="R364" i="1"/>
  <c r="Q363" i="1"/>
  <c r="R363" i="1"/>
  <c r="Q362" i="1"/>
  <c r="R362" i="1"/>
  <c r="Q361" i="1"/>
  <c r="R361" i="1"/>
  <c r="Q360" i="1"/>
  <c r="R360" i="1"/>
  <c r="Q359" i="1"/>
  <c r="R359" i="1"/>
  <c r="Q358" i="1"/>
  <c r="R358" i="1"/>
  <c r="Q357" i="1"/>
  <c r="R357" i="1"/>
  <c r="Q356" i="1"/>
  <c r="R356" i="1"/>
  <c r="Q355" i="1"/>
  <c r="R355" i="1"/>
  <c r="Q354" i="1"/>
  <c r="R354" i="1"/>
  <c r="Q353" i="1"/>
  <c r="R353" i="1"/>
  <c r="Q352" i="1"/>
  <c r="R352" i="1"/>
  <c r="Q351" i="1"/>
  <c r="R351" i="1"/>
  <c r="Q350" i="1"/>
  <c r="R350" i="1"/>
  <c r="Q349" i="1"/>
  <c r="R349" i="1"/>
  <c r="Q348" i="1"/>
  <c r="R348" i="1"/>
  <c r="Q347" i="1"/>
  <c r="R347" i="1"/>
  <c r="Q346" i="1"/>
  <c r="R346" i="1"/>
  <c r="Q345" i="1"/>
  <c r="R345" i="1"/>
  <c r="Q344" i="1"/>
  <c r="R344" i="1"/>
  <c r="Q343" i="1"/>
  <c r="R343" i="1"/>
  <c r="Q341" i="1"/>
  <c r="R341" i="1"/>
  <c r="Q338" i="1"/>
  <c r="R338" i="1"/>
  <c r="Q335" i="1"/>
  <c r="R335" i="1"/>
  <c r="Q330" i="1"/>
  <c r="R330" i="1"/>
  <c r="Q329" i="1"/>
  <c r="R329" i="1"/>
  <c r="Q328" i="1"/>
  <c r="R328" i="1"/>
  <c r="Q327" i="1"/>
  <c r="R327" i="1"/>
  <c r="Q326" i="1"/>
  <c r="R326" i="1"/>
  <c r="Q325" i="1"/>
  <c r="R325" i="1"/>
  <c r="Q324" i="1"/>
  <c r="R324" i="1"/>
  <c r="Q323" i="1"/>
  <c r="R323" i="1"/>
  <c r="Q322" i="1"/>
  <c r="R322" i="1"/>
  <c r="Q321" i="1"/>
  <c r="R321" i="1"/>
  <c r="Q320" i="1"/>
  <c r="R320" i="1"/>
  <c r="R319" i="1"/>
  <c r="R318" i="1"/>
  <c r="B282" i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N34" i="1"/>
  <c r="N35" i="1"/>
  <c r="N36" i="1"/>
  <c r="N37" i="1"/>
  <c r="N38" i="1"/>
  <c r="F76" i="1"/>
  <c r="Q75" i="1"/>
  <c r="P75" i="1"/>
  <c r="R75" i="1"/>
  <c r="N75" i="1"/>
  <c r="Q74" i="1"/>
  <c r="P74" i="1"/>
  <c r="R74" i="1"/>
  <c r="N74" i="1"/>
  <c r="Q73" i="1"/>
  <c r="P73" i="1"/>
  <c r="R73" i="1"/>
  <c r="N73" i="1"/>
  <c r="Q72" i="1"/>
  <c r="P72" i="1"/>
  <c r="R72" i="1"/>
  <c r="N72" i="1"/>
  <c r="Q71" i="1"/>
  <c r="P71" i="1"/>
  <c r="R71" i="1"/>
  <c r="N71" i="1"/>
  <c r="Q70" i="1"/>
  <c r="P70" i="1"/>
  <c r="R70" i="1"/>
  <c r="N70" i="1"/>
  <c r="Q69" i="1"/>
  <c r="P69" i="1"/>
  <c r="R69" i="1"/>
  <c r="N69" i="1"/>
  <c r="Q68" i="1"/>
  <c r="P68" i="1"/>
  <c r="R68" i="1"/>
  <c r="N68" i="1"/>
  <c r="Q67" i="1"/>
  <c r="P67" i="1"/>
  <c r="R67" i="1"/>
  <c r="N67" i="1"/>
  <c r="Q66" i="1"/>
  <c r="P66" i="1"/>
  <c r="R66" i="1"/>
  <c r="N66" i="1"/>
  <c r="Q65" i="1"/>
  <c r="P65" i="1"/>
  <c r="R65" i="1"/>
  <c r="N65" i="1"/>
  <c r="Q64" i="1"/>
  <c r="P64" i="1"/>
  <c r="R64" i="1"/>
  <c r="N64" i="1"/>
  <c r="Q63" i="1"/>
  <c r="P63" i="1"/>
  <c r="R63" i="1"/>
  <c r="N63" i="1"/>
  <c r="Q62" i="1"/>
  <c r="P62" i="1"/>
  <c r="R62" i="1"/>
  <c r="N62" i="1"/>
  <c r="Q61" i="1"/>
  <c r="P61" i="1"/>
  <c r="R61" i="1"/>
  <c r="N61" i="1"/>
  <c r="Q60" i="1"/>
  <c r="P60" i="1"/>
  <c r="R60" i="1"/>
  <c r="N60" i="1"/>
  <c r="R59" i="1"/>
  <c r="Q58" i="1"/>
  <c r="P58" i="1"/>
  <c r="R58" i="1"/>
  <c r="N58" i="1"/>
  <c r="Q57" i="1"/>
  <c r="P57" i="1"/>
  <c r="R57" i="1"/>
  <c r="N57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R56" i="1"/>
  <c r="F54" i="1"/>
  <c r="Q53" i="1"/>
  <c r="P53" i="1"/>
  <c r="R53" i="1"/>
  <c r="N53" i="1"/>
  <c r="Q52" i="1"/>
  <c r="P52" i="1"/>
  <c r="R52" i="1"/>
  <c r="N52" i="1"/>
  <c r="Q51" i="1"/>
  <c r="P51" i="1"/>
  <c r="R51" i="1"/>
  <c r="N51" i="1"/>
  <c r="Q50" i="1"/>
  <c r="P50" i="1"/>
  <c r="R50" i="1"/>
  <c r="N50" i="1"/>
  <c r="Q49" i="1"/>
  <c r="P49" i="1"/>
  <c r="R49" i="1"/>
  <c r="N49" i="1"/>
  <c r="Q48" i="1"/>
  <c r="P48" i="1"/>
  <c r="R48" i="1"/>
  <c r="N48" i="1"/>
  <c r="Q47" i="1"/>
  <c r="P47" i="1"/>
  <c r="R47" i="1"/>
  <c r="N47" i="1"/>
  <c r="Q46" i="1"/>
  <c r="P46" i="1"/>
  <c r="R46" i="1"/>
  <c r="N46" i="1"/>
  <c r="Q45" i="1"/>
  <c r="P45" i="1"/>
  <c r="R45" i="1"/>
  <c r="N45" i="1"/>
  <c r="Q44" i="1"/>
  <c r="P44" i="1"/>
  <c r="R44" i="1"/>
  <c r="N44" i="1"/>
  <c r="Q43" i="1"/>
  <c r="P43" i="1"/>
  <c r="R43" i="1"/>
  <c r="N43" i="1"/>
  <c r="Q42" i="1"/>
  <c r="P42" i="1"/>
  <c r="R42" i="1"/>
  <c r="N42" i="1"/>
  <c r="Q41" i="1"/>
  <c r="P41" i="1"/>
  <c r="R41" i="1"/>
  <c r="N41" i="1"/>
  <c r="Q40" i="1"/>
  <c r="P40" i="1"/>
  <c r="R40" i="1"/>
  <c r="N40" i="1"/>
  <c r="Q39" i="1"/>
  <c r="P39" i="1"/>
  <c r="R39" i="1"/>
  <c r="N39" i="1"/>
  <c r="Q38" i="1"/>
  <c r="P38" i="1"/>
  <c r="R38" i="1"/>
  <c r="Q37" i="1"/>
  <c r="P37" i="1"/>
  <c r="R37" i="1"/>
  <c r="Q36" i="1"/>
  <c r="P36" i="1"/>
  <c r="R36" i="1"/>
  <c r="Q35" i="1"/>
  <c r="P35" i="1"/>
  <c r="R35" i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Q34" i="1"/>
  <c r="P34" i="1"/>
  <c r="R34" i="1"/>
  <c r="R12" i="5"/>
  <c r="B13" i="5"/>
  <c r="B14" i="5" s="1"/>
  <c r="B15" i="5" s="1"/>
  <c r="N13" i="5"/>
  <c r="O13" i="5"/>
  <c r="R13" i="5" s="1"/>
  <c r="P13" i="5"/>
  <c r="Q13" i="5"/>
  <c r="N14" i="5"/>
  <c r="O14" i="5"/>
  <c r="R14" i="5" s="1"/>
  <c r="P14" i="5"/>
  <c r="Q14" i="5"/>
  <c r="N15" i="5"/>
  <c r="O15" i="5"/>
  <c r="R15" i="5" s="1"/>
  <c r="P15" i="5"/>
  <c r="Q15" i="5"/>
  <c r="N18" i="5"/>
  <c r="O18" i="5"/>
  <c r="R18" i="5" s="1"/>
  <c r="P18" i="5"/>
  <c r="Q18" i="5"/>
  <c r="B19" i="5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N19" i="5"/>
  <c r="O19" i="5"/>
  <c r="R19" i="5" s="1"/>
  <c r="P19" i="5"/>
  <c r="Q19" i="5"/>
  <c r="N20" i="5"/>
  <c r="O20" i="5"/>
  <c r="R20" i="5" s="1"/>
  <c r="P20" i="5"/>
  <c r="Q20" i="5"/>
  <c r="N21" i="5"/>
  <c r="O21" i="5"/>
  <c r="R21" i="5" s="1"/>
  <c r="P21" i="5"/>
  <c r="Q21" i="5"/>
  <c r="N22" i="5"/>
  <c r="O22" i="5"/>
  <c r="R22" i="5" s="1"/>
  <c r="P22" i="5"/>
  <c r="Q22" i="5"/>
  <c r="O23" i="5"/>
  <c r="R23" i="5" s="1"/>
  <c r="P23" i="5"/>
  <c r="N24" i="5"/>
  <c r="O24" i="5"/>
  <c r="R24" i="5" s="1"/>
  <c r="P24" i="5"/>
  <c r="Q24" i="5"/>
  <c r="N25" i="5"/>
  <c r="O25" i="5"/>
  <c r="R25" i="5" s="1"/>
  <c r="P25" i="5"/>
  <c r="Q25" i="5"/>
  <c r="N26" i="5"/>
  <c r="O26" i="5"/>
  <c r="R26" i="5" s="1"/>
  <c r="P26" i="5"/>
  <c r="Q26" i="5"/>
  <c r="N27" i="5"/>
  <c r="O27" i="5"/>
  <c r="R27" i="5" s="1"/>
  <c r="P27" i="5"/>
  <c r="Q27" i="5"/>
  <c r="N28" i="5"/>
  <c r="O28" i="5"/>
  <c r="R28" i="5" s="1"/>
  <c r="P28" i="5"/>
  <c r="Q28" i="5"/>
  <c r="N29" i="5"/>
  <c r="O29" i="5"/>
  <c r="R29" i="5" s="1"/>
  <c r="P29" i="5"/>
  <c r="Q29" i="5"/>
  <c r="N30" i="5"/>
  <c r="O30" i="5"/>
  <c r="R30" i="5" s="1"/>
  <c r="P30" i="5"/>
  <c r="Q30" i="5"/>
  <c r="N31" i="5"/>
  <c r="O31" i="5"/>
  <c r="R31" i="5" s="1"/>
  <c r="P31" i="5"/>
  <c r="Q31" i="5"/>
  <c r="N45" i="5"/>
  <c r="O45" i="5"/>
  <c r="R45" i="5" s="1"/>
  <c r="P45" i="5"/>
  <c r="Q45" i="5"/>
  <c r="B46" i="5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N46" i="5"/>
  <c r="O46" i="5"/>
  <c r="R46" i="5" s="1"/>
  <c r="P46" i="5"/>
  <c r="Q46" i="5"/>
  <c r="N47" i="5"/>
  <c r="O47" i="5"/>
  <c r="R47" i="5" s="1"/>
  <c r="P47" i="5"/>
  <c r="Q47" i="5"/>
  <c r="N48" i="5"/>
  <c r="O48" i="5"/>
  <c r="R48" i="5" s="1"/>
  <c r="P48" i="5"/>
  <c r="Q48" i="5"/>
  <c r="N49" i="5"/>
  <c r="O49" i="5"/>
  <c r="R49" i="5" s="1"/>
  <c r="P49" i="5"/>
  <c r="Q49" i="5"/>
  <c r="N50" i="5"/>
  <c r="O50" i="5"/>
  <c r="R50" i="5" s="1"/>
  <c r="P50" i="5"/>
  <c r="Q50" i="5"/>
  <c r="N51" i="5"/>
  <c r="O51" i="5"/>
  <c r="R51" i="5" s="1"/>
  <c r="P51" i="5"/>
  <c r="Q51" i="5"/>
  <c r="N52" i="5"/>
  <c r="O52" i="5"/>
  <c r="R52" i="5" s="1"/>
  <c r="P52" i="5"/>
  <c r="Q52" i="5"/>
  <c r="N53" i="5"/>
  <c r="O53" i="5"/>
  <c r="R53" i="5" s="1"/>
  <c r="P53" i="5"/>
  <c r="Q53" i="5"/>
  <c r="N54" i="5"/>
  <c r="O54" i="5"/>
  <c r="R54" i="5" s="1"/>
  <c r="P54" i="5"/>
  <c r="Q54" i="5"/>
  <c r="N55" i="5"/>
  <c r="O55" i="5"/>
  <c r="R55" i="5" s="1"/>
  <c r="P55" i="5"/>
  <c r="Q55" i="5"/>
  <c r="N56" i="5"/>
  <c r="O56" i="5"/>
  <c r="R56" i="5" s="1"/>
  <c r="P56" i="5"/>
  <c r="Q56" i="5"/>
  <c r="N57" i="5"/>
  <c r="O57" i="5"/>
  <c r="R57" i="5" s="1"/>
  <c r="P57" i="5"/>
  <c r="Q57" i="5"/>
  <c r="N58" i="5"/>
  <c r="O58" i="5"/>
  <c r="R58" i="5" s="1"/>
  <c r="P58" i="5"/>
  <c r="Q58" i="5"/>
  <c r="N59" i="5"/>
  <c r="O59" i="5"/>
  <c r="R59" i="5" s="1"/>
  <c r="P59" i="5"/>
  <c r="Q59" i="5"/>
  <c r="N60" i="5"/>
  <c r="O60" i="5"/>
  <c r="R60" i="5" s="1"/>
  <c r="P60" i="5"/>
  <c r="Q60" i="5"/>
  <c r="N61" i="5"/>
  <c r="O61" i="5"/>
  <c r="R61" i="5" s="1"/>
  <c r="P61" i="5"/>
  <c r="Q61" i="5"/>
  <c r="N62" i="5"/>
  <c r="O62" i="5"/>
  <c r="R62" i="5" s="1"/>
  <c r="P62" i="5"/>
  <c r="Q62" i="5"/>
  <c r="N63" i="5"/>
  <c r="O63" i="5"/>
  <c r="R63" i="5" s="1"/>
  <c r="P63" i="5"/>
  <c r="Q63" i="5"/>
  <c r="N64" i="5"/>
  <c r="O64" i="5"/>
  <c r="R64" i="5" s="1"/>
  <c r="P64" i="5"/>
  <c r="Q64" i="5"/>
  <c r="N65" i="5"/>
  <c r="O65" i="5"/>
  <c r="R65" i="5" s="1"/>
  <c r="P65" i="5"/>
  <c r="Q65" i="5"/>
  <c r="N66" i="5"/>
  <c r="O66" i="5"/>
  <c r="R66" i="5" s="1"/>
  <c r="P66" i="5"/>
  <c r="Q66" i="5"/>
  <c r="N67" i="5"/>
  <c r="O67" i="5"/>
  <c r="R67" i="5" s="1"/>
  <c r="P67" i="5"/>
  <c r="Q67" i="5"/>
  <c r="N68" i="5"/>
  <c r="O68" i="5"/>
  <c r="R68" i="5" s="1"/>
  <c r="P68" i="5"/>
  <c r="Q68" i="5"/>
  <c r="N69" i="5"/>
  <c r="O69" i="5"/>
  <c r="R69" i="5" s="1"/>
  <c r="P69" i="5"/>
  <c r="Q69" i="5"/>
  <c r="N70" i="5"/>
  <c r="O70" i="5"/>
  <c r="R70" i="5" s="1"/>
  <c r="P70" i="5"/>
  <c r="Q70" i="5"/>
  <c r="N71" i="5"/>
  <c r="O71" i="5"/>
  <c r="R71" i="5" s="1"/>
  <c r="P71" i="5"/>
  <c r="Q71" i="5"/>
  <c r="N72" i="5"/>
  <c r="O72" i="5"/>
  <c r="R72" i="5" s="1"/>
  <c r="P72" i="5"/>
  <c r="Q72" i="5"/>
  <c r="N73" i="5"/>
  <c r="O73" i="5"/>
  <c r="R73" i="5" s="1"/>
  <c r="P73" i="5"/>
  <c r="Q73" i="5"/>
  <c r="N74" i="5"/>
  <c r="O74" i="5"/>
  <c r="R74" i="5" s="1"/>
  <c r="P74" i="5"/>
  <c r="Q74" i="5"/>
  <c r="N75" i="5"/>
  <c r="O75" i="5"/>
  <c r="R75" i="5" s="1"/>
  <c r="P75" i="5"/>
  <c r="Q75" i="5"/>
  <c r="N76" i="5"/>
  <c r="O76" i="5"/>
  <c r="R76" i="5" s="1"/>
  <c r="P76" i="5"/>
  <c r="Q76" i="5"/>
  <c r="N77" i="5"/>
  <c r="O77" i="5"/>
  <c r="R77" i="5" s="1"/>
  <c r="P77" i="5"/>
  <c r="Q77" i="5"/>
  <c r="N78" i="5"/>
  <c r="O78" i="5"/>
  <c r="R78" i="5" s="1"/>
  <c r="P78" i="5"/>
  <c r="Q78" i="5"/>
  <c r="N79" i="5"/>
  <c r="O79" i="5"/>
  <c r="R79" i="5" s="1"/>
  <c r="P79" i="5"/>
  <c r="Q79" i="5"/>
  <c r="N80" i="5"/>
  <c r="O80" i="5"/>
  <c r="R80" i="5" s="1"/>
  <c r="P80" i="5"/>
  <c r="Q80" i="5"/>
  <c r="N81" i="5"/>
  <c r="O81" i="5"/>
  <c r="R81" i="5" s="1"/>
  <c r="P81" i="5"/>
  <c r="Q81" i="5"/>
  <c r="N82" i="5"/>
  <c r="O82" i="5"/>
  <c r="R82" i="5" s="1"/>
  <c r="P82" i="5"/>
  <c r="Q82" i="5"/>
  <c r="N83" i="5"/>
  <c r="O83" i="5"/>
  <c r="R83" i="5" s="1"/>
  <c r="P83" i="5"/>
  <c r="Q83" i="5"/>
  <c r="N84" i="5"/>
  <c r="O84" i="5"/>
  <c r="R84" i="5" s="1"/>
  <c r="P84" i="5"/>
  <c r="Q84" i="5"/>
  <c r="N85" i="5"/>
  <c r="O85" i="5"/>
  <c r="R85" i="5" s="1"/>
  <c r="P85" i="5"/>
  <c r="Q85" i="5"/>
  <c r="N86" i="5"/>
  <c r="O86" i="5"/>
  <c r="R86" i="5" s="1"/>
  <c r="P86" i="5"/>
  <c r="Q86" i="5"/>
  <c r="N87" i="5"/>
  <c r="O87" i="5"/>
  <c r="R87" i="5" s="1"/>
  <c r="P87" i="5"/>
  <c r="Q87" i="5"/>
  <c r="N88" i="5"/>
  <c r="O88" i="5"/>
  <c r="R88" i="5" s="1"/>
  <c r="P88" i="5"/>
  <c r="Q88" i="5"/>
  <c r="N89" i="5"/>
  <c r="O89" i="5"/>
  <c r="R89" i="5" s="1"/>
  <c r="P89" i="5"/>
  <c r="Q89" i="5"/>
  <c r="N90" i="5"/>
  <c r="O90" i="5"/>
  <c r="R90" i="5" s="1"/>
  <c r="P90" i="5"/>
  <c r="Q90" i="5"/>
  <c r="N91" i="5"/>
  <c r="O91" i="5"/>
  <c r="R91" i="5" s="1"/>
  <c r="P91" i="5"/>
  <c r="Q91" i="5"/>
  <c r="N92" i="5"/>
  <c r="O92" i="5"/>
  <c r="R92" i="5" s="1"/>
  <c r="P92" i="5"/>
  <c r="Q92" i="5"/>
  <c r="N93" i="5"/>
  <c r="O93" i="5"/>
  <c r="R93" i="5" s="1"/>
  <c r="P93" i="5"/>
  <c r="Q93" i="5"/>
  <c r="N94" i="5"/>
  <c r="O94" i="5"/>
  <c r="R94" i="5" s="1"/>
  <c r="P94" i="5"/>
  <c r="Q94" i="5"/>
  <c r="N95" i="5"/>
  <c r="O95" i="5"/>
  <c r="R95" i="5" s="1"/>
  <c r="P95" i="5"/>
  <c r="Q95" i="5"/>
  <c r="N96" i="5"/>
  <c r="O96" i="5"/>
  <c r="R96" i="5" s="1"/>
  <c r="P96" i="5"/>
  <c r="Q96" i="5"/>
  <c r="N97" i="5"/>
  <c r="O97" i="5"/>
  <c r="R97" i="5" s="1"/>
  <c r="P97" i="5"/>
  <c r="Q97" i="5"/>
  <c r="N98" i="5"/>
  <c r="O98" i="5"/>
  <c r="R98" i="5" s="1"/>
  <c r="P98" i="5"/>
  <c r="Q98" i="5"/>
  <c r="N99" i="5"/>
  <c r="O99" i="5"/>
  <c r="R99" i="5" s="1"/>
  <c r="P99" i="5"/>
  <c r="Q99" i="5"/>
  <c r="N100" i="5"/>
  <c r="O100" i="5"/>
  <c r="R100" i="5" s="1"/>
  <c r="P100" i="5"/>
  <c r="Q100" i="5"/>
  <c r="N101" i="5"/>
  <c r="O101" i="5"/>
  <c r="R101" i="5" s="1"/>
  <c r="P101" i="5"/>
  <c r="Q101" i="5"/>
  <c r="N102" i="5"/>
  <c r="O102" i="5"/>
  <c r="R102" i="5" s="1"/>
  <c r="P102" i="5"/>
  <c r="Q102" i="5"/>
  <c r="N103" i="5"/>
  <c r="O103" i="5"/>
  <c r="R103" i="5" s="1"/>
  <c r="P103" i="5"/>
  <c r="Q103" i="5"/>
  <c r="N104" i="5"/>
  <c r="O104" i="5"/>
  <c r="R104" i="5" s="1"/>
  <c r="P104" i="5"/>
  <c r="Q104" i="5"/>
  <c r="N105" i="5"/>
  <c r="O105" i="5"/>
  <c r="R105" i="5" s="1"/>
  <c r="P105" i="5"/>
  <c r="Q105" i="5"/>
  <c r="N106" i="5"/>
  <c r="O106" i="5"/>
  <c r="R106" i="5" s="1"/>
  <c r="P106" i="5"/>
  <c r="Q106" i="5"/>
  <c r="N107" i="5"/>
  <c r="O107" i="5"/>
  <c r="R107" i="5" s="1"/>
  <c r="P107" i="5"/>
  <c r="Q107" i="5"/>
  <c r="N108" i="5"/>
  <c r="O108" i="5"/>
  <c r="R108" i="5" s="1"/>
  <c r="P108" i="5"/>
  <c r="Q108" i="5"/>
  <c r="N109" i="5"/>
  <c r="O109" i="5"/>
  <c r="R109" i="5" s="1"/>
  <c r="P109" i="5"/>
  <c r="Q109" i="5"/>
  <c r="N110" i="5"/>
  <c r="O110" i="5"/>
  <c r="R110" i="5" s="1"/>
  <c r="P110" i="5"/>
  <c r="Q110" i="5"/>
  <c r="N111" i="5"/>
  <c r="O111" i="5"/>
  <c r="R111" i="5" s="1"/>
  <c r="P111" i="5"/>
  <c r="Q111" i="5"/>
  <c r="N112" i="5"/>
  <c r="O112" i="5"/>
  <c r="R112" i="5" s="1"/>
  <c r="P112" i="5"/>
  <c r="Q112" i="5"/>
  <c r="N113" i="5"/>
  <c r="O113" i="5"/>
  <c r="R113" i="5" s="1"/>
  <c r="P113" i="5"/>
  <c r="Q113" i="5"/>
  <c r="N114" i="5"/>
  <c r="O114" i="5"/>
  <c r="R114" i="5" s="1"/>
  <c r="P114" i="5"/>
  <c r="Q114" i="5"/>
  <c r="N115" i="5"/>
  <c r="O115" i="5"/>
  <c r="R115" i="5" s="1"/>
  <c r="P115" i="5"/>
  <c r="Q115" i="5"/>
  <c r="N116" i="5"/>
  <c r="O116" i="5"/>
  <c r="R116" i="5" s="1"/>
  <c r="P116" i="5"/>
  <c r="Q116" i="5"/>
  <c r="N117" i="5"/>
  <c r="O117" i="5"/>
  <c r="R117" i="5" s="1"/>
  <c r="P117" i="5"/>
  <c r="Q117" i="5"/>
  <c r="N118" i="5"/>
  <c r="O118" i="5"/>
  <c r="R118" i="5" s="1"/>
  <c r="P118" i="5"/>
  <c r="Q118" i="5"/>
  <c r="N119" i="5"/>
  <c r="O119" i="5"/>
  <c r="R119" i="5" s="1"/>
  <c r="P119" i="5"/>
  <c r="Q119" i="5"/>
  <c r="N120" i="5"/>
  <c r="O120" i="5"/>
  <c r="R120" i="5" s="1"/>
  <c r="P120" i="5"/>
  <c r="Q120" i="5"/>
  <c r="N121" i="5"/>
  <c r="O121" i="5"/>
  <c r="R121" i="5" s="1"/>
  <c r="P121" i="5"/>
  <c r="Q121" i="5"/>
  <c r="N122" i="5"/>
  <c r="O122" i="5"/>
  <c r="R122" i="5" s="1"/>
  <c r="P122" i="5"/>
  <c r="Q122" i="5"/>
  <c r="N123" i="5"/>
  <c r="O123" i="5"/>
  <c r="R123" i="5" s="1"/>
  <c r="P123" i="5"/>
  <c r="Q123" i="5"/>
  <c r="N124" i="5"/>
  <c r="O124" i="5"/>
  <c r="R124" i="5" s="1"/>
  <c r="P124" i="5"/>
  <c r="Q124" i="5"/>
  <c r="N125" i="5"/>
  <c r="O125" i="5"/>
  <c r="R125" i="5" s="1"/>
  <c r="P125" i="5"/>
  <c r="Q125" i="5"/>
  <c r="N126" i="5"/>
  <c r="O126" i="5"/>
  <c r="R126" i="5" s="1"/>
  <c r="P126" i="5"/>
  <c r="Q126" i="5"/>
  <c r="N127" i="5"/>
  <c r="O127" i="5"/>
  <c r="R127" i="5" s="1"/>
  <c r="P127" i="5"/>
  <c r="Q127" i="5"/>
  <c r="N128" i="5"/>
  <c r="O128" i="5"/>
  <c r="R128" i="5" s="1"/>
  <c r="P128" i="5"/>
  <c r="Q128" i="5"/>
  <c r="N129" i="5"/>
  <c r="O129" i="5"/>
  <c r="R129" i="5" s="1"/>
  <c r="P129" i="5"/>
  <c r="Q129" i="5"/>
  <c r="N130" i="5"/>
  <c r="O130" i="5"/>
  <c r="R130" i="5" s="1"/>
  <c r="P130" i="5"/>
  <c r="Q130" i="5"/>
  <c r="N131" i="5"/>
  <c r="O131" i="5"/>
  <c r="R131" i="5" s="1"/>
  <c r="P131" i="5"/>
  <c r="Q131" i="5"/>
  <c r="N132" i="5"/>
  <c r="O132" i="5"/>
  <c r="R132" i="5" s="1"/>
  <c r="P132" i="5"/>
  <c r="Q132" i="5"/>
  <c r="N133" i="5"/>
  <c r="O133" i="5"/>
  <c r="R133" i="5" s="1"/>
  <c r="P133" i="5"/>
  <c r="Q133" i="5"/>
  <c r="N134" i="5"/>
  <c r="O134" i="5"/>
  <c r="R134" i="5" s="1"/>
  <c r="P134" i="5"/>
  <c r="Q134" i="5"/>
  <c r="N135" i="5"/>
  <c r="O135" i="5"/>
  <c r="R135" i="5" s="1"/>
  <c r="P135" i="5"/>
  <c r="Q135" i="5"/>
  <c r="N136" i="5"/>
  <c r="O136" i="5"/>
  <c r="R136" i="5" s="1"/>
  <c r="P136" i="5"/>
  <c r="Q136" i="5"/>
  <c r="N137" i="5"/>
  <c r="O137" i="5"/>
  <c r="R137" i="5" s="1"/>
  <c r="P137" i="5"/>
  <c r="Q137" i="5"/>
  <c r="N138" i="5"/>
  <c r="O138" i="5"/>
  <c r="R138" i="5" s="1"/>
  <c r="P138" i="5"/>
  <c r="Q138" i="5"/>
  <c r="N139" i="5"/>
  <c r="O139" i="5"/>
  <c r="R139" i="5" s="1"/>
  <c r="P139" i="5"/>
  <c r="Q139" i="5"/>
  <c r="N140" i="5"/>
  <c r="O140" i="5"/>
  <c r="R140" i="5" s="1"/>
  <c r="P140" i="5"/>
  <c r="Q140" i="5"/>
  <c r="N141" i="5"/>
  <c r="O141" i="5"/>
  <c r="R141" i="5" s="1"/>
  <c r="P141" i="5"/>
  <c r="Q141" i="5"/>
  <c r="N142" i="5"/>
  <c r="O142" i="5"/>
  <c r="R142" i="5" s="1"/>
  <c r="P142" i="5"/>
  <c r="Q142" i="5"/>
  <c r="N143" i="5"/>
  <c r="O143" i="5"/>
  <c r="R143" i="5" s="1"/>
  <c r="P143" i="5"/>
  <c r="Q143" i="5"/>
  <c r="N144" i="5"/>
  <c r="O144" i="5"/>
  <c r="R144" i="5" s="1"/>
  <c r="P144" i="5"/>
  <c r="Q144" i="5"/>
  <c r="N145" i="5"/>
  <c r="O145" i="5"/>
  <c r="R145" i="5" s="1"/>
  <c r="P145" i="5"/>
  <c r="Q145" i="5"/>
  <c r="N146" i="5"/>
  <c r="O146" i="5"/>
  <c r="R146" i="5" s="1"/>
  <c r="P146" i="5"/>
  <c r="Q146" i="5"/>
  <c r="N147" i="5"/>
  <c r="O147" i="5"/>
  <c r="R147" i="5" s="1"/>
  <c r="P147" i="5"/>
  <c r="Q147" i="5"/>
  <c r="N148" i="5"/>
  <c r="O148" i="5"/>
  <c r="R148" i="5" s="1"/>
  <c r="P148" i="5"/>
  <c r="Q148" i="5"/>
  <c r="N149" i="5"/>
  <c r="O149" i="5"/>
  <c r="R149" i="5" s="1"/>
  <c r="P149" i="5"/>
  <c r="Q149" i="5"/>
  <c r="N150" i="5"/>
  <c r="O150" i="5"/>
  <c r="R150" i="5" s="1"/>
  <c r="P150" i="5"/>
  <c r="Q150" i="5"/>
  <c r="N151" i="5"/>
  <c r="O151" i="5"/>
  <c r="R151" i="5" s="1"/>
  <c r="P151" i="5"/>
  <c r="Q151" i="5"/>
  <c r="N152" i="5"/>
  <c r="O152" i="5"/>
  <c r="R152" i="5" s="1"/>
  <c r="P152" i="5"/>
  <c r="Q152" i="5"/>
  <c r="N153" i="5"/>
  <c r="O153" i="5"/>
  <c r="R153" i="5" s="1"/>
  <c r="P153" i="5"/>
  <c r="Q153" i="5"/>
  <c r="N154" i="5"/>
  <c r="O154" i="5"/>
  <c r="R154" i="5" s="1"/>
  <c r="P154" i="5"/>
  <c r="Q154" i="5"/>
  <c r="N155" i="5"/>
  <c r="O155" i="5"/>
  <c r="R155" i="5" s="1"/>
  <c r="P155" i="5"/>
  <c r="Q155" i="5"/>
  <c r="N156" i="5"/>
  <c r="O156" i="5"/>
  <c r="R156" i="5" s="1"/>
  <c r="P156" i="5"/>
  <c r="Q156" i="5"/>
  <c r="N157" i="5"/>
  <c r="O157" i="5"/>
  <c r="R157" i="5" s="1"/>
  <c r="P157" i="5"/>
  <c r="Q157" i="5"/>
  <c r="N158" i="5"/>
  <c r="O158" i="5"/>
  <c r="R158" i="5" s="1"/>
  <c r="P158" i="5"/>
  <c r="Q158" i="5"/>
  <c r="N159" i="5"/>
  <c r="O159" i="5"/>
  <c r="R159" i="5" s="1"/>
  <c r="P159" i="5"/>
  <c r="Q159" i="5"/>
  <c r="N160" i="5"/>
  <c r="O160" i="5"/>
  <c r="R160" i="5" s="1"/>
  <c r="P160" i="5"/>
  <c r="Q160" i="5"/>
  <c r="N161" i="5"/>
  <c r="O161" i="5"/>
  <c r="R161" i="5" s="1"/>
  <c r="P161" i="5"/>
  <c r="Q161" i="5"/>
  <c r="N162" i="5"/>
  <c r="O162" i="5"/>
  <c r="R162" i="5" s="1"/>
  <c r="P162" i="5"/>
  <c r="Q162" i="5"/>
  <c r="N163" i="5"/>
  <c r="O163" i="5"/>
  <c r="R163" i="5" s="1"/>
  <c r="P163" i="5"/>
  <c r="Q163" i="5"/>
  <c r="N164" i="5"/>
  <c r="O164" i="5"/>
  <c r="R164" i="5" s="1"/>
  <c r="P164" i="5"/>
  <c r="Q164" i="5"/>
  <c r="N165" i="5"/>
  <c r="O165" i="5"/>
  <c r="R165" i="5" s="1"/>
  <c r="P165" i="5"/>
  <c r="Q165" i="5"/>
  <c r="N166" i="5"/>
  <c r="O166" i="5"/>
  <c r="R166" i="5" s="1"/>
  <c r="P166" i="5"/>
  <c r="Q166" i="5"/>
  <c r="N167" i="5"/>
  <c r="O167" i="5"/>
  <c r="R167" i="5" s="1"/>
  <c r="P167" i="5"/>
  <c r="Q167" i="5"/>
  <c r="N168" i="5"/>
  <c r="O168" i="5"/>
  <c r="R168" i="5" s="1"/>
  <c r="P168" i="5"/>
  <c r="Q168" i="5"/>
  <c r="N169" i="5"/>
  <c r="O169" i="5"/>
  <c r="R169" i="5" s="1"/>
  <c r="P169" i="5"/>
  <c r="Q169" i="5"/>
  <c r="N170" i="5"/>
  <c r="O170" i="5"/>
  <c r="R170" i="5" s="1"/>
  <c r="P170" i="5"/>
  <c r="Q170" i="5"/>
  <c r="N171" i="5"/>
  <c r="O171" i="5"/>
  <c r="R171" i="5" s="1"/>
  <c r="P171" i="5"/>
  <c r="Q171" i="5"/>
  <c r="N172" i="5"/>
  <c r="O172" i="5"/>
  <c r="R172" i="5" s="1"/>
  <c r="P172" i="5"/>
  <c r="Q172" i="5"/>
  <c r="N173" i="5"/>
  <c r="O173" i="5"/>
  <c r="R173" i="5" s="1"/>
  <c r="P173" i="5"/>
  <c r="Q173" i="5"/>
  <c r="N174" i="5"/>
  <c r="O174" i="5"/>
  <c r="R174" i="5" s="1"/>
  <c r="P174" i="5"/>
  <c r="Q174" i="5"/>
  <c r="N175" i="5"/>
  <c r="O175" i="5"/>
  <c r="R175" i="5" s="1"/>
  <c r="P175" i="5"/>
  <c r="Q175" i="5"/>
  <c r="N176" i="5"/>
  <c r="O176" i="5"/>
  <c r="R176" i="5" s="1"/>
  <c r="P176" i="5"/>
  <c r="Q176" i="5"/>
  <c r="N177" i="5"/>
  <c r="O177" i="5"/>
  <c r="R177" i="5" s="1"/>
  <c r="P177" i="5"/>
  <c r="Q177" i="5"/>
  <c r="N178" i="5"/>
  <c r="O178" i="5"/>
  <c r="R178" i="5" s="1"/>
  <c r="P178" i="5"/>
  <c r="Q178" i="5"/>
  <c r="N179" i="5"/>
  <c r="O179" i="5"/>
  <c r="R179" i="5" s="1"/>
  <c r="P179" i="5"/>
  <c r="Q179" i="5"/>
  <c r="N180" i="5"/>
  <c r="O180" i="5"/>
  <c r="R180" i="5" s="1"/>
  <c r="P180" i="5"/>
  <c r="Q180" i="5"/>
  <c r="N181" i="5"/>
  <c r="O181" i="5"/>
  <c r="R181" i="5" s="1"/>
  <c r="P181" i="5"/>
  <c r="Q181" i="5"/>
  <c r="N182" i="5"/>
  <c r="O182" i="5"/>
  <c r="R182" i="5" s="1"/>
  <c r="P182" i="5"/>
  <c r="Q182" i="5"/>
  <c r="N183" i="5"/>
  <c r="O183" i="5"/>
  <c r="R183" i="5" s="1"/>
  <c r="P183" i="5"/>
  <c r="Q183" i="5"/>
  <c r="N184" i="5"/>
  <c r="O184" i="5"/>
  <c r="R184" i="5" s="1"/>
  <c r="P184" i="5"/>
  <c r="Q184" i="5"/>
  <c r="N185" i="5"/>
  <c r="O185" i="5"/>
  <c r="R185" i="5" s="1"/>
  <c r="P185" i="5"/>
  <c r="Q185" i="5"/>
  <c r="N186" i="5"/>
  <c r="O186" i="5"/>
  <c r="R186" i="5" s="1"/>
  <c r="P186" i="5"/>
  <c r="Q186" i="5"/>
  <c r="N187" i="5"/>
  <c r="O187" i="5"/>
  <c r="R187" i="5" s="1"/>
  <c r="P187" i="5"/>
  <c r="Q187" i="5"/>
  <c r="N188" i="5"/>
  <c r="O188" i="5"/>
  <c r="R188" i="5" s="1"/>
  <c r="P188" i="5"/>
  <c r="Q188" i="5"/>
  <c r="N189" i="5"/>
  <c r="O189" i="5"/>
  <c r="R189" i="5" s="1"/>
  <c r="P189" i="5"/>
  <c r="Q189" i="5"/>
  <c r="N190" i="5"/>
  <c r="O190" i="5"/>
  <c r="R190" i="5" s="1"/>
  <c r="P190" i="5"/>
  <c r="Q190" i="5"/>
  <c r="N191" i="5"/>
  <c r="O191" i="5"/>
  <c r="R191" i="5" s="1"/>
  <c r="P191" i="5"/>
  <c r="Q191" i="5"/>
  <c r="N192" i="5"/>
  <c r="O192" i="5"/>
  <c r="R192" i="5" s="1"/>
  <c r="P192" i="5"/>
  <c r="Q192" i="5"/>
  <c r="N193" i="5"/>
  <c r="O193" i="5"/>
  <c r="R193" i="5" s="1"/>
  <c r="P193" i="5"/>
  <c r="Q193" i="5"/>
  <c r="N194" i="5"/>
  <c r="O194" i="5"/>
  <c r="R194" i="5" s="1"/>
  <c r="P194" i="5"/>
  <c r="Q194" i="5"/>
  <c r="N195" i="5"/>
  <c r="O195" i="5"/>
  <c r="R195" i="5" s="1"/>
  <c r="P195" i="5"/>
  <c r="Q195" i="5"/>
  <c r="N196" i="5"/>
  <c r="O196" i="5"/>
  <c r="R196" i="5" s="1"/>
  <c r="P196" i="5"/>
  <c r="Q196" i="5"/>
  <c r="N197" i="5"/>
  <c r="O197" i="5"/>
  <c r="R197" i="5" s="1"/>
  <c r="P197" i="5"/>
  <c r="Q197" i="5"/>
  <c r="N198" i="5"/>
  <c r="O198" i="5"/>
  <c r="R198" i="5" s="1"/>
  <c r="P198" i="5"/>
  <c r="Q198" i="5"/>
  <c r="N199" i="5"/>
  <c r="O199" i="5"/>
  <c r="R199" i="5" s="1"/>
  <c r="P199" i="5"/>
  <c r="Q199" i="5"/>
  <c r="N200" i="5"/>
  <c r="O200" i="5"/>
  <c r="R200" i="5" s="1"/>
  <c r="P200" i="5"/>
  <c r="Q200" i="5"/>
  <c r="N201" i="5"/>
  <c r="O201" i="5"/>
  <c r="R201" i="5" s="1"/>
  <c r="P201" i="5"/>
  <c r="Q201" i="5"/>
  <c r="R202" i="5"/>
  <c r="P202" i="5"/>
  <c r="N203" i="5"/>
  <c r="O203" i="5"/>
  <c r="R203" i="5" s="1"/>
  <c r="P203" i="5"/>
  <c r="Q203" i="5"/>
  <c r="N204" i="5"/>
  <c r="O204" i="5"/>
  <c r="R204" i="5" s="1"/>
  <c r="P204" i="5"/>
  <c r="Q204" i="5"/>
  <c r="N205" i="5"/>
  <c r="O205" i="5"/>
  <c r="R205" i="5" s="1"/>
  <c r="P205" i="5"/>
  <c r="Q205" i="5"/>
  <c r="N210" i="5"/>
  <c r="O210" i="5"/>
  <c r="R210" i="5" s="1"/>
  <c r="P210" i="5"/>
  <c r="Q210" i="5"/>
  <c r="N211" i="5"/>
  <c r="O211" i="5"/>
  <c r="R211" i="5" s="1"/>
  <c r="P211" i="5"/>
  <c r="Q211" i="5"/>
  <c r="N212" i="5"/>
  <c r="O212" i="5"/>
  <c r="R212" i="5" s="1"/>
  <c r="P212" i="5"/>
  <c r="Q212" i="5"/>
  <c r="N213" i="5"/>
  <c r="O213" i="5"/>
  <c r="R213" i="5" s="1"/>
  <c r="P213" i="5"/>
  <c r="Q213" i="5"/>
  <c r="F214" i="5"/>
  <c r="B220" i="5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F566" i="5"/>
  <c r="Q27" i="1"/>
  <c r="P27" i="1"/>
  <c r="R27" i="1"/>
  <c r="N27" i="1"/>
  <c r="D156" i="13"/>
  <c r="N48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N38" i="19"/>
  <c r="N37" i="19"/>
  <c r="N36" i="19"/>
  <c r="N35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21" i="19"/>
  <c r="N20" i="19"/>
  <c r="N19" i="19"/>
  <c r="N34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6" i="19"/>
  <c r="R67" i="19"/>
  <c r="R68" i="19"/>
  <c r="R69" i="19"/>
  <c r="R70" i="19"/>
  <c r="R71" i="19"/>
  <c r="P38" i="19"/>
  <c r="O38" i="19"/>
  <c r="R38" i="19" s="1"/>
  <c r="P37" i="19"/>
  <c r="O37" i="19"/>
  <c r="R37" i="19" s="1"/>
  <c r="P36" i="19"/>
  <c r="O36" i="19"/>
  <c r="R36" i="19" s="1"/>
  <c r="P35" i="19"/>
  <c r="O35" i="19"/>
  <c r="R35" i="19" s="1"/>
  <c r="P34" i="19"/>
  <c r="O34" i="19"/>
  <c r="R34" i="19" s="1"/>
  <c r="P33" i="19"/>
  <c r="O33" i="19"/>
  <c r="R33" i="19" s="1"/>
  <c r="P32" i="19"/>
  <c r="O32" i="19"/>
  <c r="R32" i="19" s="1"/>
  <c r="P31" i="19"/>
  <c r="O31" i="19"/>
  <c r="R31" i="19" s="1"/>
  <c r="O30" i="19"/>
  <c r="R30" i="19" s="1"/>
  <c r="P29" i="19"/>
  <c r="O29" i="19"/>
  <c r="R29" i="19" s="1"/>
  <c r="B2025" i="1" l="1"/>
  <c r="B2026" i="1" s="1"/>
  <c r="B2027" i="1" s="1"/>
  <c r="E17" i="13"/>
  <c r="E94" i="13"/>
  <c r="B206" i="5"/>
  <c r="B207" i="5" s="1"/>
  <c r="B208" i="5" s="1"/>
  <c r="B209" i="5" s="1"/>
  <c r="B210" i="5" s="1"/>
  <c r="B211" i="5" s="1"/>
  <c r="B212" i="5" s="1"/>
  <c r="B213" i="5" s="1"/>
  <c r="E96" i="13"/>
  <c r="R214" i="5"/>
  <c r="E95" i="13"/>
  <c r="E93" i="13"/>
  <c r="D96" i="13"/>
  <c r="E100" i="13"/>
  <c r="E99" i="13"/>
  <c r="E98" i="13"/>
  <c r="D94" i="13"/>
  <c r="D95" i="13"/>
  <c r="D93" i="13"/>
  <c r="D15" i="13"/>
  <c r="D26" i="13"/>
  <c r="D18" i="13"/>
  <c r="D17" i="13"/>
  <c r="D20" i="13"/>
  <c r="D28" i="13"/>
  <c r="D32" i="13"/>
  <c r="D24" i="13"/>
  <c r="D23" i="13"/>
  <c r="D19" i="13"/>
  <c r="D31" i="13"/>
  <c r="D30" i="13"/>
  <c r="D22" i="13"/>
  <c r="D29" i="13"/>
  <c r="D21" i="13"/>
  <c r="D27" i="13"/>
  <c r="D14" i="13"/>
  <c r="Q14" i="19"/>
  <c r="P14" i="19"/>
  <c r="O14" i="19"/>
  <c r="R14" i="19" s="1"/>
  <c r="N14" i="19"/>
  <c r="Q13" i="19"/>
  <c r="P13" i="19"/>
  <c r="O13" i="19"/>
  <c r="R13" i="19" s="1"/>
  <c r="N13" i="19"/>
  <c r="R52" i="19"/>
  <c r="R50" i="19"/>
  <c r="R49" i="19"/>
  <c r="P48" i="19"/>
  <c r="O48" i="19"/>
  <c r="R48" i="19" s="1"/>
  <c r="P28" i="19"/>
  <c r="O28" i="19"/>
  <c r="R28" i="19" s="1"/>
  <c r="P27" i="19"/>
  <c r="O27" i="19"/>
  <c r="R27" i="19" s="1"/>
  <c r="P26" i="19"/>
  <c r="O26" i="19"/>
  <c r="R26" i="19" s="1"/>
  <c r="P25" i="19"/>
  <c r="O25" i="19"/>
  <c r="R25" i="19" s="1"/>
  <c r="P24" i="19"/>
  <c r="O24" i="19"/>
  <c r="R24" i="19" s="1"/>
  <c r="P23" i="19"/>
  <c r="O23" i="19"/>
  <c r="R23" i="19" s="1"/>
  <c r="P22" i="19"/>
  <c r="O22" i="19"/>
  <c r="R22" i="19" s="1"/>
  <c r="P21" i="19"/>
  <c r="O21" i="19"/>
  <c r="R21" i="19" s="1"/>
  <c r="B21" i="19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P20" i="19"/>
  <c r="O20" i="19"/>
  <c r="R20" i="19" s="1"/>
  <c r="B20" i="19"/>
  <c r="P19" i="19"/>
  <c r="O19" i="19"/>
  <c r="R19" i="19" s="1"/>
  <c r="F15" i="19"/>
  <c r="Q12" i="19"/>
  <c r="P12" i="19"/>
  <c r="O12" i="19"/>
  <c r="R12" i="19" s="1"/>
  <c r="N12" i="19"/>
  <c r="Q11" i="19"/>
  <c r="P11" i="19"/>
  <c r="O11" i="19"/>
  <c r="R11" i="19" s="1"/>
  <c r="N11" i="19"/>
  <c r="D7" i="19"/>
  <c r="P959" i="1"/>
  <c r="R959" i="1"/>
  <c r="N959" i="1"/>
  <c r="R938" i="1"/>
  <c r="R936" i="1"/>
  <c r="R931" i="1"/>
  <c r="R929" i="1"/>
  <c r="R928" i="1"/>
  <c r="R913" i="1"/>
  <c r="Q278" i="1"/>
  <c r="P278" i="1"/>
  <c r="R278" i="1"/>
  <c r="N278" i="1"/>
  <c r="Q277" i="1"/>
  <c r="P277" i="1"/>
  <c r="R277" i="1"/>
  <c r="N277" i="1"/>
  <c r="Q276" i="1"/>
  <c r="P276" i="1"/>
  <c r="R276" i="1"/>
  <c r="N276" i="1"/>
  <c r="Q275" i="1"/>
  <c r="P275" i="1"/>
  <c r="R275" i="1"/>
  <c r="N275" i="1"/>
  <c r="Q274" i="1"/>
  <c r="P274" i="1"/>
  <c r="R274" i="1"/>
  <c r="N274" i="1"/>
  <c r="Q273" i="1"/>
  <c r="P273" i="1"/>
  <c r="R273" i="1"/>
  <c r="N273" i="1"/>
  <c r="Q272" i="1"/>
  <c r="P272" i="1"/>
  <c r="R272" i="1"/>
  <c r="N272" i="1"/>
  <c r="Q271" i="1"/>
  <c r="P271" i="1"/>
  <c r="R271" i="1"/>
  <c r="N271" i="1"/>
  <c r="Q270" i="1"/>
  <c r="P270" i="1"/>
  <c r="R270" i="1"/>
  <c r="N270" i="1"/>
  <c r="Q269" i="1"/>
  <c r="P269" i="1"/>
  <c r="R269" i="1"/>
  <c r="N269" i="1"/>
  <c r="Q268" i="1"/>
  <c r="P268" i="1"/>
  <c r="R268" i="1"/>
  <c r="N268" i="1"/>
  <c r="Q267" i="1"/>
  <c r="P267" i="1"/>
  <c r="R267" i="1"/>
  <c r="N267" i="1"/>
  <c r="Q266" i="1"/>
  <c r="P266" i="1"/>
  <c r="R266" i="1"/>
  <c r="N266" i="1"/>
  <c r="Q265" i="1"/>
  <c r="P265" i="1"/>
  <c r="R265" i="1"/>
  <c r="N265" i="1"/>
  <c r="Q264" i="1"/>
  <c r="P264" i="1"/>
  <c r="R264" i="1"/>
  <c r="N264" i="1"/>
  <c r="Q263" i="1"/>
  <c r="P263" i="1"/>
  <c r="R263" i="1"/>
  <c r="N263" i="1"/>
  <c r="Q262" i="1"/>
  <c r="P262" i="1"/>
  <c r="R262" i="1"/>
  <c r="N262" i="1"/>
  <c r="Q261" i="1"/>
  <c r="P261" i="1"/>
  <c r="R261" i="1"/>
  <c r="N261" i="1"/>
  <c r="Q260" i="1"/>
  <c r="P260" i="1"/>
  <c r="R260" i="1"/>
  <c r="N260" i="1"/>
  <c r="Q259" i="1"/>
  <c r="P259" i="1"/>
  <c r="R259" i="1"/>
  <c r="N259" i="1"/>
  <c r="Q258" i="1"/>
  <c r="P258" i="1"/>
  <c r="R258" i="1"/>
  <c r="N258" i="1"/>
  <c r="Q257" i="1"/>
  <c r="P257" i="1"/>
  <c r="R257" i="1"/>
  <c r="N257" i="1"/>
  <c r="Q256" i="1"/>
  <c r="P256" i="1"/>
  <c r="R256" i="1"/>
  <c r="N256" i="1"/>
  <c r="Q255" i="1"/>
  <c r="P255" i="1"/>
  <c r="R255" i="1"/>
  <c r="N255" i="1"/>
  <c r="Q254" i="1"/>
  <c r="P254" i="1"/>
  <c r="R254" i="1"/>
  <c r="N254" i="1"/>
  <c r="Q253" i="1"/>
  <c r="P253" i="1"/>
  <c r="R253" i="1"/>
  <c r="N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6" i="1"/>
  <c r="R183" i="1"/>
  <c r="R180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7" i="1"/>
  <c r="R156" i="1"/>
  <c r="R155" i="1"/>
  <c r="R154" i="1"/>
  <c r="R153" i="1"/>
  <c r="R152" i="1"/>
  <c r="R151" i="1"/>
  <c r="R150" i="1"/>
  <c r="R148" i="1"/>
  <c r="R146" i="1"/>
  <c r="R145" i="1"/>
  <c r="R144" i="1"/>
  <c r="R143" i="1"/>
  <c r="R142" i="1"/>
  <c r="R141" i="1"/>
  <c r="R139" i="1"/>
  <c r="R137" i="1"/>
  <c r="R136" i="1"/>
  <c r="R135" i="1"/>
  <c r="R133" i="1"/>
  <c r="R131" i="1"/>
  <c r="R130" i="1"/>
  <c r="R40" i="17"/>
  <c r="R48" i="17"/>
  <c r="R95" i="17"/>
  <c r="E148" i="13" l="1"/>
  <c r="E150" i="13" s="1"/>
  <c r="E14" i="13"/>
  <c r="E149" i="13"/>
  <c r="E156" i="13"/>
  <c r="D162" i="13"/>
  <c r="D149" i="13"/>
  <c r="E155" i="13"/>
  <c r="D154" i="13"/>
  <c r="D151" i="13"/>
  <c r="D153" i="13" s="1"/>
  <c r="E154" i="13"/>
  <c r="E151" i="13"/>
  <c r="E153" i="13" s="1"/>
  <c r="D155" i="13"/>
  <c r="D148" i="13"/>
  <c r="D150" i="13" s="1"/>
  <c r="E97" i="13"/>
  <c r="R32" i="17"/>
  <c r="R24" i="17"/>
  <c r="R15" i="17"/>
  <c r="R16" i="17"/>
  <c r="R17" i="17"/>
  <c r="R18" i="17"/>
  <c r="R14" i="17"/>
  <c r="D116" i="13"/>
  <c r="D115" i="13"/>
  <c r="D110" i="13"/>
  <c r="D114" i="13"/>
  <c r="D108" i="13"/>
  <c r="D109" i="13"/>
  <c r="D100" i="13"/>
  <c r="D99" i="13"/>
  <c r="D98" i="13"/>
  <c r="D163" i="13" l="1"/>
  <c r="D97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29" i="13"/>
  <c r="D128" i="13"/>
  <c r="D127" i="13"/>
  <c r="F129" i="17"/>
  <c r="F33" i="17"/>
  <c r="R107" i="17"/>
  <c r="R108" i="17"/>
  <c r="R109" i="17"/>
  <c r="R110" i="17"/>
  <c r="R111" i="17"/>
  <c r="R112" i="17"/>
  <c r="R82" i="17"/>
  <c r="R22" i="17"/>
  <c r="R31" i="17"/>
  <c r="R30" i="17"/>
  <c r="D7" i="15"/>
  <c r="D7" i="17"/>
  <c r="B134" i="17"/>
  <c r="B135" i="17" s="1"/>
  <c r="B136" i="17" s="1"/>
  <c r="B137" i="17" s="1"/>
  <c r="B138" i="17" s="1"/>
  <c r="B139" i="17" s="1"/>
  <c r="B140" i="17" s="1"/>
  <c r="R119" i="17"/>
  <c r="R118" i="17"/>
  <c r="R115" i="17"/>
  <c r="R114" i="17"/>
  <c r="R106" i="17"/>
  <c r="R105" i="17"/>
  <c r="R104" i="17"/>
  <c r="R103" i="17"/>
  <c r="R102" i="17"/>
  <c r="R101" i="17"/>
  <c r="R100" i="17"/>
  <c r="R99" i="17"/>
  <c r="R98" i="17"/>
  <c r="R97" i="17"/>
  <c r="R96" i="17"/>
  <c r="R94" i="17"/>
  <c r="R93" i="17"/>
  <c r="R92" i="17"/>
  <c r="R90" i="17"/>
  <c r="R89" i="17"/>
  <c r="R88" i="17"/>
  <c r="R87" i="17"/>
  <c r="R86" i="17"/>
  <c r="R85" i="17"/>
  <c r="R83" i="17"/>
  <c r="R81" i="17"/>
  <c r="R80" i="17"/>
  <c r="R79" i="17"/>
  <c r="R78" i="17"/>
  <c r="R77" i="17"/>
  <c r="R76" i="17"/>
  <c r="R75" i="17"/>
  <c r="R74" i="17"/>
  <c r="R73" i="17"/>
  <c r="R72" i="17"/>
  <c r="R70" i="17"/>
  <c r="R65" i="17"/>
  <c r="R64" i="17"/>
  <c r="R63" i="17"/>
  <c r="R62" i="17"/>
  <c r="R61" i="17"/>
  <c r="R60" i="17"/>
  <c r="R59" i="17"/>
  <c r="R58" i="17"/>
  <c r="R57" i="17"/>
  <c r="R56" i="17"/>
  <c r="R55" i="17"/>
  <c r="R54" i="17"/>
  <c r="R53" i="17"/>
  <c r="R52" i="17"/>
  <c r="R51" i="17"/>
  <c r="R50" i="17"/>
  <c r="R49" i="17"/>
  <c r="R47" i="17"/>
  <c r="R46" i="17"/>
  <c r="R45" i="17"/>
  <c r="R44" i="17"/>
  <c r="R43" i="17"/>
  <c r="R42" i="17"/>
  <c r="R41" i="17"/>
  <c r="R39" i="17"/>
  <c r="R38" i="17"/>
  <c r="B38" i="17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Q37" i="17"/>
  <c r="P37" i="17"/>
  <c r="O37" i="17"/>
  <c r="R37" i="17" s="1"/>
  <c r="N37" i="17"/>
  <c r="Q29" i="17"/>
  <c r="P29" i="17"/>
  <c r="O29" i="17"/>
  <c r="R29" i="17" s="1"/>
  <c r="N29" i="17"/>
  <c r="R28" i="17"/>
  <c r="R27" i="17"/>
  <c r="R26" i="17"/>
  <c r="R25" i="17"/>
  <c r="R23" i="17"/>
  <c r="R20" i="17"/>
  <c r="R12" i="17"/>
  <c r="B12" i="17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E128" i="13" l="1"/>
  <c r="E127" i="13"/>
  <c r="D121" i="13"/>
  <c r="D124" i="13"/>
  <c r="D120" i="13"/>
  <c r="D122" i="13"/>
  <c r="D123" i="13"/>
  <c r="D119" i="13"/>
  <c r="D118" i="13"/>
  <c r="D133" i="13"/>
  <c r="E133" i="13"/>
  <c r="E131" i="13"/>
  <c r="D130" i="13"/>
  <c r="E126" i="13"/>
  <c r="R130" i="17"/>
  <c r="E129" i="13"/>
  <c r="E119" i="13"/>
  <c r="E123" i="13"/>
  <c r="E122" i="13"/>
  <c r="E121" i="13"/>
  <c r="E124" i="13"/>
  <c r="E120" i="13"/>
  <c r="E118" i="13"/>
  <c r="D131" i="13"/>
  <c r="D132" i="13"/>
  <c r="B141" i="17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67" i="17" s="1"/>
  <c r="B268" i="17" s="1"/>
  <c r="B107" i="17"/>
  <c r="B108" i="17" s="1"/>
  <c r="B109" i="17" s="1"/>
  <c r="B110" i="17" s="1"/>
  <c r="B111" i="17" s="1"/>
  <c r="B112" i="17" s="1"/>
  <c r="R127" i="1"/>
  <c r="R128" i="1"/>
  <c r="D92" i="13"/>
  <c r="D91" i="13"/>
  <c r="D90" i="13"/>
  <c r="D89" i="13"/>
  <c r="D88" i="13"/>
  <c r="D87" i="13"/>
  <c r="D86" i="13"/>
  <c r="D81" i="13"/>
  <c r="R905" i="1"/>
  <c r="E18" i="13" s="1"/>
  <c r="R906" i="1"/>
  <c r="R907" i="1"/>
  <c r="R908" i="1"/>
  <c r="R909" i="1"/>
  <c r="R910" i="1"/>
  <c r="E19" i="13" s="1"/>
  <c r="R911" i="1"/>
  <c r="R912" i="1"/>
  <c r="R916" i="1"/>
  <c r="R918" i="1"/>
  <c r="R919" i="1"/>
  <c r="R920" i="1"/>
  <c r="R921" i="1"/>
  <c r="R922" i="1"/>
  <c r="R923" i="1"/>
  <c r="R925" i="1"/>
  <c r="R926" i="1"/>
  <c r="R927" i="1"/>
  <c r="R930" i="1"/>
  <c r="R932" i="1"/>
  <c r="R933" i="1"/>
  <c r="R934" i="1"/>
  <c r="R935" i="1"/>
  <c r="R937" i="1"/>
  <c r="R939" i="1"/>
  <c r="R940" i="1"/>
  <c r="R941" i="1"/>
  <c r="R942" i="1"/>
  <c r="N943" i="1"/>
  <c r="R943" i="1"/>
  <c r="P943" i="1"/>
  <c r="R944" i="1"/>
  <c r="P944" i="1"/>
  <c r="N945" i="1"/>
  <c r="R945" i="1"/>
  <c r="P945" i="1"/>
  <c r="N946" i="1"/>
  <c r="R946" i="1"/>
  <c r="P946" i="1"/>
  <c r="N947" i="1"/>
  <c r="R947" i="1"/>
  <c r="P947" i="1"/>
  <c r="N948" i="1"/>
  <c r="R948" i="1"/>
  <c r="P948" i="1"/>
  <c r="N949" i="1"/>
  <c r="R949" i="1"/>
  <c r="P949" i="1"/>
  <c r="N950" i="1"/>
  <c r="R950" i="1"/>
  <c r="P950" i="1"/>
  <c r="N951" i="1"/>
  <c r="R951" i="1"/>
  <c r="P951" i="1"/>
  <c r="N952" i="1"/>
  <c r="R952" i="1"/>
  <c r="P952" i="1"/>
  <c r="N953" i="1"/>
  <c r="R953" i="1"/>
  <c r="P953" i="1"/>
  <c r="N954" i="1"/>
  <c r="R954" i="1"/>
  <c r="P954" i="1"/>
  <c r="N955" i="1"/>
  <c r="R955" i="1"/>
  <c r="P955" i="1"/>
  <c r="N956" i="1"/>
  <c r="R956" i="1"/>
  <c r="P956" i="1"/>
  <c r="N957" i="1"/>
  <c r="R957" i="1"/>
  <c r="P957" i="1"/>
  <c r="N958" i="1"/>
  <c r="R958" i="1"/>
  <c r="P958" i="1"/>
  <c r="Q30" i="1"/>
  <c r="P30" i="1"/>
  <c r="R30" i="1"/>
  <c r="N30" i="1"/>
  <c r="E21" i="13" l="1"/>
  <c r="E20" i="13"/>
  <c r="E22" i="13"/>
  <c r="E23" i="13"/>
  <c r="E15" i="13"/>
  <c r="E16" i="13" s="1"/>
  <c r="B113" i="17"/>
  <c r="B114" i="17" s="1"/>
  <c r="B115" i="17" s="1"/>
  <c r="D176" i="13"/>
  <c r="E178" i="13"/>
  <c r="D177" i="13"/>
  <c r="D175" i="13"/>
  <c r="D174" i="13"/>
  <c r="D173" i="13"/>
  <c r="D172" i="13"/>
  <c r="D171" i="13"/>
  <c r="P27" i="15"/>
  <c r="O27" i="15"/>
  <c r="R27" i="15" s="1"/>
  <c r="N27" i="15"/>
  <c r="P26" i="15"/>
  <c r="O26" i="15"/>
  <c r="R26" i="15" s="1"/>
  <c r="E167" i="13" s="1"/>
  <c r="N26" i="15"/>
  <c r="R25" i="15"/>
  <c r="P24" i="15"/>
  <c r="O24" i="15"/>
  <c r="R24" i="15" s="1"/>
  <c r="N24" i="15"/>
  <c r="P23" i="15"/>
  <c r="O23" i="15"/>
  <c r="R23" i="15" s="1"/>
  <c r="Q22" i="15"/>
  <c r="P22" i="15"/>
  <c r="O22" i="15"/>
  <c r="R22" i="15" s="1"/>
  <c r="N22" i="15"/>
  <c r="Q21" i="15"/>
  <c r="P21" i="15"/>
  <c r="O21" i="15"/>
  <c r="R21" i="15" s="1"/>
  <c r="N21" i="15"/>
  <c r="Q20" i="15"/>
  <c r="P20" i="15"/>
  <c r="O20" i="15"/>
  <c r="R20" i="15" s="1"/>
  <c r="N20" i="15"/>
  <c r="Q19" i="15"/>
  <c r="P19" i="15"/>
  <c r="O19" i="15"/>
  <c r="R19" i="15" s="1"/>
  <c r="N19" i="15"/>
  <c r="P18" i="15"/>
  <c r="O18" i="15"/>
  <c r="R18" i="15" s="1"/>
  <c r="E166" i="13" s="1"/>
  <c r="F40" i="15"/>
  <c r="D79" i="13"/>
  <c r="B116" i="17" l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D178" i="13"/>
  <c r="E146" i="13"/>
  <c r="D112" i="13"/>
  <c r="E117" i="13"/>
  <c r="R19" i="3"/>
  <c r="R23" i="3" l="1"/>
  <c r="Q29" i="1" l="1"/>
  <c r="F32" i="1" l="1"/>
  <c r="E8" i="13" l="1"/>
  <c r="E11" i="13"/>
  <c r="E12" i="13"/>
  <c r="D12" i="13"/>
  <c r="D11" i="13"/>
  <c r="D10" i="13"/>
  <c r="D9" i="13"/>
  <c r="D8" i="13"/>
  <c r="D33" i="13"/>
  <c r="D13" i="13" l="1"/>
  <c r="D63" i="13"/>
  <c r="F175" i="3"/>
  <c r="D64" i="13"/>
  <c r="D65" i="13"/>
  <c r="D62" i="13"/>
  <c r="D61" i="13"/>
  <c r="O13" i="3"/>
  <c r="R13" i="3" s="1"/>
  <c r="P13" i="3"/>
  <c r="Q13" i="3"/>
  <c r="O14" i="3"/>
  <c r="R14" i="3" s="1"/>
  <c r="P14" i="3"/>
  <c r="Q14" i="3"/>
  <c r="O15" i="3"/>
  <c r="R15" i="3" s="1"/>
  <c r="P15" i="3"/>
  <c r="Q15" i="3"/>
  <c r="R16" i="3"/>
  <c r="R17" i="3"/>
  <c r="Q17" i="3"/>
  <c r="R20" i="3"/>
  <c r="Q20" i="3"/>
  <c r="R21" i="3"/>
  <c r="Q21" i="3"/>
  <c r="R22" i="3"/>
  <c r="Q22" i="3"/>
  <c r="R24" i="3"/>
  <c r="R25" i="3"/>
  <c r="Q25" i="3"/>
  <c r="R26" i="3"/>
  <c r="Q26" i="3"/>
  <c r="D66" i="13" l="1"/>
  <c r="Q11" i="3" l="1"/>
  <c r="P11" i="3"/>
  <c r="O11" i="3"/>
  <c r="R11" i="3" s="1"/>
  <c r="Q21" i="1" l="1"/>
  <c r="P21" i="1"/>
  <c r="R21" i="1"/>
  <c r="N21" i="1"/>
  <c r="B103" i="9" l="1"/>
  <c r="B104" i="9"/>
  <c r="B105" i="9"/>
  <c r="B106" i="9"/>
  <c r="B107" i="9" s="1"/>
  <c r="B108" i="9" s="1"/>
  <c r="B109" i="9" s="1"/>
  <c r="B110" i="9" s="1"/>
  <c r="B111" i="9" s="1"/>
  <c r="B112" i="9" s="1"/>
  <c r="B87" i="9"/>
  <c r="Q40" i="9" l="1"/>
  <c r="P40" i="9"/>
  <c r="N106" i="9" l="1"/>
  <c r="N107" i="9"/>
  <c r="N110" i="9"/>
  <c r="N111" i="9"/>
  <c r="N112" i="9"/>
  <c r="N113" i="9"/>
  <c r="D52" i="13" l="1"/>
  <c r="D51" i="13"/>
  <c r="D50" i="13"/>
  <c r="D49" i="13"/>
  <c r="D48" i="13"/>
  <c r="D47" i="13"/>
  <c r="D46" i="13"/>
  <c r="D45" i="13"/>
  <c r="D44" i="13"/>
  <c r="D43" i="13"/>
  <c r="D42" i="13"/>
  <c r="D40" i="13"/>
  <c r="D39" i="13"/>
  <c r="D38" i="13"/>
  <c r="D36" i="13"/>
  <c r="D35" i="13"/>
  <c r="D34" i="13"/>
  <c r="D111" i="13" l="1"/>
  <c r="D107" i="13"/>
  <c r="D106" i="13"/>
  <c r="D105" i="13"/>
  <c r="D104" i="13"/>
  <c r="D102" i="13"/>
  <c r="E101" i="13"/>
  <c r="D117" i="13" l="1"/>
  <c r="D101" i="13"/>
  <c r="N103" i="9" l="1"/>
  <c r="B12" i="9"/>
  <c r="B13" i="9" s="1"/>
  <c r="B14" i="9" s="1"/>
  <c r="B15" i="9" l="1"/>
  <c r="B16" i="9" s="1"/>
  <c r="B17" i="9" s="1"/>
  <c r="B18" i="9" s="1"/>
  <c r="P109" i="9" l="1"/>
  <c r="O109" i="9"/>
  <c r="P108" i="9"/>
  <c r="O108" i="9"/>
  <c r="P107" i="9"/>
  <c r="O107" i="9"/>
  <c r="P106" i="9"/>
  <c r="O106" i="9"/>
  <c r="P111" i="9" l="1"/>
  <c r="P112" i="9"/>
  <c r="P113" i="9"/>
  <c r="N104" i="9"/>
  <c r="N105" i="9"/>
  <c r="N23" i="9" l="1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12" i="9"/>
  <c r="N15" i="9"/>
  <c r="N17" i="9"/>
  <c r="Q16" i="9"/>
  <c r="P16" i="9"/>
  <c r="O16" i="9"/>
  <c r="N16" i="9"/>
  <c r="Q31" i="1" l="1"/>
  <c r="P31" i="1"/>
  <c r="R31" i="1"/>
  <c r="N31" i="1"/>
  <c r="N97" i="9" l="1"/>
  <c r="O97" i="9"/>
  <c r="P97" i="9"/>
  <c r="N98" i="9"/>
  <c r="O98" i="9"/>
  <c r="P98" i="9"/>
  <c r="N99" i="9"/>
  <c r="O99" i="9"/>
  <c r="P99" i="9"/>
  <c r="F19" i="9"/>
  <c r="P29" i="1" l="1"/>
  <c r="R29" i="1"/>
  <c r="N29" i="1"/>
  <c r="Q28" i="1"/>
  <c r="P28" i="1"/>
  <c r="R28" i="1"/>
  <c r="N28" i="1"/>
  <c r="P95" i="9" l="1"/>
  <c r="O95" i="9"/>
  <c r="N95" i="9"/>
  <c r="P94" i="9"/>
  <c r="O94" i="9"/>
  <c r="N94" i="9"/>
  <c r="P93" i="9"/>
  <c r="O93" i="9"/>
  <c r="N93" i="9"/>
  <c r="P92" i="9"/>
  <c r="O92" i="9"/>
  <c r="N92" i="9"/>
  <c r="P91" i="9"/>
  <c r="O91" i="9"/>
  <c r="N91" i="9"/>
  <c r="P104" i="9"/>
  <c r="O104" i="9"/>
  <c r="P105" i="9"/>
  <c r="O105" i="9"/>
  <c r="Q15" i="9" l="1"/>
  <c r="P15" i="9"/>
  <c r="O15" i="9"/>
  <c r="E125" i="13" l="1"/>
  <c r="F269" i="3" l="1"/>
  <c r="E74" i="13" s="1"/>
  <c r="E75" i="13" l="1"/>
  <c r="E73" i="13"/>
  <c r="E76" i="13"/>
  <c r="E70" i="13"/>
  <c r="E69" i="13"/>
  <c r="E77" i="13"/>
  <c r="E65" i="13"/>
  <c r="E67" i="13"/>
  <c r="E64" i="13"/>
  <c r="E72" i="13"/>
  <c r="E61" i="13"/>
  <c r="E68" i="13"/>
  <c r="E63" i="13"/>
  <c r="E71" i="13"/>
  <c r="N96" i="9"/>
  <c r="O111" i="9"/>
  <c r="O112" i="9"/>
  <c r="O113" i="9"/>
  <c r="N100" i="9"/>
  <c r="O100" i="9"/>
  <c r="P100" i="9"/>
  <c r="N101" i="9"/>
  <c r="O101" i="9"/>
  <c r="P101" i="9"/>
  <c r="N102" i="9"/>
  <c r="O102" i="9"/>
  <c r="P102" i="9"/>
  <c r="O103" i="9"/>
  <c r="P103" i="9"/>
  <c r="O110" i="9"/>
  <c r="P110" i="9"/>
  <c r="O65" i="9"/>
  <c r="P65" i="9"/>
  <c r="Q65" i="9"/>
  <c r="O66" i="9"/>
  <c r="P66" i="9"/>
  <c r="Q66" i="9"/>
  <c r="O67" i="9"/>
  <c r="P67" i="9"/>
  <c r="Q67" i="9"/>
  <c r="O68" i="9"/>
  <c r="P68" i="9"/>
  <c r="Q68" i="9"/>
  <c r="O69" i="9"/>
  <c r="P69" i="9"/>
  <c r="Q69" i="9"/>
  <c r="O70" i="9"/>
  <c r="P70" i="9"/>
  <c r="Q70" i="9"/>
  <c r="O71" i="9"/>
  <c r="P71" i="9"/>
  <c r="Q71" i="9"/>
  <c r="O72" i="9"/>
  <c r="P72" i="9"/>
  <c r="O12" i="9"/>
  <c r="P12" i="9"/>
  <c r="Q12" i="9"/>
  <c r="O17" i="9"/>
  <c r="P17" i="9"/>
  <c r="Q17" i="9"/>
  <c r="E80" i="13" l="1"/>
  <c r="N13" i="9"/>
  <c r="O13" i="9"/>
  <c r="P13" i="9"/>
  <c r="Q13" i="9"/>
  <c r="N14" i="9"/>
  <c r="O14" i="9"/>
  <c r="P14" i="9"/>
  <c r="Q14" i="9"/>
  <c r="N89" i="9" l="1"/>
  <c r="N90" i="9"/>
  <c r="D85" i="13" l="1"/>
  <c r="D84" i="13"/>
  <c r="D82" i="13"/>
  <c r="E83" i="13" l="1"/>
  <c r="E84" i="13" s="1"/>
  <c r="E86" i="13"/>
  <c r="E85" i="13"/>
  <c r="E81" i="13"/>
  <c r="E82" i="13" s="1"/>
  <c r="O96" i="9"/>
  <c r="P96" i="9"/>
  <c r="Q64" i="9" l="1"/>
  <c r="P64" i="9"/>
  <c r="O64" i="9"/>
  <c r="Q63" i="9"/>
  <c r="P63" i="9"/>
  <c r="O63" i="9"/>
  <c r="Q62" i="9"/>
  <c r="P62" i="9"/>
  <c r="O62" i="9"/>
  <c r="Q61" i="9"/>
  <c r="P61" i="9"/>
  <c r="O61" i="9"/>
  <c r="Q60" i="9"/>
  <c r="P60" i="9"/>
  <c r="O60" i="9"/>
  <c r="Q59" i="9"/>
  <c r="P59" i="9"/>
  <c r="O59" i="9"/>
  <c r="P90" i="9" l="1"/>
  <c r="O90" i="9"/>
  <c r="D41" i="13" l="1"/>
  <c r="Q18" i="9" l="1"/>
  <c r="P18" i="9"/>
  <c r="O18" i="9"/>
  <c r="N18" i="9"/>
  <c r="Q45" i="9" l="1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26" i="9"/>
  <c r="Q27" i="9"/>
  <c r="Q28" i="9"/>
  <c r="Q29" i="9"/>
  <c r="Q30" i="9"/>
  <c r="Q31" i="9"/>
  <c r="Q32" i="9"/>
  <c r="Q33" i="9"/>
  <c r="Q34" i="9"/>
  <c r="Q35" i="9"/>
  <c r="Q36" i="9"/>
  <c r="P89" i="9" l="1"/>
  <c r="O89" i="9"/>
  <c r="P88" i="9"/>
  <c r="O88" i="9"/>
  <c r="N88" i="9"/>
  <c r="P87" i="9"/>
  <c r="O87" i="9"/>
  <c r="N87" i="9"/>
  <c r="P86" i="9"/>
  <c r="O86" i="9"/>
  <c r="N86" i="9"/>
  <c r="D164" i="13" l="1"/>
  <c r="D168" i="13" l="1"/>
  <c r="B19" i="15"/>
  <c r="B20" i="15" s="1"/>
  <c r="B21" i="15" s="1"/>
  <c r="B22" i="15" s="1"/>
  <c r="F14" i="15"/>
  <c r="B12" i="15"/>
  <c r="B13" i="15" s="1"/>
  <c r="E170" i="13" l="1"/>
  <c r="E169" i="13"/>
  <c r="D165" i="13"/>
  <c r="E164" i="13"/>
  <c r="E165" i="13" s="1"/>
  <c r="B23" i="15"/>
  <c r="B24" i="15" s="1"/>
  <c r="B25" i="15" s="1"/>
  <c r="B26" i="15" s="1"/>
  <c r="B27" i="15" s="1"/>
  <c r="B28" i="15" s="1"/>
  <c r="B29" i="15" s="1"/>
  <c r="E168" i="13" l="1"/>
  <c r="B30" i="15"/>
  <c r="B31" i="15" s="1"/>
  <c r="B32" i="15" s="1"/>
  <c r="B33" i="15" s="1"/>
  <c r="B34" i="15" s="1"/>
  <c r="B35" i="15" l="1"/>
  <c r="B36" i="15" s="1"/>
  <c r="B37" i="15" s="1"/>
  <c r="B38" i="15" s="1"/>
  <c r="B39" i="15" s="1"/>
  <c r="B180" i="3" l="1"/>
  <c r="B181" i="3" s="1"/>
  <c r="B182" i="3" s="1"/>
  <c r="B183" i="3" l="1"/>
  <c r="B184" i="3" l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F28" i="3"/>
  <c r="E58" i="13" l="1"/>
  <c r="E59" i="13"/>
  <c r="E56" i="13"/>
  <c r="E57" i="13"/>
  <c r="E53" i="13"/>
  <c r="E54" i="13"/>
  <c r="E55" i="13"/>
  <c r="B211" i="3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l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E130" i="13"/>
  <c r="B239" i="3" l="1"/>
  <c r="B240" i="3" s="1"/>
  <c r="B241" i="3" s="1"/>
  <c r="B242" i="3" s="1"/>
  <c r="B243" i="3" s="1"/>
  <c r="B244" i="3" s="1"/>
  <c r="B245" i="3" l="1"/>
  <c r="B246" i="3" s="1"/>
  <c r="B247" i="3" s="1"/>
  <c r="B248" i="3" l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N26" i="1" l="1"/>
  <c r="R26" i="1"/>
  <c r="P26" i="1"/>
  <c r="Q26" i="1"/>
  <c r="Q43" i="9" l="1"/>
  <c r="R22" i="1" l="1"/>
  <c r="R23" i="1"/>
  <c r="R24" i="1"/>
  <c r="D77" i="13" l="1"/>
  <c r="D76" i="13"/>
  <c r="D125" i="13" l="1"/>
  <c r="N11" i="9" l="1"/>
  <c r="O11" i="9"/>
  <c r="P11" i="9"/>
  <c r="Q11" i="9"/>
  <c r="N19" i="1" l="1"/>
  <c r="R19" i="1"/>
  <c r="P19" i="1"/>
  <c r="Q19" i="1"/>
  <c r="N20" i="1"/>
  <c r="R20" i="1"/>
  <c r="P20" i="1"/>
  <c r="Q20" i="1"/>
  <c r="R12" i="1" l="1"/>
  <c r="N13" i="1"/>
  <c r="R13" i="1"/>
  <c r="P13" i="1"/>
  <c r="Q13" i="1"/>
  <c r="N14" i="1"/>
  <c r="R14" i="1"/>
  <c r="P14" i="1"/>
  <c r="Q14" i="1"/>
  <c r="N15" i="1"/>
  <c r="R15" i="1"/>
  <c r="P15" i="1"/>
  <c r="Q15" i="1"/>
  <c r="Q75" i="9"/>
  <c r="P75" i="9"/>
  <c r="O75" i="9"/>
  <c r="N75" i="9"/>
  <c r="Q74" i="9"/>
  <c r="P74" i="9"/>
  <c r="O74" i="9"/>
  <c r="N74" i="9"/>
  <c r="Q73" i="9"/>
  <c r="P73" i="9"/>
  <c r="O73" i="9"/>
  <c r="N73" i="9"/>
  <c r="B88" i="9" l="1"/>
  <c r="B89" i="9" l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F114" i="9" l="1"/>
  <c r="F76" i="9"/>
  <c r="B101" i="9" l="1"/>
  <c r="B102" i="9" s="1"/>
  <c r="B113" i="9" s="1"/>
  <c r="O27" i="9"/>
  <c r="P27" i="9"/>
  <c r="O28" i="9"/>
  <c r="P28" i="9"/>
  <c r="O29" i="9"/>
  <c r="P29" i="9"/>
  <c r="O30" i="9"/>
  <c r="P30" i="9"/>
  <c r="O31" i="9"/>
  <c r="P31" i="9"/>
  <c r="O32" i="9"/>
  <c r="P32" i="9"/>
  <c r="O33" i="9"/>
  <c r="P33" i="9"/>
  <c r="O34" i="9"/>
  <c r="P34" i="9"/>
  <c r="O35" i="9"/>
  <c r="P35" i="9"/>
  <c r="O36" i="9"/>
  <c r="P36" i="9"/>
  <c r="O37" i="9"/>
  <c r="P37" i="9"/>
  <c r="Q37" i="9"/>
  <c r="O38" i="9"/>
  <c r="P38" i="9"/>
  <c r="Q38" i="9"/>
  <c r="O39" i="9"/>
  <c r="P39" i="9"/>
  <c r="Q39" i="9"/>
  <c r="O40" i="9"/>
  <c r="D57" i="13" l="1"/>
  <c r="Q44" i="9" l="1"/>
  <c r="Q42" i="9"/>
  <c r="Q41" i="9"/>
  <c r="Q25" i="9"/>
  <c r="Q24" i="9"/>
  <c r="Q23" i="9"/>
  <c r="Q25" i="1"/>
  <c r="P25" i="1"/>
  <c r="R25" i="1"/>
  <c r="N25" i="1"/>
  <c r="Q18" i="1"/>
  <c r="P18" i="1"/>
  <c r="R18" i="1"/>
  <c r="N18" i="1"/>
  <c r="Q17" i="1"/>
  <c r="P17" i="1"/>
  <c r="R17" i="1"/>
  <c r="E9" i="13" s="1"/>
  <c r="N17" i="1"/>
  <c r="Q16" i="1"/>
  <c r="P16" i="1"/>
  <c r="R16" i="1"/>
  <c r="E10" i="13" s="1"/>
  <c r="N16" i="1"/>
  <c r="E13" i="13" l="1"/>
  <c r="R47" i="3"/>
  <c r="E62" i="13" s="1"/>
  <c r="O23" i="9" l="1"/>
  <c r="P23" i="9"/>
  <c r="O24" i="9"/>
  <c r="P24" i="9"/>
  <c r="O25" i="9"/>
  <c r="P25" i="9"/>
  <c r="O26" i="9"/>
  <c r="P26" i="9"/>
  <c r="O41" i="9"/>
  <c r="P41" i="9"/>
  <c r="O42" i="9"/>
  <c r="P42" i="9"/>
  <c r="O43" i="9"/>
  <c r="P43" i="9"/>
  <c r="O44" i="9"/>
  <c r="P44" i="9"/>
  <c r="O45" i="9"/>
  <c r="P45" i="9"/>
  <c r="O46" i="9"/>
  <c r="P46" i="9"/>
  <c r="O47" i="9"/>
  <c r="P47" i="9"/>
  <c r="O48" i="9"/>
  <c r="P48" i="9"/>
  <c r="O49" i="9"/>
  <c r="P49" i="9"/>
  <c r="O50" i="9"/>
  <c r="P50" i="9"/>
  <c r="O51" i="9"/>
  <c r="P51" i="9"/>
  <c r="O52" i="9"/>
  <c r="P52" i="9"/>
  <c r="O53" i="9"/>
  <c r="P53" i="9"/>
  <c r="O54" i="9"/>
  <c r="P54" i="9"/>
  <c r="P58" i="9" l="1"/>
  <c r="O58" i="9"/>
  <c r="P57" i="9"/>
  <c r="O57" i="9"/>
  <c r="P56" i="9"/>
  <c r="O56" i="9"/>
  <c r="P55" i="9"/>
  <c r="O55" i="9"/>
  <c r="B4" i="13" l="1"/>
  <c r="D146" i="13" l="1"/>
  <c r="E66" i="13" l="1"/>
  <c r="B24" i="9" l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F82" i="9"/>
  <c r="B55" i="9" l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A3" i="14" l="1"/>
  <c r="D74" i="13" l="1"/>
  <c r="D78" i="13"/>
  <c r="D73" i="13"/>
  <c r="D71" i="13"/>
  <c r="D70" i="13"/>
  <c r="D69" i="13"/>
  <c r="D53" i="13" l="1"/>
  <c r="D58" i="13"/>
  <c r="D59" i="13"/>
  <c r="D55" i="13"/>
  <c r="D54" i="13"/>
  <c r="D56" i="13"/>
  <c r="E60" i="13" l="1"/>
  <c r="D75" i="13"/>
  <c r="D72" i="13"/>
  <c r="D67" i="13"/>
  <c r="D68" i="13"/>
  <c r="D80" i="13" l="1"/>
  <c r="D60" i="13"/>
  <c r="B127" i="1" l="1"/>
  <c r="D7" i="5"/>
  <c r="D7" i="3"/>
  <c r="D7" i="9"/>
  <c r="B128" i="1" l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D16" i="13"/>
  <c r="D37" i="13" l="1"/>
  <c r="B33" i="3" l="1"/>
  <c r="B34" i="3" s="1"/>
  <c r="B35" i="3" s="1"/>
  <c r="B36" i="3" s="1"/>
  <c r="B37" i="3" s="1"/>
  <c r="B38" i="3" s="1"/>
  <c r="B12" i="3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E41" i="13"/>
  <c r="E37" i="13"/>
  <c r="B176" i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905" i="1"/>
  <c r="B906" i="1" s="1"/>
  <c r="B907" i="1" s="1"/>
  <c r="B908" i="1" s="1"/>
  <c r="B909" i="1" s="1"/>
  <c r="B910" i="1" s="1"/>
  <c r="B81" i="9"/>
  <c r="B24" i="3" l="1"/>
  <c r="B25" i="3" s="1"/>
  <c r="B26" i="3" s="1"/>
  <c r="B39" i="3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911" i="1"/>
  <c r="B912" i="1" s="1"/>
  <c r="B913" i="1" s="1"/>
  <c r="B914" i="1" s="1"/>
  <c r="B915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916" i="1" l="1"/>
  <c r="B917" i="1" s="1"/>
  <c r="B918" i="1" s="1"/>
  <c r="B25" i="1"/>
  <c r="B26" i="1" s="1"/>
  <c r="B27" i="1" s="1"/>
  <c r="B28" i="1" s="1"/>
  <c r="B29" i="1" s="1"/>
  <c r="B30" i="1" s="1"/>
  <c r="B31" i="1" s="1"/>
  <c r="B919" i="1" l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l="1"/>
  <c r="B947" i="1" s="1"/>
  <c r="B948" i="1" s="1"/>
  <c r="B949" i="1" s="1"/>
  <c r="B950" i="1" s="1"/>
  <c r="B951" i="1" l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l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l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l="1"/>
  <c r="B1068" i="1" s="1"/>
  <c r="B1069" i="1" s="1"/>
  <c r="B1070" i="1" s="1"/>
  <c r="B1071" i="1" s="1"/>
  <c r="B1072" i="1" s="1"/>
  <c r="B1073" i="1" s="1"/>
  <c r="B1074" i="1" s="1"/>
  <c r="B1075" i="1" s="1"/>
  <c r="B1076" i="1" l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</calcChain>
</file>

<file path=xl/sharedStrings.xml><?xml version="1.0" encoding="utf-8"?>
<sst xmlns="http://schemas.openxmlformats.org/spreadsheetml/2006/main" count="10429" uniqueCount="2705">
  <si>
    <t>I</t>
  </si>
  <si>
    <t>ALAT LOADING</t>
  </si>
  <si>
    <t>NO</t>
  </si>
  <si>
    <t>OWNER</t>
  </si>
  <si>
    <t>CN</t>
  </si>
  <si>
    <t>MERK</t>
  </si>
  <si>
    <t>TYPE</t>
  </si>
  <si>
    <t>YEAR</t>
  </si>
  <si>
    <t>ACTIVITY</t>
  </si>
  <si>
    <t>CAPACITY</t>
  </si>
  <si>
    <t>PAMA</t>
  </si>
  <si>
    <t>HITACHI</t>
  </si>
  <si>
    <t>EX2500-5</t>
  </si>
  <si>
    <t>LOADING</t>
  </si>
  <si>
    <t>EX2500-6</t>
  </si>
  <si>
    <t>KOMATSU</t>
  </si>
  <si>
    <t>6.7 M3</t>
  </si>
  <si>
    <t>PC1250SP8</t>
  </si>
  <si>
    <t>PC2000-8</t>
  </si>
  <si>
    <t>14 M3</t>
  </si>
  <si>
    <t>EX1729</t>
  </si>
  <si>
    <t>EX1738</t>
  </si>
  <si>
    <t>Total</t>
  </si>
  <si>
    <t>II</t>
  </si>
  <si>
    <t>ALAT ANGKUT (HAULER)</t>
  </si>
  <si>
    <t>HAULING</t>
  </si>
  <si>
    <t>40 BCM</t>
  </si>
  <si>
    <t>HD785-5</t>
  </si>
  <si>
    <t>HD785-7 Mud</t>
  </si>
  <si>
    <t>DT3147</t>
  </si>
  <si>
    <t>HD785-7</t>
  </si>
  <si>
    <t>DT3163</t>
  </si>
  <si>
    <t>DT3339</t>
  </si>
  <si>
    <t>DT3376</t>
  </si>
  <si>
    <t>DT3428</t>
  </si>
  <si>
    <t>DT3437</t>
  </si>
  <si>
    <t>DT3454</t>
  </si>
  <si>
    <t>DT3476</t>
  </si>
  <si>
    <t>DT3477</t>
  </si>
  <si>
    <t>DT3478</t>
  </si>
  <si>
    <t>DT3482</t>
  </si>
  <si>
    <t>DT3492</t>
  </si>
  <si>
    <t>DT3493</t>
  </si>
  <si>
    <t>DT3494</t>
  </si>
  <si>
    <t>DT3515</t>
  </si>
  <si>
    <t>DT3546</t>
  </si>
  <si>
    <t>DT3549</t>
  </si>
  <si>
    <t>DT3551</t>
  </si>
  <si>
    <t>DT3555</t>
  </si>
  <si>
    <t>DT3556</t>
  </si>
  <si>
    <t>DT3615</t>
  </si>
  <si>
    <t>DT3761</t>
  </si>
  <si>
    <t>DT3769</t>
  </si>
  <si>
    <t>DT3827</t>
  </si>
  <si>
    <t>DT3868</t>
  </si>
  <si>
    <t>DT3973</t>
  </si>
  <si>
    <t>DT3974</t>
  </si>
  <si>
    <t>DT3980</t>
  </si>
  <si>
    <t>DT3982</t>
  </si>
  <si>
    <t>DT4179</t>
  </si>
  <si>
    <t>DT4266</t>
  </si>
  <si>
    <t>DT4268</t>
  </si>
  <si>
    <t>DT4269</t>
  </si>
  <si>
    <t>DT4279</t>
  </si>
  <si>
    <t>DT4280</t>
  </si>
  <si>
    <t>DT4281</t>
  </si>
  <si>
    <t>DT4295</t>
  </si>
  <si>
    <t>DT4296</t>
  </si>
  <si>
    <t>DT3983</t>
  </si>
  <si>
    <t>DT3984</t>
  </si>
  <si>
    <t>DT3985</t>
  </si>
  <si>
    <t>DT3988</t>
  </si>
  <si>
    <t>DT4006</t>
  </si>
  <si>
    <t>DT4007</t>
  </si>
  <si>
    <t>DT4031</t>
  </si>
  <si>
    <t>DT4032</t>
  </si>
  <si>
    <t>DT4033</t>
  </si>
  <si>
    <t>DT4034</t>
  </si>
  <si>
    <t>DT4035</t>
  </si>
  <si>
    <t>DT4037</t>
  </si>
  <si>
    <t>DT4038</t>
  </si>
  <si>
    <t>DT4139</t>
  </si>
  <si>
    <t>DT4140</t>
  </si>
  <si>
    <t>DT4149</t>
  </si>
  <si>
    <t>DT4150</t>
  </si>
  <si>
    <t>DT4198</t>
  </si>
  <si>
    <t>DT4199</t>
  </si>
  <si>
    <t>DT4200</t>
  </si>
  <si>
    <t>DT4316</t>
  </si>
  <si>
    <t>DT4319</t>
  </si>
  <si>
    <t>DT4320</t>
  </si>
  <si>
    <t>DT4321</t>
  </si>
  <si>
    <t>DT4323</t>
  </si>
  <si>
    <t>DT4324</t>
  </si>
  <si>
    <t>DT4325</t>
  </si>
  <si>
    <t>III</t>
  </si>
  <si>
    <t>ALAT SUPPORT</t>
  </si>
  <si>
    <t>WA600-3</t>
  </si>
  <si>
    <t>W/LOADING</t>
  </si>
  <si>
    <t>5.0 m3</t>
  </si>
  <si>
    <t>WL429</t>
  </si>
  <si>
    <t>WL253</t>
  </si>
  <si>
    <t>WA380</t>
  </si>
  <si>
    <t>3.0 m3</t>
  </si>
  <si>
    <t>REEDRILL</t>
  </si>
  <si>
    <t>SKF50</t>
  </si>
  <si>
    <t>DRILLING</t>
  </si>
  <si>
    <t>DR057</t>
  </si>
  <si>
    <t>DR076</t>
  </si>
  <si>
    <t>SKF11</t>
  </si>
  <si>
    <t>DR090</t>
  </si>
  <si>
    <t>DR101</t>
  </si>
  <si>
    <t>DR102</t>
  </si>
  <si>
    <t>D85ESS-2</t>
  </si>
  <si>
    <t>DOZING</t>
  </si>
  <si>
    <t>320 HP</t>
  </si>
  <si>
    <t>D155A6A</t>
  </si>
  <si>
    <t>DZ1047</t>
  </si>
  <si>
    <t>DZ1048</t>
  </si>
  <si>
    <t>DZ1079</t>
  </si>
  <si>
    <t>DZ1080</t>
  </si>
  <si>
    <t>DZ1085</t>
  </si>
  <si>
    <t>DZ1089</t>
  </si>
  <si>
    <t>D155A6R</t>
  </si>
  <si>
    <t>DZ1097</t>
  </si>
  <si>
    <t>DZ1102</t>
  </si>
  <si>
    <t>D375A-5</t>
  </si>
  <si>
    <t>525 HP</t>
  </si>
  <si>
    <t>DZ412</t>
  </si>
  <si>
    <t>DZ448</t>
  </si>
  <si>
    <t>DZ465</t>
  </si>
  <si>
    <t>D375A-6R</t>
  </si>
  <si>
    <t>DZ470</t>
  </si>
  <si>
    <t>DZ476</t>
  </si>
  <si>
    <t>CATERPILLAR</t>
  </si>
  <si>
    <t>GRADING</t>
  </si>
  <si>
    <t>GD825A-2</t>
  </si>
  <si>
    <t>280 HP</t>
  </si>
  <si>
    <t>GR356</t>
  </si>
  <si>
    <t>GR357</t>
  </si>
  <si>
    <t>GR364</t>
  </si>
  <si>
    <t>GR368</t>
  </si>
  <si>
    <t>GR370</t>
  </si>
  <si>
    <t>GR374</t>
  </si>
  <si>
    <t>GR385</t>
  </si>
  <si>
    <t>GR395</t>
  </si>
  <si>
    <t>GR420</t>
  </si>
  <si>
    <t>GR454</t>
  </si>
  <si>
    <t>SPRAYING</t>
  </si>
  <si>
    <t>80000 Lt</t>
  </si>
  <si>
    <t>Fuel Truck</t>
  </si>
  <si>
    <t>FUELING</t>
  </si>
  <si>
    <t>50 Ton</t>
  </si>
  <si>
    <t>Lubrication Truck</t>
  </si>
  <si>
    <t>ANFO Truck</t>
  </si>
  <si>
    <t>Water Pump</t>
  </si>
  <si>
    <t>Mud Pump</t>
  </si>
  <si>
    <t>Genset</t>
  </si>
  <si>
    <t>VOLVO</t>
  </si>
  <si>
    <t>NISSAN</t>
  </si>
  <si>
    <t>EX2600-6</t>
  </si>
  <si>
    <t>DZ508</t>
  </si>
  <si>
    <t>GR458</t>
  </si>
  <si>
    <t>GR459</t>
  </si>
  <si>
    <t>GR461</t>
  </si>
  <si>
    <t>EX1200-5C</t>
  </si>
  <si>
    <t>ALAT HAULING</t>
  </si>
  <si>
    <t>CAT 777D</t>
  </si>
  <si>
    <t>D6R</t>
  </si>
  <si>
    <t>D9R</t>
  </si>
  <si>
    <t>D10R</t>
  </si>
  <si>
    <t>GD825A</t>
  </si>
  <si>
    <t>PC 2000-8</t>
  </si>
  <si>
    <t>777D</t>
  </si>
  <si>
    <t>D7G</t>
  </si>
  <si>
    <t>REMARKS</t>
  </si>
  <si>
    <t>Hitachi</t>
  </si>
  <si>
    <t>Volvo</t>
  </si>
  <si>
    <t>Scania</t>
  </si>
  <si>
    <t>Komatsu</t>
  </si>
  <si>
    <t>Toyota</t>
  </si>
  <si>
    <t>Hino</t>
  </si>
  <si>
    <t>EQUIPMENT FOR WASTE OPERATIONAL REPORT</t>
  </si>
  <si>
    <t xml:space="preserve"> </t>
  </si>
  <si>
    <t>I.</t>
  </si>
  <si>
    <t>PT. Pamapersada Nusantara</t>
  </si>
  <si>
    <t>II.</t>
  </si>
  <si>
    <t>PT. Bukit Makmur Mandiri Utama</t>
  </si>
  <si>
    <t>III.</t>
  </si>
  <si>
    <t>IV.</t>
  </si>
  <si>
    <t>V.</t>
  </si>
  <si>
    <t>PT. Petrosea, Tbk</t>
  </si>
  <si>
    <t>KIDECO PRODUCTION TEAM</t>
  </si>
  <si>
    <t>BUMA</t>
  </si>
  <si>
    <t>HDKM78256</t>
  </si>
  <si>
    <t>HDKM78257</t>
  </si>
  <si>
    <t>HDKM78379</t>
  </si>
  <si>
    <t>HDKM78388</t>
  </si>
  <si>
    <t>HDKM78241</t>
  </si>
  <si>
    <t>HDKM78260</t>
  </si>
  <si>
    <t>HDKM78267</t>
  </si>
  <si>
    <t>HDKM78268</t>
  </si>
  <si>
    <t>HDKM78378</t>
  </si>
  <si>
    <t>HDKM78391</t>
  </si>
  <si>
    <t>HDKM78395</t>
  </si>
  <si>
    <t>ALAT SUPPORT HAULING</t>
  </si>
  <si>
    <t>SUPPORT</t>
  </si>
  <si>
    <t>IV</t>
  </si>
  <si>
    <t>DOOSAN</t>
  </si>
  <si>
    <t>D155A-6</t>
  </si>
  <si>
    <t>900 BCM/JAM</t>
  </si>
  <si>
    <t>1600 BCM/JAM</t>
  </si>
  <si>
    <t>D375-6R</t>
  </si>
  <si>
    <t>350 BCM/JAM</t>
  </si>
  <si>
    <t>GDKM82038</t>
  </si>
  <si>
    <t>GDKM82062</t>
  </si>
  <si>
    <t>WD600-3</t>
  </si>
  <si>
    <t>W/DOZING</t>
  </si>
  <si>
    <t>DM45-LP</t>
  </si>
  <si>
    <t>DM45E</t>
  </si>
  <si>
    <t>WTVV44002</t>
  </si>
  <si>
    <t>FM440</t>
  </si>
  <si>
    <t>BDKM15094</t>
  </si>
  <si>
    <t>GDKM82020</t>
  </si>
  <si>
    <t>30.000 LITER</t>
  </si>
  <si>
    <t>SCANIA</t>
  </si>
  <si>
    <t>CWB45ALDN</t>
  </si>
  <si>
    <t>D85ESS</t>
  </si>
  <si>
    <t>Water Truck</t>
  </si>
  <si>
    <t>EX 1900-6</t>
  </si>
  <si>
    <t>EX1200-6C</t>
  </si>
  <si>
    <t>Excavator</t>
  </si>
  <si>
    <t>Bulldozer</t>
  </si>
  <si>
    <t>Drilling</t>
  </si>
  <si>
    <t>Compressor</t>
  </si>
  <si>
    <t>GDKM82064</t>
  </si>
  <si>
    <t>0,8 M3</t>
  </si>
  <si>
    <t>Pit Service</t>
  </si>
  <si>
    <t>EX1117</t>
  </si>
  <si>
    <t>CONTRACTORS</t>
  </si>
  <si>
    <t>EQUIPMENT USAGE</t>
  </si>
  <si>
    <t>HOLDING</t>
  </si>
  <si>
    <t>READY FOR USE</t>
  </si>
  <si>
    <t>TOTAL</t>
  </si>
  <si>
    <t>Motor Grader</t>
  </si>
  <si>
    <t>PT BUMA</t>
  </si>
  <si>
    <t>WASTE</t>
  </si>
  <si>
    <t>Wheel Loader</t>
  </si>
  <si>
    <t>HDKM78327</t>
  </si>
  <si>
    <t>LAPORAN POPULASI UNIT</t>
  </si>
  <si>
    <t>Kontraktor</t>
  </si>
  <si>
    <t>Pit</t>
  </si>
  <si>
    <t>District Kideco Jaya Agung</t>
  </si>
  <si>
    <t>East Kalimantan</t>
  </si>
  <si>
    <t>Lokasi</t>
  </si>
  <si>
    <t>Periode</t>
  </si>
  <si>
    <t>PT. Iwaco jaya Abadi</t>
  </si>
  <si>
    <t>PT. Mandiri Herindo Adiperkasa</t>
  </si>
  <si>
    <t>PT. Kembar Abadi Utama</t>
  </si>
  <si>
    <t>Susubang</t>
  </si>
  <si>
    <t>( Waste Operational Unit )</t>
  </si>
  <si>
    <t>PT. Sims Jaya Kaltim</t>
  </si>
  <si>
    <t>WH</t>
  </si>
  <si>
    <t>MA</t>
  </si>
  <si>
    <t>PA</t>
  </si>
  <si>
    <t>UA</t>
  </si>
  <si>
    <t>PRODUCTIVITY</t>
  </si>
  <si>
    <t>BCM</t>
  </si>
  <si>
    <t>BD</t>
  </si>
  <si>
    <t>SB</t>
  </si>
  <si>
    <t>EXKM21029</t>
  </si>
  <si>
    <t>Data Source : Update from Contractors</t>
  </si>
  <si>
    <t>Cat 14H</t>
  </si>
  <si>
    <t>Cat 16H</t>
  </si>
  <si>
    <t>Cat 16M</t>
  </si>
  <si>
    <t>General</t>
  </si>
  <si>
    <t>Welding Machine</t>
  </si>
  <si>
    <t>ATLAS COPCO</t>
  </si>
  <si>
    <t>Departemen</t>
  </si>
  <si>
    <t>Produksi</t>
  </si>
  <si>
    <t>No. Form</t>
  </si>
  <si>
    <t>Tgl. Pembuatan</t>
  </si>
  <si>
    <t>No/Tgl. Revisi</t>
  </si>
  <si>
    <t>Summary Contractors Equipment Status (Waste)</t>
  </si>
  <si>
    <t>No. Form : FM/PROD-018</t>
  </si>
  <si>
    <t>BDKM37061</t>
  </si>
  <si>
    <t>HDKM78392</t>
  </si>
  <si>
    <t>DT3489</t>
  </si>
  <si>
    <t>DMAC45027</t>
  </si>
  <si>
    <t>BDKM37065</t>
  </si>
  <si>
    <t>DT3970</t>
  </si>
  <si>
    <t>DT3971</t>
  </si>
  <si>
    <t>DT3976</t>
  </si>
  <si>
    <t>DT3977</t>
  </si>
  <si>
    <t>DT3978</t>
  </si>
  <si>
    <t>DT3981</t>
  </si>
  <si>
    <t>DT4176</t>
  </si>
  <si>
    <t>Doosan 500</t>
  </si>
  <si>
    <t>DT3166</t>
  </si>
  <si>
    <t>DT3279</t>
  </si>
  <si>
    <t>DT4377</t>
  </si>
  <si>
    <t>DT4378</t>
  </si>
  <si>
    <t>DT4552</t>
  </si>
  <si>
    <t>DT4590</t>
  </si>
  <si>
    <t>DT4591</t>
  </si>
  <si>
    <t>R9350</t>
  </si>
  <si>
    <t>DT3153</t>
  </si>
  <si>
    <t>DT3350</t>
  </si>
  <si>
    <t>DT3421</t>
  </si>
  <si>
    <t>DT3510</t>
  </si>
  <si>
    <t>DZ1114</t>
  </si>
  <si>
    <t>DZ1185</t>
  </si>
  <si>
    <t>GR375</t>
  </si>
  <si>
    <t>EX1712</t>
  </si>
  <si>
    <t>Cat 14M</t>
  </si>
  <si>
    <t>WDKM60002</t>
  </si>
  <si>
    <t>90.000 LITER</t>
  </si>
  <si>
    <t>MULTIFLO</t>
  </si>
  <si>
    <t>PUMPING</t>
  </si>
  <si>
    <t>HINO</t>
  </si>
  <si>
    <t>EXCT61009</t>
  </si>
  <si>
    <t>6015B</t>
  </si>
  <si>
    <t>EXCT61010</t>
  </si>
  <si>
    <t>DT3313</t>
  </si>
  <si>
    <t>DT3398</t>
  </si>
  <si>
    <t>DT3399</t>
  </si>
  <si>
    <t>Cat6015B</t>
  </si>
  <si>
    <t>DT3149</t>
  </si>
  <si>
    <t>EXCT61011</t>
  </si>
  <si>
    <t>EX1798</t>
  </si>
  <si>
    <t>ANFO &amp; MMU Truck</t>
  </si>
  <si>
    <t>Compactor</t>
  </si>
  <si>
    <t>Crane</t>
  </si>
  <si>
    <t>Fork Lift</t>
  </si>
  <si>
    <t>Vibratory Roller</t>
  </si>
  <si>
    <t>Lighting Tower</t>
  </si>
  <si>
    <t>DT4705</t>
  </si>
  <si>
    <t>DT4707</t>
  </si>
  <si>
    <t>777E</t>
  </si>
  <si>
    <t>PT. Karebet Mas Indonesia</t>
  </si>
  <si>
    <t>SM B</t>
  </si>
  <si>
    <t>EX-5006</t>
  </si>
  <si>
    <t>PT.KMI</t>
  </si>
  <si>
    <t>S500LC-V</t>
  </si>
  <si>
    <t>EX-5022</t>
  </si>
  <si>
    <t>EX-5029</t>
  </si>
  <si>
    <t>DT-3007</t>
  </si>
  <si>
    <t>DT-3009</t>
  </si>
  <si>
    <t>DT-3020</t>
  </si>
  <si>
    <t>D85E-SS-2</t>
  </si>
  <si>
    <t>DZ-8024</t>
  </si>
  <si>
    <t>MG-5108</t>
  </si>
  <si>
    <t>GD511A-1</t>
  </si>
  <si>
    <t>TOWER LAMP</t>
  </si>
  <si>
    <t>TL-05</t>
  </si>
  <si>
    <t>TL-06</t>
  </si>
  <si>
    <t>Support</t>
  </si>
  <si>
    <t>HDCT77259</t>
  </si>
  <si>
    <t>OHT-777E</t>
  </si>
  <si>
    <t>HDCT77261</t>
  </si>
  <si>
    <t>HDCT77262</t>
  </si>
  <si>
    <t>HDCT77263</t>
  </si>
  <si>
    <t>HDCT77264</t>
  </si>
  <si>
    <t>HDCT77265</t>
  </si>
  <si>
    <t>HDCT77266</t>
  </si>
  <si>
    <t>HDCT77267</t>
  </si>
  <si>
    <t>HDCT77260</t>
  </si>
  <si>
    <t>HDCT77268</t>
  </si>
  <si>
    <t>HDCT77270</t>
  </si>
  <si>
    <t>HDCT77271</t>
  </si>
  <si>
    <t>HDCT77272</t>
  </si>
  <si>
    <t>HDCT77282</t>
  </si>
  <si>
    <t>HDCT77283</t>
  </si>
  <si>
    <t>BDKM15164</t>
  </si>
  <si>
    <t>BDKM15165</t>
  </si>
  <si>
    <t>1600 BCM/Jam</t>
  </si>
  <si>
    <t>BDKM83224</t>
  </si>
  <si>
    <t>HDCT77279</t>
  </si>
  <si>
    <t>HDCT77285</t>
  </si>
  <si>
    <t>HDCT77286</t>
  </si>
  <si>
    <t>HDCT77287</t>
  </si>
  <si>
    <t>HDCT77288</t>
  </si>
  <si>
    <t>HDCT77289</t>
  </si>
  <si>
    <t>HDCT77291</t>
  </si>
  <si>
    <t>HDCT77292</t>
  </si>
  <si>
    <t>HDCT77293</t>
  </si>
  <si>
    <t>HDCT77294</t>
  </si>
  <si>
    <t>HDCT77295</t>
  </si>
  <si>
    <t>HDCT77290</t>
  </si>
  <si>
    <t>HDCT77298</t>
  </si>
  <si>
    <t>HDCT77302</t>
  </si>
  <si>
    <t>HDCT77303</t>
  </si>
  <si>
    <t>HDCT77305</t>
  </si>
  <si>
    <t>HDCT77306</t>
  </si>
  <si>
    <t>HDCT77307</t>
  </si>
  <si>
    <t>HDCT77308</t>
  </si>
  <si>
    <t>DR100</t>
  </si>
  <si>
    <t>DZ1105</t>
  </si>
  <si>
    <t>DT3145</t>
  </si>
  <si>
    <t>DT3184</t>
  </si>
  <si>
    <t>DT3186</t>
  </si>
  <si>
    <t>DT3503</t>
  </si>
  <si>
    <t>DT3518</t>
  </si>
  <si>
    <t>CAT 777E</t>
  </si>
  <si>
    <t>EXCT62009</t>
  </si>
  <si>
    <t>Cat6020B</t>
  </si>
  <si>
    <t>6020B</t>
  </si>
  <si>
    <t>EXCT62012</t>
  </si>
  <si>
    <t>EXCT62011</t>
  </si>
  <si>
    <t>12 m3 / 15 BCM</t>
  </si>
  <si>
    <t>6.7 m3 / 8.75 BCM</t>
  </si>
  <si>
    <t>Mercy</t>
  </si>
  <si>
    <t>EXCT62013</t>
  </si>
  <si>
    <t>EX1159</t>
  </si>
  <si>
    <t>GDKM82051</t>
  </si>
  <si>
    <t>HD785-7 WT</t>
  </si>
  <si>
    <t>HWKM78007</t>
  </si>
  <si>
    <t>HWKM78008</t>
  </si>
  <si>
    <t>MFC-385</t>
  </si>
  <si>
    <t>MF-420E</t>
  </si>
  <si>
    <t>EXKM20172</t>
  </si>
  <si>
    <t>PC200-8 LCC</t>
  </si>
  <si>
    <t>BDKM15172</t>
  </si>
  <si>
    <t>BDKM37110</t>
  </si>
  <si>
    <t>BDKM83233</t>
  </si>
  <si>
    <t>GDKM82097</t>
  </si>
  <si>
    <t>WDKM60010</t>
  </si>
  <si>
    <t>MPMF38006</t>
  </si>
  <si>
    <t>MPMF38007</t>
  </si>
  <si>
    <t>EX1163</t>
  </si>
  <si>
    <t>DZ1220</t>
  </si>
  <si>
    <t>MERCY</t>
  </si>
  <si>
    <t>BDKM15177</t>
  </si>
  <si>
    <t>BDKM15175</t>
  </si>
  <si>
    <t>PT. Bima Nusa Int'L</t>
  </si>
  <si>
    <t>PT BIMA</t>
  </si>
  <si>
    <t>PT KMI</t>
  </si>
  <si>
    <t>PT. Karya Kembar Bersama</t>
  </si>
  <si>
    <t>PT K2B</t>
  </si>
  <si>
    <t>HT 470</t>
  </si>
  <si>
    <t>GD535</t>
  </si>
  <si>
    <t>MG</t>
  </si>
  <si>
    <t>DT5037</t>
  </si>
  <si>
    <t>DT5038</t>
  </si>
  <si>
    <t>DT5039</t>
  </si>
  <si>
    <t>DT5045</t>
  </si>
  <si>
    <t>DT5046</t>
  </si>
  <si>
    <t>DT5047</t>
  </si>
  <si>
    <t>DT5063</t>
  </si>
  <si>
    <t>DT5064</t>
  </si>
  <si>
    <t>DT5066</t>
  </si>
  <si>
    <t>EX1302</t>
  </si>
  <si>
    <t>EX1200</t>
  </si>
  <si>
    <t>EX1817</t>
  </si>
  <si>
    <t>Manhaul</t>
  </si>
  <si>
    <t>Lowboy/P.Mover</t>
  </si>
  <si>
    <t>Lowboy</t>
  </si>
  <si>
    <t>Wheel Dozing</t>
  </si>
  <si>
    <t>DT5084</t>
  </si>
  <si>
    <t>DT5085</t>
  </si>
  <si>
    <t>DT3352</t>
  </si>
  <si>
    <t>DZ1203</t>
  </si>
  <si>
    <t>HDKM78244</t>
  </si>
  <si>
    <t>HDKM78252</t>
  </si>
  <si>
    <t>HDKM78338</t>
  </si>
  <si>
    <t>RTN &amp; RTM</t>
  </si>
  <si>
    <t>SM A</t>
  </si>
  <si>
    <t>RS-AG</t>
  </si>
  <si>
    <t>SM D</t>
  </si>
  <si>
    <t>HDKM78254</t>
  </si>
  <si>
    <t>HDKM78259</t>
  </si>
  <si>
    <t>HDKM78266</t>
  </si>
  <si>
    <t>MPMF42030</t>
  </si>
  <si>
    <t>EX1728</t>
  </si>
  <si>
    <t>DT3298</t>
  </si>
  <si>
    <t>DT3341</t>
  </si>
  <si>
    <t>DT3349</t>
  </si>
  <si>
    <t>DT3353</t>
  </si>
  <si>
    <t>DT3354</t>
  </si>
  <si>
    <t>DT3379</t>
  </si>
  <si>
    <t>DT3397</t>
  </si>
  <si>
    <t>DT3404</t>
  </si>
  <si>
    <t>DT3405</t>
  </si>
  <si>
    <t>DT3406</t>
  </si>
  <si>
    <t>DT3475</t>
  </si>
  <si>
    <t>DT3481</t>
  </si>
  <si>
    <t>DT3495</t>
  </si>
  <si>
    <t>DT3533</t>
  </si>
  <si>
    <t>DT3544</t>
  </si>
  <si>
    <t>DT3547</t>
  </si>
  <si>
    <t>DT3559</t>
  </si>
  <si>
    <t>DT3768</t>
  </si>
  <si>
    <t>DT3861</t>
  </si>
  <si>
    <t>DT3972</t>
  </si>
  <si>
    <t>DT3979</t>
  </si>
  <si>
    <t>DT4148</t>
  </si>
  <si>
    <t>DT4177</t>
  </si>
  <si>
    <t>DT4178</t>
  </si>
  <si>
    <t>DT4259</t>
  </si>
  <si>
    <t>DT4267</t>
  </si>
  <si>
    <t>DT4317</t>
  </si>
  <si>
    <t>DT4318</t>
  </si>
  <si>
    <t>DT4322</t>
  </si>
  <si>
    <t>DT4387</t>
  </si>
  <si>
    <t>DT4704</t>
  </si>
  <si>
    <t>DT4706</t>
  </si>
  <si>
    <t>DT4708</t>
  </si>
  <si>
    <t>DT4711</t>
  </si>
  <si>
    <t>DZ440</t>
  </si>
  <si>
    <t>PT SIMS</t>
  </si>
  <si>
    <t>CAT 773E</t>
  </si>
  <si>
    <t>OHT-777D</t>
  </si>
  <si>
    <t>LV/Bus</t>
  </si>
  <si>
    <t>DT3164</t>
  </si>
  <si>
    <t>DT-3006</t>
  </si>
  <si>
    <t>DT-3010</t>
  </si>
  <si>
    <t>ISUZU</t>
  </si>
  <si>
    <t>DT3146</t>
  </si>
  <si>
    <t>DT3504</t>
  </si>
  <si>
    <t>DZ1025</t>
  </si>
  <si>
    <t>DZ1041</t>
  </si>
  <si>
    <t>42 BCM</t>
  </si>
  <si>
    <t>DMAC45019</t>
  </si>
  <si>
    <t>SMD</t>
  </si>
  <si>
    <t>GENSET</t>
  </si>
  <si>
    <t>DT-3021</t>
  </si>
  <si>
    <t>EX1723</t>
  </si>
  <si>
    <t>DT3301</t>
  </si>
  <si>
    <t>DT3417</t>
  </si>
  <si>
    <t>DT3429</t>
  </si>
  <si>
    <t>DT3501</t>
  </si>
  <si>
    <t>DT3614</t>
  </si>
  <si>
    <t>DT3616</t>
  </si>
  <si>
    <t>DT3617</t>
  </si>
  <si>
    <t>DT3760</t>
  </si>
  <si>
    <t>DT3776</t>
  </si>
  <si>
    <t>DT3810</t>
  </si>
  <si>
    <t>DZ1050</t>
  </si>
  <si>
    <t>DT3148</t>
  </si>
  <si>
    <t>DT3152</t>
  </si>
  <si>
    <t>FM/PROD-007</t>
  </si>
  <si>
    <t>No. Form : FM/PROD-007</t>
  </si>
  <si>
    <t>DT3167</t>
  </si>
  <si>
    <t>DT3532</t>
  </si>
  <si>
    <t>DT3534</t>
  </si>
  <si>
    <t>DT3548</t>
  </si>
  <si>
    <t>DT3550</t>
  </si>
  <si>
    <t>DT3516</t>
  </si>
  <si>
    <t>HT 210</t>
  </si>
  <si>
    <t>Light Vehicle (LV)</t>
  </si>
  <si>
    <t>D155</t>
  </si>
  <si>
    <t>OB</t>
  </si>
  <si>
    <t>10 BCM</t>
  </si>
  <si>
    <t>DT-9001</t>
  </si>
  <si>
    <t>20 BCM</t>
  </si>
  <si>
    <t>DT-9002</t>
  </si>
  <si>
    <t>DT-9003</t>
  </si>
  <si>
    <t>DZ-8040</t>
  </si>
  <si>
    <t>GRADE</t>
  </si>
  <si>
    <t>FT-01</t>
  </si>
  <si>
    <t>CT-01</t>
  </si>
  <si>
    <t>CRANE</t>
  </si>
  <si>
    <t>TL-04</t>
  </si>
  <si>
    <t>Ingersol Rand</t>
  </si>
  <si>
    <t>PC 800</t>
  </si>
  <si>
    <t>SMB</t>
  </si>
  <si>
    <t>SMB &amp; SMD</t>
  </si>
  <si>
    <t>PT PETROSEA</t>
  </si>
  <si>
    <t>Support Truck</t>
  </si>
  <si>
    <t>Pontoon</t>
  </si>
  <si>
    <t>Lube Tank, Fuel Tank, Manhaul, Lowboy, Crane, Forklift etc</t>
  </si>
  <si>
    <t>GR373</t>
  </si>
  <si>
    <t>RTN</t>
  </si>
  <si>
    <t>SM B &amp; SM D</t>
  </si>
  <si>
    <t>RS-AG RTN &amp; RTM</t>
  </si>
  <si>
    <t>SM D2</t>
  </si>
  <si>
    <t>PT. Diesel Utama Mineral</t>
  </si>
  <si>
    <t>PT. DUM</t>
  </si>
  <si>
    <t>EX-401</t>
  </si>
  <si>
    <t>ZX-470-LC</t>
  </si>
  <si>
    <t>OB Loading</t>
  </si>
  <si>
    <t>40 Ton</t>
  </si>
  <si>
    <t>EX-402</t>
  </si>
  <si>
    <t>EX-403</t>
  </si>
  <si>
    <t>EX-201</t>
  </si>
  <si>
    <t>PC-200-10</t>
  </si>
  <si>
    <t>20 Ton</t>
  </si>
  <si>
    <t>DT-201</t>
  </si>
  <si>
    <t>Arocs 4040K</t>
  </si>
  <si>
    <t>OB Hauling</t>
  </si>
  <si>
    <t>DT-202</t>
  </si>
  <si>
    <t>DT-203</t>
  </si>
  <si>
    <t>DT-204</t>
  </si>
  <si>
    <t>DT-205</t>
  </si>
  <si>
    <t>DT-206</t>
  </si>
  <si>
    <t>DT-207</t>
  </si>
  <si>
    <t>DT-208</t>
  </si>
  <si>
    <t>DT-209</t>
  </si>
  <si>
    <t>DT-210</t>
  </si>
  <si>
    <t>DT-211</t>
  </si>
  <si>
    <t>DT-212</t>
  </si>
  <si>
    <t>DT-214</t>
  </si>
  <si>
    <t>DT-215</t>
  </si>
  <si>
    <t>DT-216</t>
  </si>
  <si>
    <t>DT-217</t>
  </si>
  <si>
    <t>DT-218</t>
  </si>
  <si>
    <t>DT-219</t>
  </si>
  <si>
    <t>DT-220</t>
  </si>
  <si>
    <t>DT-221</t>
  </si>
  <si>
    <t>DZ-201</t>
  </si>
  <si>
    <t>OB Dozing</t>
  </si>
  <si>
    <t>DZ-202</t>
  </si>
  <si>
    <t>DZ-203</t>
  </si>
  <si>
    <t>Pit Service General</t>
  </si>
  <si>
    <t>GD-501</t>
  </si>
  <si>
    <t>GD 535</t>
  </si>
  <si>
    <t>Road Maintenance</t>
  </si>
  <si>
    <t>Water Truck 10 Ton</t>
  </si>
  <si>
    <t>BS-201</t>
  </si>
  <si>
    <t>NQR71ECE2-1 - ISUZU MBBIS</t>
  </si>
  <si>
    <t>BS-202</t>
  </si>
  <si>
    <t>NQR 71 EC</t>
  </si>
  <si>
    <t>LV-702</t>
  </si>
  <si>
    <t>Toyota Hilux Diesel  2.4G Double Cabin 4x4</t>
  </si>
  <si>
    <t>LV-703</t>
  </si>
  <si>
    <t>LV-704</t>
  </si>
  <si>
    <t>LV-705</t>
  </si>
  <si>
    <t>LV-707</t>
  </si>
  <si>
    <t>TL-701</t>
  </si>
  <si>
    <t>ALLMAKES</t>
  </si>
  <si>
    <t>AM-LTM-4000KS</t>
  </si>
  <si>
    <t>Tower Lamp 7,5 KW</t>
  </si>
  <si>
    <t>TL-702</t>
  </si>
  <si>
    <t>TL-703</t>
  </si>
  <si>
    <t>TL-704</t>
  </si>
  <si>
    <t>PATRIA</t>
  </si>
  <si>
    <t>LS4-1400</t>
  </si>
  <si>
    <t>TL-705</t>
  </si>
  <si>
    <t>WM-601</t>
  </si>
  <si>
    <t>MILLER</t>
  </si>
  <si>
    <t>D 2011 L 04 I</t>
  </si>
  <si>
    <t>Welding Mechine 600 A</t>
  </si>
  <si>
    <t>GM-101</t>
  </si>
  <si>
    <t>BERCA POWER</t>
  </si>
  <si>
    <t>BF-C110S</t>
  </si>
  <si>
    <t>Genset 100 KVA</t>
  </si>
  <si>
    <t>CR-121</t>
  </si>
  <si>
    <t>XAHS38 Kd</t>
  </si>
  <si>
    <t>Compresor 12 BAR</t>
  </si>
  <si>
    <t>LT-101</t>
  </si>
  <si>
    <t>FVR 285</t>
  </si>
  <si>
    <t>Lube Truck</t>
  </si>
  <si>
    <t>FVR 245</t>
  </si>
  <si>
    <t>10000 Liter</t>
  </si>
  <si>
    <t>RTM</t>
  </si>
  <si>
    <t>RTSAG</t>
  </si>
  <si>
    <t>PT DUM</t>
  </si>
  <si>
    <t>Alat Support Non Production</t>
  </si>
  <si>
    <t>TW209</t>
  </si>
  <si>
    <t>16000 Lt</t>
  </si>
  <si>
    <t>DT294</t>
  </si>
  <si>
    <t>35000 Lt</t>
  </si>
  <si>
    <t>DT324</t>
  </si>
  <si>
    <t>DT328</t>
  </si>
  <si>
    <t>DT828</t>
  </si>
  <si>
    <t>DT831</t>
  </si>
  <si>
    <t>TF073</t>
  </si>
  <si>
    <t>TF041</t>
  </si>
  <si>
    <t>TF092</t>
  </si>
  <si>
    <t>30000 Lt</t>
  </si>
  <si>
    <t>TF100</t>
  </si>
  <si>
    <t>TF107</t>
  </si>
  <si>
    <t>TF108</t>
  </si>
  <si>
    <t>TF110</t>
  </si>
  <si>
    <t>TF115</t>
  </si>
  <si>
    <t>TF123</t>
  </si>
  <si>
    <t>TF126</t>
  </si>
  <si>
    <t>TF127</t>
  </si>
  <si>
    <t>TF217</t>
  </si>
  <si>
    <t>20000 Lt</t>
  </si>
  <si>
    <t>CN010</t>
  </si>
  <si>
    <t>Crane Truck</t>
  </si>
  <si>
    <t>CT053</t>
  </si>
  <si>
    <t>CT071</t>
  </si>
  <si>
    <t>CT074</t>
  </si>
  <si>
    <t>CT075</t>
  </si>
  <si>
    <t>10 Ton</t>
  </si>
  <si>
    <t>CT076</t>
  </si>
  <si>
    <t>ST008</t>
  </si>
  <si>
    <t>Service Truck</t>
  </si>
  <si>
    <t>ST011</t>
  </si>
  <si>
    <t>AX016</t>
  </si>
  <si>
    <t>Steeming Truck</t>
  </si>
  <si>
    <t>LT249</t>
  </si>
  <si>
    <t>3 Ton</t>
  </si>
  <si>
    <t>LO002</t>
  </si>
  <si>
    <t>LO006</t>
  </si>
  <si>
    <t>LO008</t>
  </si>
  <si>
    <t>LO017</t>
  </si>
  <si>
    <t>LO035</t>
  </si>
  <si>
    <t>LO047</t>
  </si>
  <si>
    <t>LO048</t>
  </si>
  <si>
    <t>LO053</t>
  </si>
  <si>
    <t>LO060</t>
  </si>
  <si>
    <t>LO062</t>
  </si>
  <si>
    <t>CB021</t>
  </si>
  <si>
    <t>Maniscopic (New)</t>
  </si>
  <si>
    <t>2 Ton</t>
  </si>
  <si>
    <t>FL021</t>
  </si>
  <si>
    <t>Forklift</t>
  </si>
  <si>
    <t>5 Ton</t>
  </si>
  <si>
    <t>FL035</t>
  </si>
  <si>
    <t>FL040</t>
  </si>
  <si>
    <t>WL402</t>
  </si>
  <si>
    <t>Tyre Handler</t>
  </si>
  <si>
    <t>AM022</t>
  </si>
  <si>
    <t>AM027</t>
  </si>
  <si>
    <t>AM033</t>
  </si>
  <si>
    <t>AM038</t>
  </si>
  <si>
    <t>AM040</t>
  </si>
  <si>
    <t>PM432</t>
  </si>
  <si>
    <t>Prime Mover</t>
  </si>
  <si>
    <t>PM575</t>
  </si>
  <si>
    <t>PM584</t>
  </si>
  <si>
    <t>WP114</t>
  </si>
  <si>
    <t>300 m3/h</t>
  </si>
  <si>
    <t>WP135</t>
  </si>
  <si>
    <t>420 m3/h</t>
  </si>
  <si>
    <t>WP249</t>
  </si>
  <si>
    <t>700 m3/h</t>
  </si>
  <si>
    <t>WP252</t>
  </si>
  <si>
    <t>WP256</t>
  </si>
  <si>
    <t>WP258</t>
  </si>
  <si>
    <t>WP268</t>
  </si>
  <si>
    <t>WP274</t>
  </si>
  <si>
    <t>WP275</t>
  </si>
  <si>
    <t>WP315</t>
  </si>
  <si>
    <t>WP327</t>
  </si>
  <si>
    <t>WP328</t>
  </si>
  <si>
    <t>WP330</t>
  </si>
  <si>
    <t>Dewatering Pump</t>
  </si>
  <si>
    <t>WP398</t>
  </si>
  <si>
    <t>WP512</t>
  </si>
  <si>
    <t>WP350</t>
  </si>
  <si>
    <t>WP358</t>
  </si>
  <si>
    <t>WP382</t>
  </si>
  <si>
    <t>Sump Pump</t>
  </si>
  <si>
    <t>WP390</t>
  </si>
  <si>
    <t>WP399</t>
  </si>
  <si>
    <t>WP404</t>
  </si>
  <si>
    <t>WP405</t>
  </si>
  <si>
    <t>WP409</t>
  </si>
  <si>
    <t>WP416</t>
  </si>
  <si>
    <t>WP417</t>
  </si>
  <si>
    <t>WP431</t>
  </si>
  <si>
    <t>WP432</t>
  </si>
  <si>
    <t>WP434</t>
  </si>
  <si>
    <t>WP438</t>
  </si>
  <si>
    <t>WP448</t>
  </si>
  <si>
    <t>WP449</t>
  </si>
  <si>
    <t>WP453</t>
  </si>
  <si>
    <t>WP455</t>
  </si>
  <si>
    <t>WP470</t>
  </si>
  <si>
    <t>WP471</t>
  </si>
  <si>
    <t>WP472</t>
  </si>
  <si>
    <t>WP490</t>
  </si>
  <si>
    <t>WP495</t>
  </si>
  <si>
    <t>WP497</t>
  </si>
  <si>
    <t>WP498</t>
  </si>
  <si>
    <t>WP499</t>
  </si>
  <si>
    <t>WP500</t>
  </si>
  <si>
    <t>WP501</t>
  </si>
  <si>
    <t>WP502</t>
  </si>
  <si>
    <t>WP505</t>
  </si>
  <si>
    <t>WP510</t>
  </si>
  <si>
    <t>WP541</t>
  </si>
  <si>
    <t>WP520</t>
  </si>
  <si>
    <t>WP521</t>
  </si>
  <si>
    <t>WP534</t>
  </si>
  <si>
    <t>WP535</t>
  </si>
  <si>
    <t>WP547</t>
  </si>
  <si>
    <t>WP573</t>
  </si>
  <si>
    <t>WP574</t>
  </si>
  <si>
    <t>WP670</t>
  </si>
  <si>
    <t>WP614</t>
  </si>
  <si>
    <t>WP616</t>
  </si>
  <si>
    <t>WP688</t>
  </si>
  <si>
    <t>WP676</t>
  </si>
  <si>
    <t>WP696</t>
  </si>
  <si>
    <t>WP697</t>
  </si>
  <si>
    <t>WP707</t>
  </si>
  <si>
    <t>WP754</t>
  </si>
  <si>
    <t>WP755</t>
  </si>
  <si>
    <t>WP760</t>
  </si>
  <si>
    <t>WP763</t>
  </si>
  <si>
    <t>WP770</t>
  </si>
  <si>
    <t>WP856</t>
  </si>
  <si>
    <t>WP943</t>
  </si>
  <si>
    <t>WP945</t>
  </si>
  <si>
    <t>TL109</t>
  </si>
  <si>
    <t>Tower Lamp</t>
  </si>
  <si>
    <t>6000 WATT</t>
  </si>
  <si>
    <t>TL122</t>
  </si>
  <si>
    <t>TL123</t>
  </si>
  <si>
    <t>TL124</t>
  </si>
  <si>
    <t>TL125</t>
  </si>
  <si>
    <t>TL126</t>
  </si>
  <si>
    <t>TL128</t>
  </si>
  <si>
    <t>TL138</t>
  </si>
  <si>
    <t>TL139</t>
  </si>
  <si>
    <t>TL140</t>
  </si>
  <si>
    <t>TL141</t>
  </si>
  <si>
    <t>TL142</t>
  </si>
  <si>
    <t>TL143</t>
  </si>
  <si>
    <t>TL144</t>
  </si>
  <si>
    <t>TL145</t>
  </si>
  <si>
    <t>TL262</t>
  </si>
  <si>
    <t>TL263</t>
  </si>
  <si>
    <t>TL264</t>
  </si>
  <si>
    <t>TL265</t>
  </si>
  <si>
    <t>TL075</t>
  </si>
  <si>
    <t>TL084</t>
  </si>
  <si>
    <t>TL295</t>
  </si>
  <si>
    <t>TL300</t>
  </si>
  <si>
    <t>TL301</t>
  </si>
  <si>
    <t>TL302</t>
  </si>
  <si>
    <t>TL305</t>
  </si>
  <si>
    <t>TL306</t>
  </si>
  <si>
    <t>TL307</t>
  </si>
  <si>
    <t>TL308</t>
  </si>
  <si>
    <t>TL329</t>
  </si>
  <si>
    <t>TL330</t>
  </si>
  <si>
    <t>TL331</t>
  </si>
  <si>
    <t>TL332</t>
  </si>
  <si>
    <t>TL333</t>
  </si>
  <si>
    <t>TL339</t>
  </si>
  <si>
    <t>TL340</t>
  </si>
  <si>
    <t>TL341</t>
  </si>
  <si>
    <t>TL346</t>
  </si>
  <si>
    <t>TL347</t>
  </si>
  <si>
    <t>TL365</t>
  </si>
  <si>
    <t>TL366</t>
  </si>
  <si>
    <t>TL373</t>
  </si>
  <si>
    <t>TL389</t>
  </si>
  <si>
    <t>TL390</t>
  </si>
  <si>
    <t>TL394</t>
  </si>
  <si>
    <t>TL410</t>
  </si>
  <si>
    <t>TL411</t>
  </si>
  <si>
    <t>TL412</t>
  </si>
  <si>
    <t>TL413</t>
  </si>
  <si>
    <t>TL429</t>
  </si>
  <si>
    <t>GS251</t>
  </si>
  <si>
    <t>GS256</t>
  </si>
  <si>
    <t>GS276</t>
  </si>
  <si>
    <t>GS281</t>
  </si>
  <si>
    <t>GS282</t>
  </si>
  <si>
    <t>GS283</t>
  </si>
  <si>
    <t>Mega Tower</t>
  </si>
  <si>
    <t>GS285</t>
  </si>
  <si>
    <t>GS286</t>
  </si>
  <si>
    <t>GS230</t>
  </si>
  <si>
    <t>GS289</t>
  </si>
  <si>
    <t>300 KVA</t>
  </si>
  <si>
    <t>GS304</t>
  </si>
  <si>
    <t>GS363</t>
  </si>
  <si>
    <t>GS372</t>
  </si>
  <si>
    <t>GS383</t>
  </si>
  <si>
    <t>GS384</t>
  </si>
  <si>
    <t>GS385</t>
  </si>
  <si>
    <t>GS386</t>
  </si>
  <si>
    <t>GS387</t>
  </si>
  <si>
    <t>GS393</t>
  </si>
  <si>
    <t>GS394</t>
  </si>
  <si>
    <t>GS397</t>
  </si>
  <si>
    <t>350 KVA</t>
  </si>
  <si>
    <t>GS416</t>
  </si>
  <si>
    <t>GS417</t>
  </si>
  <si>
    <t>GS418</t>
  </si>
  <si>
    <t>GS419</t>
  </si>
  <si>
    <t>GS445</t>
  </si>
  <si>
    <t>GS446</t>
  </si>
  <si>
    <t>GS447</t>
  </si>
  <si>
    <t>GS448</t>
  </si>
  <si>
    <t>GS474</t>
  </si>
  <si>
    <t>GS477</t>
  </si>
  <si>
    <t>GS478</t>
  </si>
  <si>
    <t>GS407</t>
  </si>
  <si>
    <t>GS454</t>
  </si>
  <si>
    <t>GS480</t>
  </si>
  <si>
    <t>Mini Tower</t>
  </si>
  <si>
    <t>GS481</t>
  </si>
  <si>
    <t>GS482</t>
  </si>
  <si>
    <t>GS483</t>
  </si>
  <si>
    <t>GS484</t>
  </si>
  <si>
    <t>GS485</t>
  </si>
  <si>
    <t>GS486</t>
  </si>
  <si>
    <t>GS487</t>
  </si>
  <si>
    <t>GS488</t>
  </si>
  <si>
    <t>GS466</t>
  </si>
  <si>
    <t>GS506</t>
  </si>
  <si>
    <t>GS525</t>
  </si>
  <si>
    <t>GS499</t>
  </si>
  <si>
    <t>GS552</t>
  </si>
  <si>
    <t>CM125</t>
  </si>
  <si>
    <t>Air Compressor</t>
  </si>
  <si>
    <t>CM086</t>
  </si>
  <si>
    <t>CM104</t>
  </si>
  <si>
    <t>CM072</t>
  </si>
  <si>
    <t>CM128</t>
  </si>
  <si>
    <t>CM162</t>
  </si>
  <si>
    <t>CM163</t>
  </si>
  <si>
    <t>CM174</t>
  </si>
  <si>
    <t>CM185</t>
  </si>
  <si>
    <t>CM186</t>
  </si>
  <si>
    <t>CM192</t>
  </si>
  <si>
    <t>CM212</t>
  </si>
  <si>
    <t>CM213</t>
  </si>
  <si>
    <t>CM222</t>
  </si>
  <si>
    <t>CM223</t>
  </si>
  <si>
    <t>CM230</t>
  </si>
  <si>
    <t>CM246</t>
  </si>
  <si>
    <t>CM247</t>
  </si>
  <si>
    <t>CM248</t>
  </si>
  <si>
    <t>CM249</t>
  </si>
  <si>
    <t>CM250</t>
  </si>
  <si>
    <t>CM286</t>
  </si>
  <si>
    <t>CM287</t>
  </si>
  <si>
    <t>CM911</t>
  </si>
  <si>
    <t>CM912</t>
  </si>
  <si>
    <t>WS044</t>
  </si>
  <si>
    <t>Welder, AC ARC</t>
  </si>
  <si>
    <t>WS045</t>
  </si>
  <si>
    <t>WS046</t>
  </si>
  <si>
    <t>WC117</t>
  </si>
  <si>
    <t>Welder, CO1</t>
  </si>
  <si>
    <t>WC127</t>
  </si>
  <si>
    <t>Welder, CO2</t>
  </si>
  <si>
    <t>WC137</t>
  </si>
  <si>
    <t>WC202</t>
  </si>
  <si>
    <t>Welding Travo</t>
  </si>
  <si>
    <t>WC203</t>
  </si>
  <si>
    <t>WS062</t>
  </si>
  <si>
    <t>Welder, Machine</t>
  </si>
  <si>
    <t>WS063</t>
  </si>
  <si>
    <t>WS079</t>
  </si>
  <si>
    <t>WS099</t>
  </si>
  <si>
    <t>WS100</t>
  </si>
  <si>
    <t>WS111</t>
  </si>
  <si>
    <t>WS112</t>
  </si>
  <si>
    <t>WS132</t>
  </si>
  <si>
    <t>WS121</t>
  </si>
  <si>
    <t>WS153</t>
  </si>
  <si>
    <t>WP251</t>
  </si>
  <si>
    <t>Hi-Pressure Pump</t>
  </si>
  <si>
    <t>WP248</t>
  </si>
  <si>
    <t>KIDECO</t>
  </si>
  <si>
    <t>EX 265</t>
  </si>
  <si>
    <t>2500-6</t>
  </si>
  <si>
    <t>2009 Mar 28</t>
  </si>
  <si>
    <t>Loading</t>
  </si>
  <si>
    <t>15 m3</t>
  </si>
  <si>
    <t>EX 266</t>
  </si>
  <si>
    <t>2009 May 20</t>
  </si>
  <si>
    <t>EX 267</t>
  </si>
  <si>
    <t>2009 July 16</t>
  </si>
  <si>
    <t>EX 268</t>
  </si>
  <si>
    <t>2010 Jan 08</t>
  </si>
  <si>
    <t>EX 269</t>
  </si>
  <si>
    <t xml:space="preserve">2010 May </t>
  </si>
  <si>
    <t>SIMS</t>
  </si>
  <si>
    <t>EX 5279</t>
  </si>
  <si>
    <t>2014 Apr</t>
  </si>
  <si>
    <t>17 m3</t>
  </si>
  <si>
    <t>EX 264</t>
  </si>
  <si>
    <t>1900-6</t>
  </si>
  <si>
    <t>2008 Jun 21</t>
  </si>
  <si>
    <t>13 m3</t>
  </si>
  <si>
    <t>EX 2701</t>
  </si>
  <si>
    <t>1200-6C</t>
  </si>
  <si>
    <t>2010 Jan 29</t>
  </si>
  <si>
    <t>7.5 m3</t>
  </si>
  <si>
    <t>EX 2702</t>
  </si>
  <si>
    <t>2010 Mar 30</t>
  </si>
  <si>
    <t>7,5 m3</t>
  </si>
  <si>
    <t>EX 272</t>
  </si>
  <si>
    <t>2500-5</t>
  </si>
  <si>
    <t>2005 Jun 11</t>
  </si>
  <si>
    <t>EX 273</t>
  </si>
  <si>
    <t>2005 Oct 30</t>
  </si>
  <si>
    <t>EX 274</t>
  </si>
  <si>
    <t>2006 Nov 21</t>
  </si>
  <si>
    <t>EX 275</t>
  </si>
  <si>
    <t>KOM</t>
  </si>
  <si>
    <t>2000-8</t>
  </si>
  <si>
    <t>2012 Jun 07</t>
  </si>
  <si>
    <t>12,5 m3</t>
  </si>
  <si>
    <t>EX 276</t>
  </si>
  <si>
    <t>2012 Jul</t>
  </si>
  <si>
    <t>EX 277</t>
  </si>
  <si>
    <t>2012 Sep 03</t>
  </si>
  <si>
    <t>EX 278</t>
  </si>
  <si>
    <t>2012 Oct 03</t>
  </si>
  <si>
    <t>EX2600</t>
  </si>
  <si>
    <t>HD 601</t>
  </si>
  <si>
    <t>785-5</t>
  </si>
  <si>
    <t>2005 Dec 15</t>
  </si>
  <si>
    <t>Hauling</t>
  </si>
  <si>
    <t>44 BCM</t>
  </si>
  <si>
    <t>HD 602</t>
  </si>
  <si>
    <t>HD 603</t>
  </si>
  <si>
    <t>HD 604</t>
  </si>
  <si>
    <t>HD 605</t>
  </si>
  <si>
    <t>HD 606</t>
  </si>
  <si>
    <t>2006 Mar 01</t>
  </si>
  <si>
    <t>HD 607</t>
  </si>
  <si>
    <t>HD 608</t>
  </si>
  <si>
    <t>HD 609</t>
  </si>
  <si>
    <t>HD 610</t>
  </si>
  <si>
    <t>HD 611</t>
  </si>
  <si>
    <t>2006 Jun 01</t>
  </si>
  <si>
    <t>HD 612</t>
  </si>
  <si>
    <t>HD 613</t>
  </si>
  <si>
    <t>HD 614</t>
  </si>
  <si>
    <t>HD 615</t>
  </si>
  <si>
    <t>HD 616</t>
  </si>
  <si>
    <t>785-7</t>
  </si>
  <si>
    <t>2009 Jan 13</t>
  </si>
  <si>
    <t>HD 617</t>
  </si>
  <si>
    <t>HD 618</t>
  </si>
  <si>
    <t>HD 619</t>
  </si>
  <si>
    <t>HD 620</t>
  </si>
  <si>
    <t>HD 621</t>
  </si>
  <si>
    <t>CAT</t>
  </si>
  <si>
    <t>2008 Dec 31</t>
  </si>
  <si>
    <t>HD 622</t>
  </si>
  <si>
    <t xml:space="preserve"> 777D</t>
  </si>
  <si>
    <t>HD 623</t>
  </si>
  <si>
    <t>HD 624</t>
  </si>
  <si>
    <t>HD 625</t>
  </si>
  <si>
    <t>2009 Feb 07</t>
  </si>
  <si>
    <t>HD 626</t>
  </si>
  <si>
    <t>HD 627</t>
  </si>
  <si>
    <t>HD 629</t>
  </si>
  <si>
    <t>HD 628</t>
  </si>
  <si>
    <t>HD 630</t>
  </si>
  <si>
    <t>HD 631</t>
  </si>
  <si>
    <t>2009 May 13</t>
  </si>
  <si>
    <t>HD 632</t>
  </si>
  <si>
    <t>HD 633</t>
  </si>
  <si>
    <t>HD 634</t>
  </si>
  <si>
    <t>2009 Jun 15</t>
  </si>
  <si>
    <t>HD 635</t>
  </si>
  <si>
    <t>HD 636</t>
  </si>
  <si>
    <t>2009 Jul 31</t>
  </si>
  <si>
    <t>HD 637</t>
  </si>
  <si>
    <t>HD 638</t>
  </si>
  <si>
    <t>HD 639</t>
  </si>
  <si>
    <t>HD 640</t>
  </si>
  <si>
    <t>HD 6401</t>
  </si>
  <si>
    <t>2010 Feb 28</t>
  </si>
  <si>
    <t>HD 6402</t>
  </si>
  <si>
    <t>HD 6403</t>
  </si>
  <si>
    <t>HD 6404</t>
  </si>
  <si>
    <t>HD 6405</t>
  </si>
  <si>
    <t>HD 6406</t>
  </si>
  <si>
    <t>HD 6407</t>
  </si>
  <si>
    <t>HD 6408</t>
  </si>
  <si>
    <t>HD 6601</t>
  </si>
  <si>
    <t>2010 Feb 13</t>
  </si>
  <si>
    <t>HD 6602</t>
  </si>
  <si>
    <t>HD 6603</t>
  </si>
  <si>
    <t>HD 6604</t>
  </si>
  <si>
    <t>HD 1101</t>
  </si>
  <si>
    <t xml:space="preserve">2001 Jul </t>
  </si>
  <si>
    <t>HD 1102</t>
  </si>
  <si>
    <t>HD 1103</t>
  </si>
  <si>
    <t>HD 1104</t>
  </si>
  <si>
    <t>HD 1106</t>
  </si>
  <si>
    <t>HD 1107</t>
  </si>
  <si>
    <t>HD 1108</t>
  </si>
  <si>
    <t>HD 1114</t>
  </si>
  <si>
    <t>2009 Dec 28</t>
  </si>
  <si>
    <t>HD 1115</t>
  </si>
  <si>
    <t>HD 1116</t>
  </si>
  <si>
    <t>HD 1117</t>
  </si>
  <si>
    <t>HD 1118</t>
  </si>
  <si>
    <t>2010 Mar 31</t>
  </si>
  <si>
    <t>HD 1119</t>
  </si>
  <si>
    <t>HD 1120</t>
  </si>
  <si>
    <t>HD 1121</t>
  </si>
  <si>
    <t>HD 1122</t>
  </si>
  <si>
    <t>2010 Jul 23</t>
  </si>
  <si>
    <t>HD 1123</t>
  </si>
  <si>
    <t>HD 1124</t>
  </si>
  <si>
    <t>HD 1125</t>
  </si>
  <si>
    <t>HD 1126</t>
  </si>
  <si>
    <t>2011 Nov 07</t>
  </si>
  <si>
    <t>HD 1127</t>
  </si>
  <si>
    <t>HD 1128</t>
  </si>
  <si>
    <t>HD 1129</t>
  </si>
  <si>
    <t>HD 1130</t>
  </si>
  <si>
    <t>HD 1131</t>
  </si>
  <si>
    <t>HD 1132</t>
  </si>
  <si>
    <t>HD 1133</t>
  </si>
  <si>
    <t>HD 1134</t>
  </si>
  <si>
    <t>2012 Jun 25</t>
  </si>
  <si>
    <t>HD 1135</t>
  </si>
  <si>
    <t>2012 Jul 23</t>
  </si>
  <si>
    <t>HD 1136</t>
  </si>
  <si>
    <t>HD 1137</t>
  </si>
  <si>
    <t>HD 1138</t>
  </si>
  <si>
    <t>HD 1139</t>
  </si>
  <si>
    <t>HD 1140</t>
  </si>
  <si>
    <t>2013 may</t>
  </si>
  <si>
    <t>HD 1141</t>
  </si>
  <si>
    <t>HD 1142</t>
  </si>
  <si>
    <t>HD 1143</t>
  </si>
  <si>
    <t>HD 1144</t>
  </si>
  <si>
    <t>2013 Jun 20</t>
  </si>
  <si>
    <t>HD 1145</t>
  </si>
  <si>
    <t>HD 1146</t>
  </si>
  <si>
    <t>HD 1147</t>
  </si>
  <si>
    <t>HD 1148</t>
  </si>
  <si>
    <t>HD 1149</t>
  </si>
  <si>
    <t>HD 1150</t>
  </si>
  <si>
    <t>HD 1151</t>
  </si>
  <si>
    <t>HD 1152</t>
  </si>
  <si>
    <t>HD 1153</t>
  </si>
  <si>
    <t>HD 1154</t>
  </si>
  <si>
    <t>HD 1155</t>
  </si>
  <si>
    <t>2015 Apr</t>
  </si>
  <si>
    <t>HD 1156</t>
  </si>
  <si>
    <t>HD 1157</t>
  </si>
  <si>
    <t>HD 1180</t>
  </si>
  <si>
    <t>2018 Apr</t>
  </si>
  <si>
    <t>HD 1181</t>
  </si>
  <si>
    <t>HD 1182</t>
  </si>
  <si>
    <t>HD 1183</t>
  </si>
  <si>
    <t>HD 1184</t>
  </si>
  <si>
    <t>2018 May</t>
  </si>
  <si>
    <t>HD 1185</t>
  </si>
  <si>
    <t>HD 1186</t>
  </si>
  <si>
    <t>HD 1187</t>
  </si>
  <si>
    <t>HD 1188</t>
  </si>
  <si>
    <t>HD 1189</t>
  </si>
  <si>
    <t>HD 1190</t>
  </si>
  <si>
    <t>2019 Mar</t>
  </si>
  <si>
    <t>HD 1191</t>
  </si>
  <si>
    <t>HD 1192</t>
  </si>
  <si>
    <t>HD 1193</t>
  </si>
  <si>
    <t>HD 1194</t>
  </si>
  <si>
    <t>HD 1195</t>
  </si>
  <si>
    <t>HD 1196</t>
  </si>
  <si>
    <t>2016 Apr</t>
  </si>
  <si>
    <t>HD 1197</t>
  </si>
  <si>
    <t>2017 Apr</t>
  </si>
  <si>
    <t>HD 1198</t>
  </si>
  <si>
    <t>HD 1199</t>
  </si>
  <si>
    <t>2019 Apr</t>
  </si>
  <si>
    <t>HD 1301</t>
  </si>
  <si>
    <t>2012 Sep 21</t>
  </si>
  <si>
    <t>23 BCM</t>
  </si>
  <si>
    <t>HD 1302</t>
  </si>
  <si>
    <t>2012 Aug 13</t>
  </si>
  <si>
    <t>HD 1303</t>
  </si>
  <si>
    <t>HD 1304</t>
  </si>
  <si>
    <t>2012 Aug 30</t>
  </si>
  <si>
    <t>HD 1305</t>
  </si>
  <si>
    <t>2012 Oct 02</t>
  </si>
  <si>
    <t>HD 1306</t>
  </si>
  <si>
    <t>HD 1307</t>
  </si>
  <si>
    <t>HD 1308</t>
  </si>
  <si>
    <t>HD 1309</t>
  </si>
  <si>
    <t>HD 1310</t>
  </si>
  <si>
    <t>HD 1311</t>
  </si>
  <si>
    <t>2012 Nov 23</t>
  </si>
  <si>
    <t>HD 1312</t>
  </si>
  <si>
    <t>HD 1313</t>
  </si>
  <si>
    <t>HD 1314</t>
  </si>
  <si>
    <t>HD 1315</t>
  </si>
  <si>
    <t>2006 Feb 17</t>
  </si>
  <si>
    <t>Dozing</t>
  </si>
  <si>
    <t>5.16 M3</t>
  </si>
  <si>
    <t>2008 Jan 22</t>
  </si>
  <si>
    <t>2011 Aug 29</t>
  </si>
  <si>
    <t>3.89 M3</t>
  </si>
  <si>
    <t xml:space="preserve">2017 Okt 18 </t>
  </si>
  <si>
    <t>2017 Okt 27</t>
  </si>
  <si>
    <t>2009 Apr 13</t>
  </si>
  <si>
    <t>13.5 M3</t>
  </si>
  <si>
    <t>2009 May 15</t>
  </si>
  <si>
    <t>2008 Aug 02</t>
  </si>
  <si>
    <t>2008 Sep 27</t>
  </si>
  <si>
    <t>2010 Jan 12</t>
  </si>
  <si>
    <t>1997 Aug 18</t>
  </si>
  <si>
    <t>18.5 M3</t>
  </si>
  <si>
    <t>2001 Mar 19</t>
  </si>
  <si>
    <t>2010 Mar 07</t>
  </si>
  <si>
    <t>2011 Dec 02</t>
  </si>
  <si>
    <t>2012 Aug 11</t>
  </si>
  <si>
    <t>155A-6</t>
  </si>
  <si>
    <t>13.9 M3</t>
  </si>
  <si>
    <t>2012 Dec 05</t>
  </si>
  <si>
    <t>2015 Mar 31</t>
  </si>
  <si>
    <t>14H</t>
  </si>
  <si>
    <t>1997 Jun 30</t>
  </si>
  <si>
    <t>Grading</t>
  </si>
  <si>
    <t>24.320 KG</t>
  </si>
  <si>
    <t>16H</t>
  </si>
  <si>
    <t>2001 Jun 11</t>
  </si>
  <si>
    <t>825A</t>
  </si>
  <si>
    <t>2009 May 08</t>
  </si>
  <si>
    <t>30.500 KG</t>
  </si>
  <si>
    <t>2009 Aug 05</t>
  </si>
  <si>
    <t>MG 4001</t>
  </si>
  <si>
    <t>MG 4002</t>
  </si>
  <si>
    <t>2001 Jul</t>
  </si>
  <si>
    <t>2005 Mar 15</t>
  </si>
  <si>
    <t>2011 Sep 25</t>
  </si>
  <si>
    <t>2012 Sep 23</t>
  </si>
  <si>
    <t>14M</t>
  </si>
  <si>
    <t>2012 Sep 26</t>
  </si>
  <si>
    <t>16M</t>
  </si>
  <si>
    <t>825A-2</t>
  </si>
  <si>
    <t>2010 Feb 10</t>
  </si>
  <si>
    <t>2010 Apr 05</t>
  </si>
  <si>
    <t>Hyundai</t>
  </si>
  <si>
    <t>ROBEX 210W-9S</t>
  </si>
  <si>
    <t>2013 Jan 5</t>
  </si>
  <si>
    <t>2014 Mar 01</t>
  </si>
  <si>
    <t>0.5 m3</t>
  </si>
  <si>
    <t>2014 Jun 12</t>
  </si>
  <si>
    <t>EX 5117</t>
  </si>
  <si>
    <t>EX 5118</t>
  </si>
  <si>
    <t>EX 5119</t>
  </si>
  <si>
    <t>EX 5120</t>
  </si>
  <si>
    <t>EX 5140</t>
  </si>
  <si>
    <t>2017 Nov 29</t>
  </si>
  <si>
    <t>EX 5141</t>
  </si>
  <si>
    <t>2018 Aug 01</t>
  </si>
  <si>
    <t>1.1 m3</t>
  </si>
  <si>
    <t>EX 5142</t>
  </si>
  <si>
    <t>2018 Nov 01</t>
  </si>
  <si>
    <t>VR 301</t>
  </si>
  <si>
    <t>BOMAG</t>
  </si>
  <si>
    <t>BW211D-40</t>
  </si>
  <si>
    <t>2009 Apr 18</t>
  </si>
  <si>
    <t>9500 Kg</t>
  </si>
  <si>
    <t>VR 302</t>
  </si>
  <si>
    <t>PB 01</t>
  </si>
  <si>
    <t>P420CB-6X4</t>
  </si>
  <si>
    <t>2009 Sep 10</t>
  </si>
  <si>
    <t>41T</t>
  </si>
  <si>
    <t>2009 Jun 02</t>
  </si>
  <si>
    <t>Watering</t>
  </si>
  <si>
    <t>15.000 Lt</t>
  </si>
  <si>
    <t>DAEWOO</t>
  </si>
  <si>
    <t>K6D6F</t>
  </si>
  <si>
    <t>2010 Dec 06</t>
  </si>
  <si>
    <t>2011 Aug 13</t>
  </si>
  <si>
    <t>2013 Sep 03</t>
  </si>
  <si>
    <t>2013 Nov 13</t>
  </si>
  <si>
    <t>80.000 Lt</t>
  </si>
  <si>
    <t xml:space="preserve">2014 Sep </t>
  </si>
  <si>
    <t>.</t>
  </si>
  <si>
    <t>35.000 Lt</t>
  </si>
  <si>
    <t>CWE</t>
  </si>
  <si>
    <t>2018 Des</t>
  </si>
  <si>
    <t>18.000 Lt</t>
  </si>
  <si>
    <t>2019 Mei</t>
  </si>
  <si>
    <t>2003 Jan 07</t>
  </si>
  <si>
    <t>2010 Aug 13</t>
  </si>
  <si>
    <t>PETROSEA</t>
  </si>
  <si>
    <t>16EX0161</t>
  </si>
  <si>
    <t>20 m3</t>
  </si>
  <si>
    <t>16EX0162</t>
  </si>
  <si>
    <t>16EX0163</t>
  </si>
  <si>
    <t>16EX0166</t>
  </si>
  <si>
    <t>16EX0167</t>
  </si>
  <si>
    <t>16EX0165</t>
  </si>
  <si>
    <t>16EX0193</t>
  </si>
  <si>
    <t>16EX0209</t>
  </si>
  <si>
    <t>16EX0210</t>
  </si>
  <si>
    <t>16EX0216</t>
  </si>
  <si>
    <t>16EX0178</t>
  </si>
  <si>
    <t>16EX0164</t>
  </si>
  <si>
    <t>16EX0154</t>
  </si>
  <si>
    <t>16EX0208</t>
  </si>
  <si>
    <t>16EX0152</t>
  </si>
  <si>
    <t>16EX0153</t>
  </si>
  <si>
    <t>16EX0217</t>
  </si>
  <si>
    <t>16EX0214</t>
  </si>
  <si>
    <t>16DT0541</t>
  </si>
  <si>
    <t>16DT0542</t>
  </si>
  <si>
    <t>16DT0543</t>
  </si>
  <si>
    <t>16DT0545</t>
  </si>
  <si>
    <t>16DT0548</t>
  </si>
  <si>
    <t>16DT0553</t>
  </si>
  <si>
    <t>16DT0554</t>
  </si>
  <si>
    <t>16DT0555</t>
  </si>
  <si>
    <t>16DT0559</t>
  </si>
  <si>
    <t>16DT0560</t>
  </si>
  <si>
    <t>16DT0562</t>
  </si>
  <si>
    <t>16DT0564</t>
  </si>
  <si>
    <t>16DT0565</t>
  </si>
  <si>
    <t>16DT0566</t>
  </si>
  <si>
    <t>16DT0567</t>
  </si>
  <si>
    <t>16DT0568</t>
  </si>
  <si>
    <t>16DT0572</t>
  </si>
  <si>
    <t>16DT0574</t>
  </si>
  <si>
    <t>16DT0575</t>
  </si>
  <si>
    <t>16DT0577</t>
  </si>
  <si>
    <t>16DT0581</t>
  </si>
  <si>
    <t>16DT0582</t>
  </si>
  <si>
    <t>16DT0584</t>
  </si>
  <si>
    <t>16DT0588</t>
  </si>
  <si>
    <t>16DT0589</t>
  </si>
  <si>
    <t>16DT0592</t>
  </si>
  <si>
    <t>16DT0593</t>
  </si>
  <si>
    <t>16DT0594</t>
  </si>
  <si>
    <t>16DT0595</t>
  </si>
  <si>
    <t>16DT0596</t>
  </si>
  <si>
    <t>16DT0597</t>
  </si>
  <si>
    <t>16DT0598</t>
  </si>
  <si>
    <t>16DT0599</t>
  </si>
  <si>
    <t>16DT0601</t>
  </si>
  <si>
    <t>16DT0602</t>
  </si>
  <si>
    <t>16DT0603</t>
  </si>
  <si>
    <t>16DT0604</t>
  </si>
  <si>
    <t>16DT0605</t>
  </si>
  <si>
    <t>16DT0606</t>
  </si>
  <si>
    <t>16DT0607</t>
  </si>
  <si>
    <t>16DT0609</t>
  </si>
  <si>
    <t>16DT0610</t>
  </si>
  <si>
    <t>16DT0611</t>
  </si>
  <si>
    <t>16DT0613</t>
  </si>
  <si>
    <t>16DT0616</t>
  </si>
  <si>
    <t>16DT0619</t>
  </si>
  <si>
    <t>16DT0621</t>
  </si>
  <si>
    <t>16DT0622</t>
  </si>
  <si>
    <t>16DT0628</t>
  </si>
  <si>
    <t>16DT0629</t>
  </si>
  <si>
    <t>16DT0632</t>
  </si>
  <si>
    <t>16DT0633</t>
  </si>
  <si>
    <t>16DT0634</t>
  </si>
  <si>
    <t>16DT0638</t>
  </si>
  <si>
    <t>16DT0639</t>
  </si>
  <si>
    <t>16DT0640</t>
  </si>
  <si>
    <t>16DT0641</t>
  </si>
  <si>
    <t>16DT0643</t>
  </si>
  <si>
    <t>16DT0644</t>
  </si>
  <si>
    <t>16DT0652</t>
  </si>
  <si>
    <t>16DT0661</t>
  </si>
  <si>
    <t>16DT0665</t>
  </si>
  <si>
    <t>16DT0670</t>
  </si>
  <si>
    <t>16DT0672</t>
  </si>
  <si>
    <t>16DT0675</t>
  </si>
  <si>
    <t>16DT0676</t>
  </si>
  <si>
    <t>16DT0677</t>
  </si>
  <si>
    <t>16DT0678</t>
  </si>
  <si>
    <t>16DT0681</t>
  </si>
  <si>
    <t>16DT0683</t>
  </si>
  <si>
    <t>16DT0687</t>
  </si>
  <si>
    <t>16DT0689</t>
  </si>
  <si>
    <t>16DT0693</t>
  </si>
  <si>
    <t>16DT0696</t>
  </si>
  <si>
    <t>16DT0698</t>
  </si>
  <si>
    <t>16DT0704</t>
  </si>
  <si>
    <t>16DT0705</t>
  </si>
  <si>
    <t>16DT0710</t>
  </si>
  <si>
    <t>16DT0712</t>
  </si>
  <si>
    <t>16DT0713</t>
  </si>
  <si>
    <t>16DT0714</t>
  </si>
  <si>
    <t>16DT0715</t>
  </si>
  <si>
    <t>16DT0716</t>
  </si>
  <si>
    <t>16DT0717</t>
  </si>
  <si>
    <t>16DT0718</t>
  </si>
  <si>
    <t>16DT0721</t>
  </si>
  <si>
    <t>16DT0723</t>
  </si>
  <si>
    <t>16DT0725</t>
  </si>
  <si>
    <t>16DT0726</t>
  </si>
  <si>
    <t>16DT0727</t>
  </si>
  <si>
    <t>16DT0729</t>
  </si>
  <si>
    <t>16DT0734</t>
  </si>
  <si>
    <t>16DT0737</t>
  </si>
  <si>
    <t>16DT0743</t>
  </si>
  <si>
    <t>16DT0744</t>
  </si>
  <si>
    <t>16DT0746</t>
  </si>
  <si>
    <t>16DT0747</t>
  </si>
  <si>
    <t>16DT0750</t>
  </si>
  <si>
    <t>16DT0762</t>
  </si>
  <si>
    <t>16DT0763</t>
  </si>
  <si>
    <t>16DT0764</t>
  </si>
  <si>
    <t>16DT0765</t>
  </si>
  <si>
    <t>16DT0766</t>
  </si>
  <si>
    <t>16DT0767</t>
  </si>
  <si>
    <t>16DT0779</t>
  </si>
  <si>
    <t>16DT0782</t>
  </si>
  <si>
    <t>16DT0783</t>
  </si>
  <si>
    <t>16DT0786</t>
  </si>
  <si>
    <t>16DT0788</t>
  </si>
  <si>
    <t>16DT0793</t>
  </si>
  <si>
    <t>16DT0798</t>
  </si>
  <si>
    <t>16DT0800</t>
  </si>
  <si>
    <t>16DT0805</t>
  </si>
  <si>
    <t>16DT0806</t>
  </si>
  <si>
    <t>16DT0807</t>
  </si>
  <si>
    <t>16DT0808</t>
  </si>
  <si>
    <t>16DT0809</t>
  </si>
  <si>
    <t>16DT0810</t>
  </si>
  <si>
    <t>16DT0835</t>
  </si>
  <si>
    <t>16DT0837</t>
  </si>
  <si>
    <t>16DT0839</t>
  </si>
  <si>
    <t>16DT0852</t>
  </si>
  <si>
    <t>16DT0587</t>
  </si>
  <si>
    <t>16DT0556</t>
  </si>
  <si>
    <t>16DT0579</t>
  </si>
  <si>
    <t>16DT0578</t>
  </si>
  <si>
    <t>16DT0626</t>
  </si>
  <si>
    <t>16DT0630</t>
  </si>
  <si>
    <t>16DT0563</t>
  </si>
  <si>
    <t>16DT0617</t>
  </si>
  <si>
    <t>16DT0583</t>
  </si>
  <si>
    <t>16DT0711</t>
  </si>
  <si>
    <t>16DT0569</t>
  </si>
  <si>
    <t>16DT0614</t>
  </si>
  <si>
    <t>16DT0637</t>
  </si>
  <si>
    <t>16DT0636</t>
  </si>
  <si>
    <t>16DT0799</t>
  </si>
  <si>
    <t>16DT0847</t>
  </si>
  <si>
    <t>16DT0857</t>
  </si>
  <si>
    <t>16DT0859</t>
  </si>
  <si>
    <t>16DT0861</t>
  </si>
  <si>
    <t>16DT0842</t>
  </si>
  <si>
    <t>16DT0844</t>
  </si>
  <si>
    <t>16DT0858</t>
  </si>
  <si>
    <t>16DT0882</t>
  </si>
  <si>
    <t>16DT0867</t>
  </si>
  <si>
    <t>16DT0849</t>
  </si>
  <si>
    <t>16DT0854</t>
  </si>
  <si>
    <t>16DT0881</t>
  </si>
  <si>
    <t>16DT0845</t>
  </si>
  <si>
    <t>16DT0856</t>
  </si>
  <si>
    <t>16DT0866</t>
  </si>
  <si>
    <t>16DT0860</t>
  </si>
  <si>
    <t>16DT0851</t>
  </si>
  <si>
    <t>16DT0841</t>
  </si>
  <si>
    <t>16DT0840</t>
  </si>
  <si>
    <t>16DT0846</t>
  </si>
  <si>
    <t>16DT0836</t>
  </si>
  <si>
    <t>16DT0862</t>
  </si>
  <si>
    <t>16DT0850</t>
  </si>
  <si>
    <t>16DT0863</t>
  </si>
  <si>
    <t>16DT0784</t>
  </si>
  <si>
    <t>16DT0855</t>
  </si>
  <si>
    <t>16DT0838</t>
  </si>
  <si>
    <t>16DT0868</t>
  </si>
  <si>
    <t>16DT0843</t>
  </si>
  <si>
    <t>16DT0848</t>
  </si>
  <si>
    <t>16GD0065</t>
  </si>
  <si>
    <t>16GD0067</t>
  </si>
  <si>
    <t>16GD0070</t>
  </si>
  <si>
    <t>16GD0085</t>
  </si>
  <si>
    <t>16GD0086</t>
  </si>
  <si>
    <t>16GD0087</t>
  </si>
  <si>
    <t>16GD0088</t>
  </si>
  <si>
    <t>16GD0089</t>
  </si>
  <si>
    <t>14M3</t>
  </si>
  <si>
    <t>16GD0091</t>
  </si>
  <si>
    <t>16GD0092</t>
  </si>
  <si>
    <t>16GD0094</t>
  </si>
  <si>
    <t>16GD0095</t>
  </si>
  <si>
    <t>16DZ0239</t>
  </si>
  <si>
    <t>D8R</t>
  </si>
  <si>
    <t>16DZ0240</t>
  </si>
  <si>
    <t>16DZ0241</t>
  </si>
  <si>
    <t>16DZ0242</t>
  </si>
  <si>
    <t>16DZ0243</t>
  </si>
  <si>
    <t>16DZ0244</t>
  </si>
  <si>
    <t>16DZ0247</t>
  </si>
  <si>
    <t>16DZ0250</t>
  </si>
  <si>
    <t>16DZ0251</t>
  </si>
  <si>
    <t>16DZ0252</t>
  </si>
  <si>
    <t>D9T</t>
  </si>
  <si>
    <t>16DZ0259</t>
  </si>
  <si>
    <t>16DZ0260</t>
  </si>
  <si>
    <t>16DZ0263</t>
  </si>
  <si>
    <t>16DZ0268</t>
  </si>
  <si>
    <t>16DZ0269</t>
  </si>
  <si>
    <t>16DZ0270</t>
  </si>
  <si>
    <t>16DZ0271</t>
  </si>
  <si>
    <t>16DZ0272</t>
  </si>
  <si>
    <t>16DZ0277</t>
  </si>
  <si>
    <t>16DZ0278</t>
  </si>
  <si>
    <t>16DZ0279</t>
  </si>
  <si>
    <t>16LD0076</t>
  </si>
  <si>
    <t>966H</t>
  </si>
  <si>
    <t>Loader</t>
  </si>
  <si>
    <t>16LD0051</t>
  </si>
  <si>
    <t>966F</t>
  </si>
  <si>
    <t>16DT0749</t>
  </si>
  <si>
    <t>16DT0709</t>
  </si>
  <si>
    <t>16MT0332</t>
  </si>
  <si>
    <t>AD380T44W</t>
  </si>
  <si>
    <t>16MT0248</t>
  </si>
  <si>
    <t>16MT0371</t>
  </si>
  <si>
    <t>FMX440</t>
  </si>
  <si>
    <t>16MT0214</t>
  </si>
  <si>
    <t>AD410T44H</t>
  </si>
  <si>
    <t>16MT0344</t>
  </si>
  <si>
    <t>16MT0342</t>
  </si>
  <si>
    <t>16MT0363</t>
  </si>
  <si>
    <t>16MT0374</t>
  </si>
  <si>
    <t>16MT0336</t>
  </si>
  <si>
    <t>16MT0339</t>
  </si>
  <si>
    <t>16MT0335</t>
  </si>
  <si>
    <t>16MT0337</t>
  </si>
  <si>
    <t>16MT0333</t>
  </si>
  <si>
    <t>16MT0340</t>
  </si>
  <si>
    <t>16MT0348</t>
  </si>
  <si>
    <t>16MT0382</t>
  </si>
  <si>
    <t>FM 66 R</t>
  </si>
  <si>
    <t>16MT0380</t>
  </si>
  <si>
    <t>16MT0381</t>
  </si>
  <si>
    <t>P360B</t>
  </si>
  <si>
    <t>16MT0197</t>
  </si>
  <si>
    <t>AD240T38W</t>
  </si>
  <si>
    <t>HD9 4442 80</t>
  </si>
  <si>
    <t>16MT0346</t>
  </si>
  <si>
    <t>16MT0368</t>
  </si>
  <si>
    <t>FMX330</t>
  </si>
  <si>
    <t>16MT0369</t>
  </si>
  <si>
    <t>16MT0196</t>
  </si>
  <si>
    <t>16MT0203</t>
  </si>
  <si>
    <t>16MT0199</t>
  </si>
  <si>
    <t>16MT0270</t>
  </si>
  <si>
    <t>16MT0129</t>
  </si>
  <si>
    <t>MP240E37W</t>
  </si>
  <si>
    <t>16MT0147</t>
  </si>
  <si>
    <t>16MT0341</t>
  </si>
  <si>
    <t>FM66R</t>
  </si>
  <si>
    <t>16MT0327</t>
  </si>
  <si>
    <t>16MT0338</t>
  </si>
  <si>
    <t>16MT0264</t>
  </si>
  <si>
    <t>16MT0266</t>
  </si>
  <si>
    <t>16MT0268</t>
  </si>
  <si>
    <t>16MT0269</t>
  </si>
  <si>
    <t>16MT0271</t>
  </si>
  <si>
    <t>16MT0272</t>
  </si>
  <si>
    <t>16MT0273</t>
  </si>
  <si>
    <t>16MT0200</t>
  </si>
  <si>
    <t>16MT0201</t>
  </si>
  <si>
    <t>16MT0274</t>
  </si>
  <si>
    <t>16MT0343</t>
  </si>
  <si>
    <t>16MT0345</t>
  </si>
  <si>
    <t>16MT0367</t>
  </si>
  <si>
    <t>Lighting</t>
  </si>
  <si>
    <t>16LT2371</t>
  </si>
  <si>
    <t>16LT2372</t>
  </si>
  <si>
    <t>16LT2378</t>
  </si>
  <si>
    <t>16LT2385</t>
  </si>
  <si>
    <t>16LT2386</t>
  </si>
  <si>
    <t>16LT2387</t>
  </si>
  <si>
    <t>16LT2388</t>
  </si>
  <si>
    <t>16LT2399</t>
  </si>
  <si>
    <t>16LT9167</t>
  </si>
  <si>
    <t>16LT9157</t>
  </si>
  <si>
    <t>16LT9162</t>
  </si>
  <si>
    <t>16LT9168</t>
  </si>
  <si>
    <t>16LT9158</t>
  </si>
  <si>
    <t>16LT9166</t>
  </si>
  <si>
    <t>16LT9169</t>
  </si>
  <si>
    <t>16LT9161</t>
  </si>
  <si>
    <t>16LT9164</t>
  </si>
  <si>
    <t>16LT9159</t>
  </si>
  <si>
    <t>16LT9170</t>
  </si>
  <si>
    <t>16LT9156</t>
  </si>
  <si>
    <t>16LT9160</t>
  </si>
  <si>
    <t>16LT9155</t>
  </si>
  <si>
    <t>16LT9165</t>
  </si>
  <si>
    <t>16LT2382</t>
  </si>
  <si>
    <t>16LT2384</t>
  </si>
  <si>
    <t>16LT2389</t>
  </si>
  <si>
    <t>PUMP</t>
  </si>
  <si>
    <t>DND200</t>
  </si>
  <si>
    <t>16PU2352</t>
  </si>
  <si>
    <t>16MA0102</t>
  </si>
  <si>
    <t>PONTOON</t>
  </si>
  <si>
    <t>16PU2359</t>
  </si>
  <si>
    <t>16PU2360</t>
  </si>
  <si>
    <t>16PU2363</t>
  </si>
  <si>
    <t>16MA0110</t>
  </si>
  <si>
    <t>16MA0120</t>
  </si>
  <si>
    <t>16MA0109</t>
  </si>
  <si>
    <t>16MA0101</t>
  </si>
  <si>
    <t>16PU2370</t>
  </si>
  <si>
    <t>TWM 06633</t>
  </si>
  <si>
    <t>16MA0130</t>
  </si>
  <si>
    <t>16MA0107</t>
  </si>
  <si>
    <t>16PU2421</t>
  </si>
  <si>
    <t xml:space="preserve"> MF420EXHV</t>
  </si>
  <si>
    <t>16PU2445</t>
  </si>
  <si>
    <t>DND 150</t>
  </si>
  <si>
    <t>16PU2446</t>
  </si>
  <si>
    <t>16PU2400</t>
  </si>
  <si>
    <t>DRAGFLOW 1204B</t>
  </si>
  <si>
    <t>16PU2455</t>
  </si>
  <si>
    <t>16MA0154</t>
  </si>
  <si>
    <t>16MA0159</t>
  </si>
  <si>
    <t>16MA0123</t>
  </si>
  <si>
    <t>MF385HP</t>
  </si>
  <si>
    <t>16MA0103</t>
  </si>
  <si>
    <t>16PU2358</t>
  </si>
  <si>
    <t>16MA0108</t>
  </si>
  <si>
    <t>16PU2355</t>
  </si>
  <si>
    <t>16MA0105</t>
  </si>
  <si>
    <t>16PU2354</t>
  </si>
  <si>
    <t>16MA0104</t>
  </si>
  <si>
    <t>16PU2382</t>
  </si>
  <si>
    <t xml:space="preserve"> TWM06367</t>
  </si>
  <si>
    <t>16MA0132</t>
  </si>
  <si>
    <t>16PU2383</t>
  </si>
  <si>
    <t>LSA 6X8-25</t>
  </si>
  <si>
    <t>16PU2384</t>
  </si>
  <si>
    <t>16PU2385</t>
  </si>
  <si>
    <t>16PU2386</t>
  </si>
  <si>
    <t>DND200-MHX</t>
  </si>
  <si>
    <t>16PU2388</t>
  </si>
  <si>
    <t>16PU2389</t>
  </si>
  <si>
    <t>16PU2390</t>
  </si>
  <si>
    <t>16PU2392</t>
  </si>
  <si>
    <t>16PU2393</t>
  </si>
  <si>
    <t>16PU2394</t>
  </si>
  <si>
    <t>16PU2401</t>
  </si>
  <si>
    <t>16MA0157</t>
  </si>
  <si>
    <t>16PU2448</t>
  </si>
  <si>
    <t>16PU2449</t>
  </si>
  <si>
    <t>16PU2450</t>
  </si>
  <si>
    <t>16PU2451</t>
  </si>
  <si>
    <t>16PU2454</t>
  </si>
  <si>
    <t>16PU2357</t>
  </si>
  <si>
    <t>16PU2447</t>
  </si>
  <si>
    <t>16PU9071</t>
  </si>
  <si>
    <t>16PU9072</t>
  </si>
  <si>
    <t>16PU2418</t>
  </si>
  <si>
    <t>16MA0158</t>
  </si>
  <si>
    <t>16PU2453</t>
  </si>
  <si>
    <t>16PU9073</t>
  </si>
  <si>
    <t>16PU9074</t>
  </si>
  <si>
    <t xml:space="preserve">16PU9075 </t>
  </si>
  <si>
    <t xml:space="preserve">16PU9076 </t>
  </si>
  <si>
    <t>16DR0029</t>
  </si>
  <si>
    <t>MD6250</t>
  </si>
  <si>
    <t>16DR0030</t>
  </si>
  <si>
    <t>D245S</t>
  </si>
  <si>
    <t>16DR0014</t>
  </si>
  <si>
    <t>16DR9002</t>
  </si>
  <si>
    <t>16DR0028</t>
  </si>
  <si>
    <t>MD6290</t>
  </si>
  <si>
    <t>16DR0026</t>
  </si>
  <si>
    <t>16GT0076</t>
  </si>
  <si>
    <t>HT13.5P</t>
  </si>
  <si>
    <t>16GT0071</t>
  </si>
  <si>
    <t>HT20Y</t>
  </si>
  <si>
    <t>16GT0347</t>
  </si>
  <si>
    <t>R-YM13SZ</t>
  </si>
  <si>
    <t>16GT0349</t>
  </si>
  <si>
    <t>GDP60YS</t>
  </si>
  <si>
    <t>16GT0072</t>
  </si>
  <si>
    <t>16GT0316</t>
  </si>
  <si>
    <t>HT45P</t>
  </si>
  <si>
    <t>16GT0346</t>
  </si>
  <si>
    <t>16GT0348</t>
  </si>
  <si>
    <t>16GT0266</t>
  </si>
  <si>
    <t>HT60P</t>
  </si>
  <si>
    <t>16GT0345</t>
  </si>
  <si>
    <t>16GT0257</t>
  </si>
  <si>
    <t>EGS380-6</t>
  </si>
  <si>
    <t>16GT0258</t>
  </si>
  <si>
    <t>16GT0393</t>
  </si>
  <si>
    <t>HT60</t>
  </si>
  <si>
    <t>16GT0371</t>
  </si>
  <si>
    <t>PL100SB</t>
  </si>
  <si>
    <t>16GT0440</t>
  </si>
  <si>
    <t>EGS300-6</t>
  </si>
  <si>
    <t>16GT0442</t>
  </si>
  <si>
    <t>16GT0364</t>
  </si>
  <si>
    <t>DE220E0</t>
  </si>
  <si>
    <t>16WM0252</t>
  </si>
  <si>
    <t>WELDER</t>
  </si>
  <si>
    <t>16WM0238</t>
  </si>
  <si>
    <t>500DX</t>
  </si>
  <si>
    <t>16WM0323</t>
  </si>
  <si>
    <t>16WM0324</t>
  </si>
  <si>
    <t>16WM0242</t>
  </si>
  <si>
    <t>600DX</t>
  </si>
  <si>
    <t>16WM0327</t>
  </si>
  <si>
    <t>16WM0250</t>
  </si>
  <si>
    <t>600X</t>
  </si>
  <si>
    <t>16WM0241</t>
  </si>
  <si>
    <t>16WM0251</t>
  </si>
  <si>
    <t>16WM0223</t>
  </si>
  <si>
    <t>16WM0224</t>
  </si>
  <si>
    <t>401DX</t>
  </si>
  <si>
    <t>16CM0125</t>
  </si>
  <si>
    <t>XAS 137 KD</t>
  </si>
  <si>
    <t>COMPRESSOR</t>
  </si>
  <si>
    <t>16CM0143</t>
  </si>
  <si>
    <t>M100</t>
  </si>
  <si>
    <t>16CM0147</t>
  </si>
  <si>
    <t>KW13-14</t>
  </si>
  <si>
    <t>16CM0152</t>
  </si>
  <si>
    <t>XAS 48 KD</t>
  </si>
  <si>
    <t>16CM0156</t>
  </si>
  <si>
    <t>16CM0165</t>
  </si>
  <si>
    <t>XAS 90 DD</t>
  </si>
  <si>
    <t>16CM0173</t>
  </si>
  <si>
    <t>XAS 90 DD7</t>
  </si>
  <si>
    <t>16CM0199</t>
  </si>
  <si>
    <t>16CM0114</t>
  </si>
  <si>
    <t>XAS 130 DD</t>
  </si>
  <si>
    <t>16CM0124</t>
  </si>
  <si>
    <t>XAS 300 KD7</t>
  </si>
  <si>
    <t>16CM0104</t>
  </si>
  <si>
    <t>XAS 300 DD7</t>
  </si>
  <si>
    <t>16CM0158</t>
  </si>
  <si>
    <t>16LV9163</t>
  </si>
  <si>
    <t>LV</t>
  </si>
  <si>
    <t>16LV9172</t>
  </si>
  <si>
    <t>Triton DC HDX</t>
  </si>
  <si>
    <t>16LV9178</t>
  </si>
  <si>
    <t>16LV9195</t>
  </si>
  <si>
    <t>16LV9198</t>
  </si>
  <si>
    <t>16LV9200</t>
  </si>
  <si>
    <t>16LV9201</t>
  </si>
  <si>
    <t>16LV9202</t>
  </si>
  <si>
    <t>16LV9205</t>
  </si>
  <si>
    <t>16LV9206</t>
  </si>
  <si>
    <t>16LV9404</t>
  </si>
  <si>
    <t>16LV9405</t>
  </si>
  <si>
    <t>16LV9435</t>
  </si>
  <si>
    <t>16LV9460</t>
  </si>
  <si>
    <t>16LV9461</t>
  </si>
  <si>
    <t>16LV9462</t>
  </si>
  <si>
    <t>16LV9463</t>
  </si>
  <si>
    <t>16MT9135</t>
  </si>
  <si>
    <t>16MT9136</t>
  </si>
  <si>
    <t>MITSUBISHI</t>
  </si>
  <si>
    <t>16MT9137</t>
  </si>
  <si>
    <t>16MT9194</t>
  </si>
  <si>
    <t>16MT9195</t>
  </si>
  <si>
    <t xml:space="preserve">16MT9176 </t>
  </si>
  <si>
    <t>16MT9457</t>
  </si>
  <si>
    <t>16MT9303</t>
  </si>
  <si>
    <t>Mitsubishi</t>
  </si>
  <si>
    <t>16MT9304</t>
  </si>
  <si>
    <t>16MT9305</t>
  </si>
  <si>
    <t>16MT9309</t>
  </si>
  <si>
    <t>16CP0045</t>
  </si>
  <si>
    <t>825K</t>
  </si>
  <si>
    <t>EXCAVATOR</t>
  </si>
  <si>
    <t>3.2 BCM</t>
  </si>
  <si>
    <t>DT-3018</t>
  </si>
  <si>
    <t>EX-2035</t>
  </si>
  <si>
    <t>Excavator General</t>
  </si>
  <si>
    <t>Lv, Bus, Welding</t>
  </si>
  <si>
    <t>BN</t>
  </si>
  <si>
    <t>Doosan</t>
  </si>
  <si>
    <t>DX500LCA</t>
  </si>
  <si>
    <t>EC480DL</t>
  </si>
  <si>
    <t>ZX350H-5G</t>
  </si>
  <si>
    <t>ZX470LC-5G</t>
  </si>
  <si>
    <t>DX520LCA</t>
  </si>
  <si>
    <t>DX300LCA</t>
  </si>
  <si>
    <t>ACTROS MB3939K</t>
  </si>
  <si>
    <t>P380CB-6x4</t>
  </si>
  <si>
    <t>FMX-400 6x4</t>
  </si>
  <si>
    <t>ZS1EPPD-4141</t>
  </si>
  <si>
    <t>NISSAN DIESEL</t>
  </si>
  <si>
    <t>CWB45ALDN1</t>
  </si>
  <si>
    <t>Nissan</t>
  </si>
  <si>
    <t>BW211D-40 9</t>
  </si>
  <si>
    <t>FMX480</t>
  </si>
  <si>
    <t>LOWBOY</t>
  </si>
  <si>
    <t>LV-32</t>
  </si>
  <si>
    <t>Light Vehicle</t>
  </si>
  <si>
    <t>LV-38</t>
  </si>
  <si>
    <t>LV-39</t>
  </si>
  <si>
    <t>LV-40</t>
  </si>
  <si>
    <t>TRITON HDX</t>
  </si>
  <si>
    <t>LV-41</t>
  </si>
  <si>
    <t>LV-42</t>
  </si>
  <si>
    <t>LV-43</t>
  </si>
  <si>
    <t>TOYOTA</t>
  </si>
  <si>
    <t>LV-44</t>
  </si>
  <si>
    <t>TRITON DC HDX-H MT</t>
  </si>
  <si>
    <t>LV-45</t>
  </si>
  <si>
    <t>LV-01</t>
  </si>
  <si>
    <t>FORTUNER VRZ4X4</t>
  </si>
  <si>
    <t>BN-01</t>
  </si>
  <si>
    <t>-</t>
  </si>
  <si>
    <t>LV-02</t>
  </si>
  <si>
    <t>LV-26</t>
  </si>
  <si>
    <t>LV-37</t>
  </si>
  <si>
    <t>BS-13</t>
  </si>
  <si>
    <t>FE84G BC MT</t>
  </si>
  <si>
    <t>BS-15</t>
  </si>
  <si>
    <t>BS-16</t>
  </si>
  <si>
    <t>BS-17</t>
  </si>
  <si>
    <t>NLR 55B</t>
  </si>
  <si>
    <t>Yanmar</t>
  </si>
  <si>
    <t>JCB LT9</t>
  </si>
  <si>
    <t>3TNV76-GGEH</t>
  </si>
  <si>
    <t>PERKINS</t>
  </si>
  <si>
    <t>ED100C</t>
  </si>
  <si>
    <t>KIRLOSKAR</t>
  </si>
  <si>
    <t>KG15WS</t>
  </si>
  <si>
    <t>Volvo Penta KSB</t>
  </si>
  <si>
    <t>EK1343-150 SS</t>
  </si>
  <si>
    <t>Water Sump</t>
  </si>
  <si>
    <t>Vovlo KSB</t>
  </si>
  <si>
    <t>LCC-H200-610.5K AB M1</t>
  </si>
  <si>
    <t>Pump Transfer</t>
  </si>
  <si>
    <t>TS-230R</t>
  </si>
  <si>
    <t>Pompa Transfer</t>
  </si>
  <si>
    <t>Water Fill</t>
  </si>
  <si>
    <t>TF155R-E</t>
  </si>
  <si>
    <t>Pompa</t>
  </si>
  <si>
    <t>Washing By</t>
  </si>
  <si>
    <t>TF105R-E</t>
  </si>
  <si>
    <t>DEUTZ</t>
  </si>
  <si>
    <t>COMPRESSOR AIR</t>
  </si>
  <si>
    <t>HIT</t>
  </si>
  <si>
    <t xml:space="preserve"> 777E</t>
  </si>
  <si>
    <t xml:space="preserve"> 773 E</t>
  </si>
  <si>
    <t>BD 101</t>
  </si>
  <si>
    <t>BD 102</t>
  </si>
  <si>
    <t>BD 103</t>
  </si>
  <si>
    <t>BD 104</t>
  </si>
  <si>
    <t>BD 105</t>
  </si>
  <si>
    <t>BD 106</t>
  </si>
  <si>
    <t>BD 107</t>
  </si>
  <si>
    <t>BD 108</t>
  </si>
  <si>
    <t>BD 109</t>
  </si>
  <si>
    <t>BD 110</t>
  </si>
  <si>
    <t>BD 112</t>
  </si>
  <si>
    <t>BD 149</t>
  </si>
  <si>
    <t>BD 150</t>
  </si>
  <si>
    <t>BD 154</t>
  </si>
  <si>
    <t>BD 155</t>
  </si>
  <si>
    <t>BD 167</t>
  </si>
  <si>
    <t>BD 168</t>
  </si>
  <si>
    <t>BD 169</t>
  </si>
  <si>
    <t>BD 170</t>
  </si>
  <si>
    <t>BD 171</t>
  </si>
  <si>
    <t>BD 3201</t>
  </si>
  <si>
    <t>BD 3202</t>
  </si>
  <si>
    <t>BD 3203</t>
  </si>
  <si>
    <t>BD 3204</t>
  </si>
  <si>
    <t>BD 3205</t>
  </si>
  <si>
    <t>BD 3206</t>
  </si>
  <si>
    <t>BD 3207</t>
  </si>
  <si>
    <t>BD 3208</t>
  </si>
  <si>
    <t>BD 3209</t>
  </si>
  <si>
    <t>BD 3210</t>
  </si>
  <si>
    <t>BD 3211</t>
  </si>
  <si>
    <t>BD 3212</t>
  </si>
  <si>
    <t>BD 3213</t>
  </si>
  <si>
    <t>BD 3214</t>
  </si>
  <si>
    <t>BD 3215</t>
  </si>
  <si>
    <t>BD 3216</t>
  </si>
  <si>
    <t>BD 3217</t>
  </si>
  <si>
    <t>BD 3218</t>
  </si>
  <si>
    <t>MG 807</t>
  </si>
  <si>
    <t>MG 810</t>
  </si>
  <si>
    <t>MG 815</t>
  </si>
  <si>
    <t>MG 816</t>
  </si>
  <si>
    <t>MG 817</t>
  </si>
  <si>
    <t>MG 818</t>
  </si>
  <si>
    <t>MG 4003</t>
  </si>
  <si>
    <t>MG 4004</t>
  </si>
  <si>
    <t>MG 4005</t>
  </si>
  <si>
    <t>MG 4201</t>
  </si>
  <si>
    <t>MG 4202</t>
  </si>
  <si>
    <t>MG 4203</t>
  </si>
  <si>
    <t>MG 4204</t>
  </si>
  <si>
    <t>MG 5301</t>
  </si>
  <si>
    <t>MG 5302</t>
  </si>
  <si>
    <t>MG 5303</t>
  </si>
  <si>
    <t>EX 5114</t>
  </si>
  <si>
    <t>EX 5115</t>
  </si>
  <si>
    <t>EX 5116</t>
  </si>
  <si>
    <t>WT 9003</t>
  </si>
  <si>
    <t xml:space="preserve"> WT 9004</t>
  </si>
  <si>
    <t xml:space="preserve"> WT 9005</t>
  </si>
  <si>
    <t xml:space="preserve"> WT 9006</t>
  </si>
  <si>
    <t xml:space="preserve"> WT 9010</t>
  </si>
  <si>
    <t xml:space="preserve"> WT 9011</t>
  </si>
  <si>
    <t>WT 9012</t>
  </si>
  <si>
    <t xml:space="preserve"> WT 9013</t>
  </si>
  <si>
    <t>WT 9014</t>
  </si>
  <si>
    <t>WT 9015</t>
  </si>
  <si>
    <t>WT 9016</t>
  </si>
  <si>
    <t>WT 9017</t>
  </si>
  <si>
    <t xml:space="preserve"> WT 9018</t>
  </si>
  <si>
    <t xml:space="preserve"> WT 9019</t>
  </si>
  <si>
    <t xml:space="preserve"> WT 101</t>
  </si>
  <si>
    <t xml:space="preserve"> WT 9007</t>
  </si>
  <si>
    <t>16LT9163</t>
  </si>
  <si>
    <t>16PU2365</t>
  </si>
  <si>
    <t>16PU2353</t>
  </si>
  <si>
    <t>16PU2387</t>
  </si>
  <si>
    <t>16PU2391</t>
  </si>
  <si>
    <t>16PU2377</t>
  </si>
  <si>
    <t>16PU2347</t>
  </si>
  <si>
    <t>16PU2373</t>
  </si>
  <si>
    <t>16LV9467</t>
  </si>
  <si>
    <t>16LV9468</t>
  </si>
  <si>
    <t>16LV9469</t>
  </si>
  <si>
    <t>16LV9471</t>
  </si>
  <si>
    <t>16LV9470</t>
  </si>
  <si>
    <t>16LV9466</t>
  </si>
  <si>
    <t>16LV9406</t>
  </si>
  <si>
    <t>MINIBUS</t>
  </si>
  <si>
    <t>Cartenz</t>
  </si>
  <si>
    <t>IVECO</t>
  </si>
  <si>
    <t>PONTON</t>
  </si>
  <si>
    <t>EL1204B</t>
  </si>
  <si>
    <t>LSA 6X8-25.5 GSLR</t>
  </si>
  <si>
    <t>OB Support</t>
  </si>
  <si>
    <t>BS-203</t>
  </si>
  <si>
    <t>BS-204</t>
  </si>
  <si>
    <t>DOSAN 500</t>
  </si>
  <si>
    <t>SCANIA P380</t>
  </si>
  <si>
    <t>DUMP TRUCK</t>
  </si>
  <si>
    <t>SANY SKT 90S</t>
  </si>
  <si>
    <t>KOMATSU D85</t>
  </si>
  <si>
    <t>BULLDOZER</t>
  </si>
  <si>
    <t>KOMATSU 511</t>
  </si>
  <si>
    <t>M. GRADER</t>
  </si>
  <si>
    <t>DOSAN 225 LC</t>
  </si>
  <si>
    <t>GENERAL</t>
  </si>
  <si>
    <t>NISANCWB45</t>
  </si>
  <si>
    <t>FUEL TRUCK</t>
  </si>
  <si>
    <t>FUEL</t>
  </si>
  <si>
    <t>CRANE TRUCK</t>
  </si>
  <si>
    <t>EX1733</t>
  </si>
  <si>
    <t>DZ-204</t>
  </si>
  <si>
    <t>WT-102</t>
  </si>
  <si>
    <t>FT-102</t>
  </si>
  <si>
    <t>MERCEDES-BENZ</t>
  </si>
  <si>
    <t>EXCAVATOR, LIEBHERR, R9350</t>
  </si>
  <si>
    <t>EXCAVATOR, HITACHI, EX2600-6</t>
  </si>
  <si>
    <t>EXCAVATOR, BACKHOE, HITACHI, EX2600-6</t>
  </si>
  <si>
    <t>EXCAVATOR, BACKHOE, HITACHI, EX2500-6</t>
  </si>
  <si>
    <t>EXCAVATOR, BACKHOE, KOMATSU, PC2000-8</t>
  </si>
  <si>
    <t>TRUCK, DUMP, CATERPILLAR, 777D, 100T</t>
  </si>
  <si>
    <t>TRUCK, DUMP, CAT, 777D</t>
  </si>
  <si>
    <t>TRUCK, DUMP, KOMATSU, HD785-7, 100T</t>
  </si>
  <si>
    <t>TRUCK, DUMP, KOMATSU, HD785-7</t>
  </si>
  <si>
    <t>TRUCK, DUMP, KOMATSU, HD785-7, 100T- ESCO OB</t>
  </si>
  <si>
    <t>GRADER, CAT, 16M</t>
  </si>
  <si>
    <t>GRADER, KOMATSU, GD825A-2</t>
  </si>
  <si>
    <t>GRADER, CATERPILLAR, 14M3</t>
  </si>
  <si>
    <t>GRADER, CAT, 14M3</t>
  </si>
  <si>
    <t>16GD0102</t>
  </si>
  <si>
    <t>DOZER, TRACK, CATERPILLAR, D8R, RIPPER</t>
  </si>
  <si>
    <t>DOZER, TRACK, CAT, D8R</t>
  </si>
  <si>
    <t>DOZER, TRACK, CATERPILLAR, D9T, RIPPER</t>
  </si>
  <si>
    <t>DOZER, TRACK, CAT, D9T</t>
  </si>
  <si>
    <t>LOADER, WHEEL, CATERPILLAR, 966H</t>
  </si>
  <si>
    <t>LOADER, WHEEL, CAT, 966F</t>
  </si>
  <si>
    <t>TRUCK, WATER, CATERPILLAR, 777D, 80KL</t>
  </si>
  <si>
    <t>TRUCK, WASH, IVECO, AD380T44W, 6X6, 20KL</t>
  </si>
  <si>
    <t>TRUCK, WASH, VOLVO, FMX440, 6X6, 20KL</t>
  </si>
  <si>
    <t>TRUCK, WATER, IVECO, TRAKKER 440, 8X4</t>
  </si>
  <si>
    <t>TRUCK, SERVICE, VOLVO, FMX440, 6X6</t>
  </si>
  <si>
    <t>TRUCK, FUEL, VOLVO, FMX440, 6X6, 25KL</t>
  </si>
  <si>
    <t>TRUCK, FUEL, IVECO, AD380T44W, 6X6, 25KL</t>
  </si>
  <si>
    <t>TRUCK, CRANE, VOLVO, FMX440, 6X6, 15T</t>
  </si>
  <si>
    <t>TRUCK, CRANE, IVECO, TRAKKER, AD380T44W,</t>
  </si>
  <si>
    <t>TRUCK, TIRE, VOLVO, FMX440, 6X6</t>
  </si>
  <si>
    <t>TRUCK, WELDING, VOLVO, FMX440, 6X6</t>
  </si>
  <si>
    <t xml:space="preserve">TRUCK, SHUTDOWN, SCANIA, P360B, 6X6 </t>
  </si>
  <si>
    <t>TRUCK, MANHAUL, IVECO, AD240T38W, 4X4, C</t>
  </si>
  <si>
    <t>TRUCK, MANHAUL, IVECO, HD94442, 4X4</t>
  </si>
  <si>
    <t>TRUCK, MANHAUL, VOLVO, FMX330, 4X4, 40 SEAT</t>
  </si>
  <si>
    <t>TRUCK, MANHAUL, IVECO, TRAKKER 380, 4X4</t>
  </si>
  <si>
    <t>TRUCK, MANHAUL, IVECO, ASTRA HD9420, 4X4</t>
  </si>
  <si>
    <t>TRUCK, CRANE, IVECO, TRAKKER 370, 4X4</t>
  </si>
  <si>
    <t>TRUCK, FUEL, IVECO, TRAKKER 440, 6X6 25KL</t>
  </si>
  <si>
    <t>TRUCK, FUEL, VOLVO, FMX440, 6X6 25KL</t>
  </si>
  <si>
    <t>TRUCK, SERVICE, IVECO, ASTRA HD9420, 4X4</t>
  </si>
  <si>
    <t>TRUCK, P-MOVER, VOLVO, FMX440, 6X6</t>
  </si>
  <si>
    <t>LIGHTING PLANT, LED, 2000W / 3000W</t>
  </si>
  <si>
    <t>LIGHTING TOWER, ALLMAKES, LED, TL4</t>
  </si>
  <si>
    <t>PUMP, DND200 c/w PONTOON 16MA0102</t>
  </si>
  <si>
    <t>PONTOON, PUMP, DND200, 16PU2352</t>
  </si>
  <si>
    <t>PUMP, MULTIFLO, MF420[c/w16MA0109]</t>
  </si>
  <si>
    <t>PUMP, MULTIFLO, MF420[c/w16MA0110]</t>
  </si>
  <si>
    <t>PUMP, MULTIFLO, MF290[c/w16MA0120]</t>
  </si>
  <si>
    <t>PONTOON, PUMP, MF420, 16PU2360</t>
  </si>
  <si>
    <t>PONTOON, PUMP, MF290, 16PU2363</t>
  </si>
  <si>
    <t>PONTOON, PUMP, MF420, 16PU2359</t>
  </si>
  <si>
    <t>PONTOON, PUMP, DND200, 16PU2351</t>
  </si>
  <si>
    <t>PUMP SET,DHP LSA-6X10.25.56 SLR</t>
  </si>
  <si>
    <t xml:space="preserve">PONTOON, PUMP (LSA 6X8), 16PU2370  </t>
  </si>
  <si>
    <t>PONTOON, PUMP, KSB, DND200, 16PU2357</t>
  </si>
  <si>
    <t>PUMP, MULTIFLO, MF420EXHV, CAT C27</t>
  </si>
  <si>
    <t>PUMP, KSB, DND150, BOOSTER, CAT C15</t>
  </si>
  <si>
    <t>PUMP, SLURRY, ELC, REL, DRAGFLOW 1204B</t>
  </si>
  <si>
    <t>PUMP, BOOSTER, KSB, DND 150, CAT C15</t>
  </si>
  <si>
    <t>PONTOON, PUMP,MULTIFLO, MF420EXHV, CAT C27 16PU2421</t>
  </si>
  <si>
    <t>PONTOON, PUMP,DEWATERING, KSB, DND 150, CAT C15 16PU2455</t>
  </si>
  <si>
    <t>PUMP, DEWATERING, WEIR, MF385HP, CAT C13</t>
  </si>
  <si>
    <t>PONTOON, PUMP, WEIR, MF385HP, 16PU2365</t>
  </si>
  <si>
    <t>PUMP, DEWATERING, KSB, DND200-5HX</t>
  </si>
  <si>
    <t>PONTOON, PUMP, KSB, DND200, 16PU2353</t>
  </si>
  <si>
    <t>PUMP, DND200 c/w PONTOON 16MA0108</t>
  </si>
  <si>
    <t>PONTOON, PUMP, DND200, 16PU2358</t>
  </si>
  <si>
    <t>PONTOON, PUMP, KSB, DND200, 16PU2355</t>
  </si>
  <si>
    <t>PONTOON, PUMP, KSB, DND200, 16PU2354</t>
  </si>
  <si>
    <t>PUMP, KSB, LSA 6X8-25, CAT C27, 16PU2382</t>
  </si>
  <si>
    <t>PONTOON, PUMP, KSB, LSA 6X8-25, CAT C27, 16PU2382</t>
  </si>
  <si>
    <t>PUMP, KSB, LSA 6X8-25, CAT C27</t>
  </si>
  <si>
    <t>PUMP, KSB, DND200-MHX, CAT C27</t>
  </si>
  <si>
    <t>PONTOON, PUMP, PU2401</t>
  </si>
  <si>
    <t>PUMP, KSB, LSA 6X6-25, CAT C27</t>
  </si>
  <si>
    <t>1X PUMP, SLURRY, ELECTRIC, REL, DRAGFLOW 1204B</t>
  </si>
  <si>
    <t>PONTOON, PUMP, PU2418</t>
  </si>
  <si>
    <t>PUMP, KSB, LSA 6X8-25, CAT C27 (SSS0029)</t>
  </si>
  <si>
    <t>PUMP, KSB, LSA 6X8-25, CAT C27 (SSS0030)</t>
  </si>
  <si>
    <t>PUMP, KSB, LSA 6X8-25, CAT C27 (SSS0031)</t>
  </si>
  <si>
    <t xml:space="preserve">PUMP, KSB, LSA 6X8-25, CAT C27 (SSS0032) </t>
  </si>
  <si>
    <t>PUMP, SLURRY, ELECTRIC, DRAGFLOW 1204B</t>
  </si>
  <si>
    <t>PUMP, KSB, LSA 6X8-25, (16MA0129)</t>
  </si>
  <si>
    <t>DRILLING, ROTARY, CAT, MD6250</t>
  </si>
  <si>
    <t>DRILLING, ROTARY, SANDVIK, D245S, 9M</t>
  </si>
  <si>
    <t>DRILLING, CRAWLER, BUCYRUS, SKF11</t>
  </si>
  <si>
    <t>DRILLING, CRAWLER, CATERPILLAR, MD6290</t>
  </si>
  <si>
    <t>GENSET, HARTECH, HT13.5P</t>
  </si>
  <si>
    <t>GENSET, HARTECH, HT20Y</t>
  </si>
  <si>
    <t>GENSET, YANMAR, R-YM13SZ</t>
  </si>
  <si>
    <t>GENSET, YANMAR,GDP60YS, 60KVA</t>
  </si>
  <si>
    <t>Genset, Hartech, HT45P</t>
  </si>
  <si>
    <t>GENSET, YANMAR,R-YM13SZ, 13KVA</t>
  </si>
  <si>
    <t>GENSET, HARTECH, HT60P, 60KVA</t>
  </si>
  <si>
    <t>GENSET, KOMATSU, EGS380-6,350KVA</t>
  </si>
  <si>
    <t>GENSET, HARTECH, HT35 Y</t>
  </si>
  <si>
    <t>GENSET, TRAKNUS, PL100P</t>
  </si>
  <si>
    <t>GENSET, KOMATSU, EGS300-6, PRIME, SILENT, 275KVA</t>
  </si>
  <si>
    <t>GENSET, CAT, DE220, PRIME, SILENT, 200Kva</t>
  </si>
  <si>
    <t>WELDER, DIESEL, MILLER BIG BLUE, AIR PAK</t>
  </si>
  <si>
    <t>WELDER, DIESEL, MILLER, BIG BLUE, 600X</t>
  </si>
  <si>
    <t>WELDING, DIESEL, MILLER, BIG BLUE, 600X</t>
  </si>
  <si>
    <t>WELDING, DIESEL, MILLER, BIG BLUE, 401DX</t>
  </si>
  <si>
    <t>COMPRESSOR, DSL, ATLAS COPCO, XAS137KD7</t>
  </si>
  <si>
    <t>COMPRESSOR, DSL, KAESER, M100</t>
  </si>
  <si>
    <t>COMPRESSOR, DSL, KRISBOW, GREY</t>
  </si>
  <si>
    <t>COMPRESSOR, DSL, ATLAS COPCO, XAS48KD</t>
  </si>
  <si>
    <t>COMPRESSOR, DSL, ATLAS COPCO, XAS90DD7</t>
  </si>
  <si>
    <t>COMPRESSOR, DSL, ATLAS COPCO, XAS130DD7</t>
  </si>
  <si>
    <t>COMPRESSOR, DSL, ATLAS COPCO, XAS300DD7</t>
  </si>
  <si>
    <t xml:space="preserve">LV, TOYOTA, INNOVA, G-MT, 4X2          </t>
  </si>
  <si>
    <t xml:space="preserve">LV, MITSUBISHI, TRITON, 4X4, HDX    </t>
  </si>
  <si>
    <t xml:space="preserve">LV, MITSUBISHI,PAJERO SPORT,GLX,    </t>
  </si>
  <si>
    <t>LV, MITSUBISHI, TRITON, 4X4, HDX  (TO 01)</t>
  </si>
  <si>
    <t>LV, MITSUBISHI, TRITON, 4X4, HDX    (MNG 09)</t>
  </si>
  <si>
    <t>LV, MITSUBISHI, TRITON, 4X4, HDX      (AMG 07)</t>
  </si>
  <si>
    <t>LV, MITSUBISHI, TRITON, 4X4, HDX      (ADM 03)</t>
  </si>
  <si>
    <t>LV, MITSUBISHI, TRITON, 4X4, HDX         (MNG 10)</t>
  </si>
  <si>
    <t>LV, MITSUBISHI, TRITON, 4X4, HDX (ENG 04)</t>
  </si>
  <si>
    <t>LV, Mitsubishi Triton, HDX ,4x4 (AMG 09)</t>
  </si>
  <si>
    <t>LV, Mitsubishi Triton, HDX ,4x4 (AMG 10)</t>
  </si>
  <si>
    <t>LV, Fortuner, 2.4 VRZ, 4x4 (PM 01)</t>
  </si>
  <si>
    <t>LV, MITSUBISHI, TRITON, 4X4, HDX   (R - MNG 11)</t>
  </si>
  <si>
    <t>LV, MITSUBISHI, TRITON, 4X4, HDX   (R - MNG 12)</t>
  </si>
  <si>
    <t>LV, MITSUBISHI, TRITON, 4X4, HDX (AMG 04)</t>
  </si>
  <si>
    <t>LV, MITSUBISHI, TRITON, 4X4, HDX (AMG 01_GATRA)</t>
  </si>
  <si>
    <t>LV, MITSUBISHI, TRITON, 4X4, HDX (MNG 02_GATRA)</t>
  </si>
  <si>
    <t>LV, MITSUBISHI, TRITON, 4X4, HDX (AMG 03_GATRA)</t>
  </si>
  <si>
    <t>LV, MITSUBISHI, TRITON, 4X4, HDX, (AMG 05_GATRA)</t>
  </si>
  <si>
    <t>LV, MITSUBISHI, TRITON, 4X4, HDX, (ENG 01_GATRA)</t>
  </si>
  <si>
    <t>LV, MITSUBISHI, TRITON, 4X4, HDX, (MNG 03_GATRA)</t>
  </si>
  <si>
    <t>LV, MITSUBISHI, TRITON, 4X4, HDX (AMG 02_GATRA)</t>
  </si>
  <si>
    <t xml:space="preserve">LV, MITSUBISHI, TRITON-HDX, 4X4 </t>
  </si>
  <si>
    <t>MICROBUS, ISUZU, ELF, 11 SEATS</t>
  </si>
  <si>
    <t>MINIBUS, MITSUBISHI, 4X4, 29 SEATS (BUS-01)</t>
  </si>
  <si>
    <t>MINIBUS, MITSUBISHI, 4X4, 29 SEATS (BUS-02)</t>
  </si>
  <si>
    <t>MINIBUS, MITSUBISHI, 4X4, 29 SEATS (BUS-04)</t>
  </si>
  <si>
    <t>MINIBUS, MITSUBISHI, 4X4, 29 SEATS (BUS -05)</t>
  </si>
  <si>
    <t>MINIBUS, MITSUBISHI, 4X4, 29 SEATS (BUS 011)</t>
  </si>
  <si>
    <t xml:space="preserve">Mitsubishi, 4x4, capacity 29 seat  (BUS-07) </t>
  </si>
  <si>
    <t xml:space="preserve">Mitsubishi, 4x4, capacity 29 seat  (BUS-08) </t>
  </si>
  <si>
    <t xml:space="preserve">Mitsubishi, 4x4, capacity 29 seat  (BUS-09) </t>
  </si>
  <si>
    <t>COMPACTOR, NON VBR, CAT, 825K</t>
  </si>
  <si>
    <t>DT3863</t>
  </si>
  <si>
    <t>DT3869</t>
  </si>
  <si>
    <t>DT4523</t>
  </si>
  <si>
    <t>DT5265</t>
  </si>
  <si>
    <t>DT4116</t>
  </si>
  <si>
    <t>DT5264</t>
  </si>
  <si>
    <t>DT4450</t>
  </si>
  <si>
    <t>DZ1268</t>
  </si>
  <si>
    <t>DZ1267</t>
  </si>
  <si>
    <t>405-S</t>
  </si>
  <si>
    <t>WELDING, ELECTRIC, MILLER, 405-S</t>
  </si>
  <si>
    <t>INNOVA</t>
  </si>
  <si>
    <t>PAJERO SPORT,GLX</t>
  </si>
  <si>
    <t>LV, MITSUBISHI, PAJERO SPORT, GLX, 4X4  (MNG 05)</t>
  </si>
  <si>
    <t>STRADA-TRITON</t>
  </si>
  <si>
    <t>16LV0743</t>
  </si>
  <si>
    <t>LV, AMBULANCE, MITSUBISHI, TRITON</t>
  </si>
  <si>
    <t>16LV0744</t>
  </si>
  <si>
    <t>LV, AMBULANCE, MITSUBISHI, TRITON 4X4</t>
  </si>
  <si>
    <t>16LV0747</t>
  </si>
  <si>
    <t>TRITON-HDX</t>
  </si>
  <si>
    <t>LV, ERT, MITSUBISHI, TRITON-HDX, 4X4 (ERT)</t>
  </si>
  <si>
    <t>16LV0748</t>
  </si>
  <si>
    <t>LV, MITSUBISHI, TRITON-HDX, 4X4 (ERT)</t>
  </si>
  <si>
    <t>FORTUNER 2.4 VRZ</t>
  </si>
  <si>
    <t xml:space="preserve"> 16LV9341</t>
  </si>
  <si>
    <t>LV, MITSUBISHI, TRITON, 4X4, HDX,KT8986</t>
  </si>
  <si>
    <t>LT-01</t>
  </si>
  <si>
    <t>HNO 260</t>
  </si>
  <si>
    <t>LUBE TRUCK</t>
  </si>
  <si>
    <t>EX1218</t>
  </si>
  <si>
    <t>EX1768</t>
  </si>
  <si>
    <t>DT3828</t>
  </si>
  <si>
    <t>DT3867</t>
  </si>
  <si>
    <t>DT4474</t>
  </si>
  <si>
    <t>DT4500</t>
  </si>
  <si>
    <t>DT4524</t>
  </si>
  <si>
    <t>DT3194</t>
  </si>
  <si>
    <t>DT3248</t>
  </si>
  <si>
    <t>DT4517</t>
  </si>
  <si>
    <t>DZ502</t>
  </si>
  <si>
    <t>ALAT SUPPORT PRODUCTION Subcont</t>
  </si>
  <si>
    <t>TON</t>
  </si>
  <si>
    <t>KIEBDZ033</t>
  </si>
  <si>
    <t>EBS</t>
  </si>
  <si>
    <t>EBDZ033</t>
  </si>
  <si>
    <t>DZ85-SS</t>
  </si>
  <si>
    <t>KIEBDT017</t>
  </si>
  <si>
    <t>EBDT017</t>
  </si>
  <si>
    <t>CWB45A</t>
  </si>
  <si>
    <t>KIEBDT019</t>
  </si>
  <si>
    <t>KIEBDT021</t>
  </si>
  <si>
    <t>KIEBCP007</t>
  </si>
  <si>
    <t>EBCP007</t>
  </si>
  <si>
    <t>KIEBWE005</t>
  </si>
  <si>
    <t>KIEBDT027</t>
  </si>
  <si>
    <t>EBDT027</t>
  </si>
  <si>
    <t>KIEBDT028</t>
  </si>
  <si>
    <t>EBDT028</t>
  </si>
  <si>
    <t>KIPJEX082</t>
  </si>
  <si>
    <t>PJPN</t>
  </si>
  <si>
    <t>PJEX082</t>
  </si>
  <si>
    <t>PC 210</t>
  </si>
  <si>
    <t>0.8 m3</t>
  </si>
  <si>
    <t>KIPJDZ032</t>
  </si>
  <si>
    <t>PJDZ032</t>
  </si>
  <si>
    <t>KIPJDZ034</t>
  </si>
  <si>
    <t>PJDZ034</t>
  </si>
  <si>
    <t>KIPJCP006</t>
  </si>
  <si>
    <t>PJCP006</t>
  </si>
  <si>
    <t>KIPJEX070</t>
  </si>
  <si>
    <t>PJEX070</t>
  </si>
  <si>
    <t>PC300-8</t>
  </si>
  <si>
    <t>1.4 m3</t>
  </si>
  <si>
    <t>KIPJEX083</t>
  </si>
  <si>
    <t>PJEX083</t>
  </si>
  <si>
    <t>KIPJEX087</t>
  </si>
  <si>
    <t>PJEX087</t>
  </si>
  <si>
    <t>KIPJFL008</t>
  </si>
  <si>
    <t>PJFL008</t>
  </si>
  <si>
    <t>Forklift FDE150E</t>
  </si>
  <si>
    <t>KIRPEX054</t>
  </si>
  <si>
    <t>REP</t>
  </si>
  <si>
    <t>RPEX054</t>
  </si>
  <si>
    <t>KIRPEX063</t>
  </si>
  <si>
    <t>RPEX063</t>
  </si>
  <si>
    <t>PC 300-8</t>
  </si>
  <si>
    <t>KIRPDZ036</t>
  </si>
  <si>
    <t>RPDZ036</t>
  </si>
  <si>
    <t>KIRPEX076</t>
  </si>
  <si>
    <t>RPEX076</t>
  </si>
  <si>
    <t>KIRPEX078</t>
  </si>
  <si>
    <t>RPEX078</t>
  </si>
  <si>
    <t>KIRPEX079</t>
  </si>
  <si>
    <t>RPEX079</t>
  </si>
  <si>
    <t>KIRPEX080</t>
  </si>
  <si>
    <t>RPEX080</t>
  </si>
  <si>
    <t>KIRPEX085</t>
  </si>
  <si>
    <t>RPEX085</t>
  </si>
  <si>
    <t>KIRPEX090</t>
  </si>
  <si>
    <t>RPEX090</t>
  </si>
  <si>
    <t>KIRPEX091</t>
  </si>
  <si>
    <t>RPEX091</t>
  </si>
  <si>
    <t>Productivity</t>
  </si>
  <si>
    <t>WP1038</t>
  </si>
  <si>
    <t>WP1039</t>
  </si>
  <si>
    <t>WP1040</t>
  </si>
  <si>
    <t>FVZ34NHP61011L2S</t>
  </si>
  <si>
    <t>TRUCK, DUMP, CAT, 777E</t>
  </si>
  <si>
    <t>TRUCK, DUMP, CATERPILLAR, 777E, 100T</t>
  </si>
  <si>
    <t>WELDING</t>
  </si>
  <si>
    <t/>
  </si>
  <si>
    <t>SLURRY</t>
  </si>
  <si>
    <t>DRILL</t>
  </si>
  <si>
    <t xml:space="preserve">Mitsubishi, 4x4, capacity 29 seat  (BUS-10) Unit Spare </t>
  </si>
  <si>
    <t>COMPACTOR</t>
  </si>
  <si>
    <t>12 M3</t>
  </si>
  <si>
    <t>EX1839</t>
  </si>
  <si>
    <t>EX1841</t>
  </si>
  <si>
    <t>3.7 M3</t>
  </si>
  <si>
    <t>SM 6</t>
  </si>
  <si>
    <t>DT5312</t>
  </si>
  <si>
    <t>DZ1273</t>
  </si>
  <si>
    <t>DZ1274</t>
  </si>
  <si>
    <t>GR587</t>
  </si>
  <si>
    <t>MB AROX 2528CX</t>
  </si>
  <si>
    <t>2010</t>
  </si>
  <si>
    <t>EX1225</t>
  </si>
  <si>
    <t>EX2404</t>
  </si>
  <si>
    <t>PC850</t>
  </si>
  <si>
    <t>EX1831</t>
  </si>
  <si>
    <t>EX1833</t>
  </si>
  <si>
    <t>EX1815</t>
  </si>
  <si>
    <t>DT3177</t>
  </si>
  <si>
    <t>DT3345</t>
  </si>
  <si>
    <t>DT4303</t>
  </si>
  <si>
    <t>DT4395</t>
  </si>
  <si>
    <t>DT4510</t>
  </si>
  <si>
    <t>DT5276</t>
  </si>
  <si>
    <t>DT5376</t>
  </si>
  <si>
    <t>DT5377</t>
  </si>
  <si>
    <t>DT5378</t>
  </si>
  <si>
    <t>DT5379</t>
  </si>
  <si>
    <t>DT4390</t>
  </si>
  <si>
    <t>DT4187</t>
  </si>
  <si>
    <t>DT5303</t>
  </si>
  <si>
    <t>DZ1283</t>
  </si>
  <si>
    <t>DZ503</t>
  </si>
  <si>
    <t>DZ609</t>
  </si>
  <si>
    <t>DT3774</t>
  </si>
  <si>
    <t>EBDT025</t>
  </si>
  <si>
    <t>EBDT029</t>
  </si>
  <si>
    <t>EBDT030</t>
  </si>
  <si>
    <t>EBDT031</t>
  </si>
  <si>
    <t>EBDT032</t>
  </si>
  <si>
    <t>EBDT034</t>
  </si>
  <si>
    <t>EBDT035</t>
  </si>
  <si>
    <t>EBDT036</t>
  </si>
  <si>
    <t>DZ-205</t>
  </si>
  <si>
    <t>FT-101</t>
  </si>
  <si>
    <t>16000 Liter</t>
  </si>
  <si>
    <t>DT-222</t>
  </si>
  <si>
    <t>Arocs 4042</t>
  </si>
  <si>
    <t>DT-223</t>
  </si>
  <si>
    <t>DT-224</t>
  </si>
  <si>
    <t>DT-225</t>
  </si>
  <si>
    <t>DT-226</t>
  </si>
  <si>
    <t>PC1250-11</t>
  </si>
  <si>
    <t>EX1113</t>
  </si>
  <si>
    <t>PC2000-11R</t>
  </si>
  <si>
    <t>EX1716</t>
  </si>
  <si>
    <t>EX1767</t>
  </si>
  <si>
    <t>DT3195</t>
  </si>
  <si>
    <t>DT3220</t>
  </si>
  <si>
    <t>DT3229</t>
  </si>
  <si>
    <t>DT3249</t>
  </si>
  <si>
    <t>DT3273</t>
  </si>
  <si>
    <t>DT3554</t>
  </si>
  <si>
    <t>DT3565</t>
  </si>
  <si>
    <t>DT3581</t>
  </si>
  <si>
    <t>DT3799</t>
  </si>
  <si>
    <t>DT3882</t>
  </si>
  <si>
    <t>DT4249</t>
  </si>
  <si>
    <t>DT5402</t>
  </si>
  <si>
    <t>DT5409</t>
  </si>
  <si>
    <t>DT5410</t>
  </si>
  <si>
    <t>DT5427</t>
  </si>
  <si>
    <t>DT5430</t>
  </si>
  <si>
    <t>DT5431</t>
  </si>
  <si>
    <t>DT5432</t>
  </si>
  <si>
    <t>DT5434</t>
  </si>
  <si>
    <t>DT5437</t>
  </si>
  <si>
    <t>DT5438</t>
  </si>
  <si>
    <t>DT5439</t>
  </si>
  <si>
    <t>DT5440</t>
  </si>
  <si>
    <t>DT5441</t>
  </si>
  <si>
    <t>DT5449</t>
  </si>
  <si>
    <t>DT5452</t>
  </si>
  <si>
    <t>DZ512</t>
  </si>
  <si>
    <t>GR589</t>
  </si>
  <si>
    <t>DZ542</t>
  </si>
  <si>
    <t>GR590</t>
  </si>
  <si>
    <t>GR593</t>
  </si>
  <si>
    <t>16EX0138</t>
  </si>
  <si>
    <t>R9842-922</t>
  </si>
  <si>
    <t>EXCAVATOR, LIEBHERR, R984-922-breakdown engine</t>
  </si>
  <si>
    <t>16 m3</t>
  </si>
  <si>
    <t>EXCAVATOR, KOMATSU, PC2000-8</t>
  </si>
  <si>
    <t>16EX9297</t>
  </si>
  <si>
    <t>EXCAVATOR, Hitachi, ZX470,  E-01</t>
  </si>
  <si>
    <t>2.3m3</t>
  </si>
  <si>
    <t>16EX9298</t>
  </si>
  <si>
    <t>EXCAVATOR, Hitachi, ZX470, E-02</t>
  </si>
  <si>
    <t>16EX9299</t>
  </si>
  <si>
    <t>Dx300 LCA</t>
  </si>
  <si>
    <t>EXCAVATOR, Dosan, D300, E-03</t>
  </si>
  <si>
    <t>16LD0071</t>
  </si>
  <si>
    <t>LOADER, WHEEL, CAT, 966H</t>
  </si>
  <si>
    <t>16MT0174</t>
  </si>
  <si>
    <t>16MT0215</t>
  </si>
  <si>
    <t>16MT0279</t>
  </si>
  <si>
    <t>TRUCK, WTRWASH, IVECO, ASTRA HD9420, 4X4</t>
  </si>
  <si>
    <t>16MT0281</t>
  </si>
  <si>
    <t>16MT0324</t>
  </si>
  <si>
    <t>16MT0334</t>
  </si>
  <si>
    <t>16MT0246</t>
  </si>
  <si>
    <t>16MT0144</t>
  </si>
  <si>
    <t>TRUCK, SERVICE, IVECO, TRAKKER 380, 4X4</t>
  </si>
  <si>
    <t>16MT0136</t>
  </si>
  <si>
    <t>MP380E38W</t>
  </si>
  <si>
    <t>TRUCK, P-MOVER, IVECO, TRAKKER 380, 6X6</t>
  </si>
  <si>
    <t>16PU2351</t>
  </si>
  <si>
    <t>PUMP, DND200 c/w PONTOON 16MA0101</t>
  </si>
  <si>
    <t>16PU2376</t>
  </si>
  <si>
    <t>MF420EXXHV</t>
  </si>
  <si>
    <t>PUMP, DEWATERING, WEIR, MF420EXXHV, C32</t>
  </si>
  <si>
    <t>16PU2344</t>
  </si>
  <si>
    <t>16GT0390</t>
  </si>
  <si>
    <t>EGS380-6, 350kVA</t>
  </si>
  <si>
    <t>GENSET, KOMATSU, EGS380-6, 350KVA</t>
  </si>
  <si>
    <t>16GT0078</t>
  </si>
  <si>
    <t>HT 13.5P</t>
  </si>
  <si>
    <t>GENSET, HARTECH, HT13.5P, 13.5KVA</t>
  </si>
  <si>
    <t>16GT0055</t>
  </si>
  <si>
    <t>SH11D-R</t>
  </si>
  <si>
    <t>GENSET, ELEMAX, SH11D-R, 8KVA</t>
  </si>
  <si>
    <t>16GT0318</t>
  </si>
  <si>
    <t>16GT0373</t>
  </si>
  <si>
    <t>PL100P - 100 Kva</t>
  </si>
  <si>
    <t>GENSET, HARTECH, HT100P, 100KVA</t>
  </si>
  <si>
    <t>16GT0391</t>
  </si>
  <si>
    <t>HT 35 Y</t>
  </si>
  <si>
    <t>GENSET, HARTECH, HT35Y, 35KVA</t>
  </si>
  <si>
    <t>16GT0405</t>
  </si>
  <si>
    <t>HT 10 Y</t>
  </si>
  <si>
    <t>GENSET, HARTECH, HT10Y</t>
  </si>
  <si>
    <t>16GT0406</t>
  </si>
  <si>
    <t>16GT0407</t>
  </si>
  <si>
    <t>16GT0408</t>
  </si>
  <si>
    <t>16GT0394</t>
  </si>
  <si>
    <t>EGS 380-6</t>
  </si>
  <si>
    <t>GENSET, KOMATSU, EGS380-6, PRIME, SILENT, 350KVA</t>
  </si>
  <si>
    <t>16GT0365</t>
  </si>
  <si>
    <t>16GT0366</t>
  </si>
  <si>
    <t>16GT0368</t>
  </si>
  <si>
    <t>16GT0369</t>
  </si>
  <si>
    <t>16GT0256</t>
  </si>
  <si>
    <t>EGS300-6, 275kVA</t>
  </si>
  <si>
    <t>GENSET, KOMATSU, EGS300-6, 275KVA</t>
  </si>
  <si>
    <t>16GT0262</t>
  </si>
  <si>
    <t>3406 PGCT</t>
  </si>
  <si>
    <t>GENSET, CAT, 3406PGCT</t>
  </si>
  <si>
    <t>16GT9030</t>
  </si>
  <si>
    <t>GENSET, AIRMAN, SDG 400S</t>
  </si>
  <si>
    <t>16GT0241</t>
  </si>
  <si>
    <t>GENSET, OLYMPIAN, GEH220-2</t>
  </si>
  <si>
    <t>16GT0439</t>
  </si>
  <si>
    <t>DE110</t>
  </si>
  <si>
    <t>GENSET, CAT, DE110, PRIME, 100KVA</t>
  </si>
  <si>
    <t>16GT0255</t>
  </si>
  <si>
    <t>GENSET, KOMATSU, EGS300-6</t>
  </si>
  <si>
    <t>16GT0441</t>
  </si>
  <si>
    <t>16GT0435</t>
  </si>
  <si>
    <t>GENSET, KOMATSU, EGS380-6</t>
  </si>
  <si>
    <t>16GT0456</t>
  </si>
  <si>
    <t>HT10Y</t>
  </si>
  <si>
    <t>16GT0457</t>
  </si>
  <si>
    <t>16GT0458</t>
  </si>
  <si>
    <t>16GT0459</t>
  </si>
  <si>
    <t>16GT0437</t>
  </si>
  <si>
    <t>16GT9070</t>
  </si>
  <si>
    <t>EGS 380-6 BS</t>
  </si>
  <si>
    <t>GENSET, PRIME, SILENT, 350KVA, 77GT0003</t>
  </si>
  <si>
    <t>16GT0270</t>
  </si>
  <si>
    <t>16CM0117</t>
  </si>
  <si>
    <t>XAS300 DD7</t>
  </si>
  <si>
    <t>COMPRESSOR, ATLAS COPCO, XAS 300 DD7</t>
  </si>
  <si>
    <t>16CM0115</t>
  </si>
  <si>
    <t>GA30FF AP-10</t>
  </si>
  <si>
    <t>COMPRESSOR, ATLAS COPCO, GA 30FF-10</t>
  </si>
  <si>
    <t>16CM0001</t>
  </si>
  <si>
    <t>XAS47DD</t>
  </si>
  <si>
    <t>COMPRESSOR, ATLAS COPCO, XAS 47 DD</t>
  </si>
  <si>
    <t>16CM0166</t>
  </si>
  <si>
    <t>XAS90DD7</t>
  </si>
  <si>
    <t>COMPRESSOR, ATLAS COPCO, XAS 90 DD</t>
  </si>
  <si>
    <t>16CM0120</t>
  </si>
  <si>
    <t>COMPRESSOR, ATLAS COPCO, XAS 300 KD7</t>
  </si>
  <si>
    <t>16CM0160</t>
  </si>
  <si>
    <t>16CM0129</t>
  </si>
  <si>
    <t>GA30FF A-10</t>
  </si>
  <si>
    <t>16CM0161</t>
  </si>
  <si>
    <t>16CM0132</t>
  </si>
  <si>
    <t xml:space="preserve"> XAS48 KD </t>
  </si>
  <si>
    <t>COMPRESSOR, ATLAS COPCO, XAS 48 KD</t>
  </si>
  <si>
    <t>16CM0116</t>
  </si>
  <si>
    <t>16CM0177</t>
  </si>
  <si>
    <t>MOBILAIR M100</t>
  </si>
  <si>
    <t>COMPRESSOR, KAESER, M31, PORTABLE</t>
  </si>
  <si>
    <t>16CM0188</t>
  </si>
  <si>
    <t>16CM0189</t>
  </si>
  <si>
    <t>MOBILAR M31</t>
  </si>
  <si>
    <t>COMPRESSOR, DSL,KAESER, M31</t>
  </si>
  <si>
    <t>16CM0178</t>
  </si>
  <si>
    <t>COMPRESSOR, ELECTRIC,KAESER, BSD75T/10, 175FCM</t>
  </si>
  <si>
    <t>16CM0107</t>
  </si>
  <si>
    <t>Compressor, Atlas Copco, XAS 300 DD7</t>
  </si>
  <si>
    <t>16CM0182</t>
  </si>
  <si>
    <t>BSD75T/10</t>
  </si>
  <si>
    <t>COMPRESSOR, ELC, KAESER, BSD75T/10</t>
  </si>
  <si>
    <t>16CM0222</t>
  </si>
  <si>
    <t>U110</t>
  </si>
  <si>
    <t>COMPRESSOR,PORTABLE,U110,100CFM,7BAR</t>
  </si>
  <si>
    <t>16LV9203</t>
  </si>
  <si>
    <t>LV, MITSUBISHI, TRITON, 4X4, HDX      (FMS 01)</t>
  </si>
  <si>
    <t>16LV9473</t>
  </si>
  <si>
    <t>LV, MITSUBISHI, TRITON, 4X4, HDX,- SHE 03</t>
  </si>
  <si>
    <t>16LV9474</t>
  </si>
  <si>
    <t>LV, MITSUBISHI, TRITON, 4X4, HDX,_D&amp;B 02</t>
  </si>
  <si>
    <t>16LV9476</t>
  </si>
  <si>
    <t>16LV9477</t>
  </si>
  <si>
    <t>LV, MITSUBISHI, TRITON, 4X4, HDX, (SVY 03_GATRA)</t>
  </si>
  <si>
    <t>16LV9478</t>
  </si>
  <si>
    <t>LV, MITSUBISHI, TRITON, 4X4, HDX, (SHE 04_GATRA)</t>
  </si>
  <si>
    <t>16LV9479</t>
  </si>
  <si>
    <t>LV, MITSUBISHI, TRITON, 4X4, HDX, (AMG 06_GATRA)</t>
  </si>
  <si>
    <t>16LV9480</t>
  </si>
  <si>
    <t>MITSUBISHI, PAJERO SPORT-GLX, 4x4 (PM 03)</t>
  </si>
  <si>
    <t>16LV9531</t>
  </si>
  <si>
    <t>LV, MITSUBISHI, TRITON, 4X4, HDX (MNG 04)</t>
  </si>
  <si>
    <t>16LV9532</t>
  </si>
  <si>
    <t>LV, MITSUBISHI, TRITON, 4X4, HDX (AMG 11)</t>
  </si>
  <si>
    <t>16LV9464</t>
  </si>
  <si>
    <t xml:space="preserve">Mits.Triton, DC, 4x4, HDX, </t>
  </si>
  <si>
    <t>16LV9465</t>
  </si>
  <si>
    <t>16LV9475</t>
  </si>
  <si>
    <t>16LV9528</t>
  </si>
  <si>
    <t>LV, MITSUBISHI, TRITON 4x4, HDX</t>
  </si>
  <si>
    <t>16LV9529</t>
  </si>
  <si>
    <t>16LV9530</t>
  </si>
  <si>
    <t>HILUX</t>
  </si>
  <si>
    <t>Light Vehicle, New toyota Hilux 2 4 DC 4x4,(SCM 01)</t>
  </si>
  <si>
    <t>16LV9533</t>
  </si>
  <si>
    <t>LV, TOYOTA / HILUX 2.4G (4X4)MT</t>
  </si>
  <si>
    <t>16LV9534</t>
  </si>
  <si>
    <t>LV, TOYOTA / HILUX 2.4E (4X4) DSL M/T</t>
  </si>
  <si>
    <t>16LV9535</t>
  </si>
  <si>
    <t>16LV9536</t>
  </si>
  <si>
    <t>16LV9537</t>
  </si>
  <si>
    <t>16LV9538</t>
  </si>
  <si>
    <t>16LV9543</t>
  </si>
  <si>
    <t>LV, MITSUBISHI, PAJERO SPORT-GLX, 4x4 (PM04)</t>
  </si>
  <si>
    <t>16LV9539</t>
  </si>
  <si>
    <t>MITSUBISHI TRITON DC, 4x4, HDX (SHE02)</t>
  </si>
  <si>
    <t>16MT9460</t>
  </si>
  <si>
    <t>MINIBUS, MITSUBISHI,4x2,Cap. 29 seats (joymar)</t>
  </si>
  <si>
    <t>EX-029</t>
  </si>
  <si>
    <t>EX-030</t>
  </si>
  <si>
    <t>EX-035</t>
  </si>
  <si>
    <t>EX-036</t>
  </si>
  <si>
    <t>EX-037</t>
  </si>
  <si>
    <t>EX-039</t>
  </si>
  <si>
    <t>EX-043</t>
  </si>
  <si>
    <t>EX-044</t>
  </si>
  <si>
    <t>EX-045</t>
  </si>
  <si>
    <t>EX-046</t>
  </si>
  <si>
    <t>EX-048</t>
  </si>
  <si>
    <t>EX-049</t>
  </si>
  <si>
    <t>EX-052</t>
  </si>
  <si>
    <t>EX-053</t>
  </si>
  <si>
    <t>EX-065</t>
  </si>
  <si>
    <t>EX-002</t>
  </si>
  <si>
    <t>DX520LCA-K</t>
  </si>
  <si>
    <t>DT-102</t>
  </si>
  <si>
    <t>DT-103</t>
  </si>
  <si>
    <t>DT-104</t>
  </si>
  <si>
    <t>DT-105</t>
  </si>
  <si>
    <t>DT-106</t>
  </si>
  <si>
    <t>DT-107</t>
  </si>
  <si>
    <t>DT-117</t>
  </si>
  <si>
    <t>DT-118</t>
  </si>
  <si>
    <t>DT-122</t>
  </si>
  <si>
    <t>DT-123</t>
  </si>
  <si>
    <t>DT-124</t>
  </si>
  <si>
    <t>DT-125</t>
  </si>
  <si>
    <t>DT-126</t>
  </si>
  <si>
    <t>DT-127</t>
  </si>
  <si>
    <t>DT-129</t>
  </si>
  <si>
    <t>DT-130</t>
  </si>
  <si>
    <t>DT-131</t>
  </si>
  <si>
    <t>DT-132</t>
  </si>
  <si>
    <t>DT-133</t>
  </si>
  <si>
    <t>DT-134</t>
  </si>
  <si>
    <t>DT-138</t>
  </si>
  <si>
    <t>DT-139</t>
  </si>
  <si>
    <t>DT-140</t>
  </si>
  <si>
    <t>DT-141</t>
  </si>
  <si>
    <t>DT-142</t>
  </si>
  <si>
    <t>DT-143</t>
  </si>
  <si>
    <t>DT-144</t>
  </si>
  <si>
    <t>DT-145</t>
  </si>
  <si>
    <t>DT-157</t>
  </si>
  <si>
    <t>HINO PROFIA 700</t>
  </si>
  <si>
    <t>DT-158</t>
  </si>
  <si>
    <t>DT-159</t>
  </si>
  <si>
    <t>DT-160</t>
  </si>
  <si>
    <t>DT-161</t>
  </si>
  <si>
    <t>DT-162</t>
  </si>
  <si>
    <t>DT-163</t>
  </si>
  <si>
    <t>DT-165</t>
  </si>
  <si>
    <t>DT-167</t>
  </si>
  <si>
    <t>DT-169</t>
  </si>
  <si>
    <t>DT-170</t>
  </si>
  <si>
    <t>DT-171</t>
  </si>
  <si>
    <t>DT-172</t>
  </si>
  <si>
    <t>DT-173</t>
  </si>
  <si>
    <t>DT-174</t>
  </si>
  <si>
    <t>DT-175</t>
  </si>
  <si>
    <t>DT-176</t>
  </si>
  <si>
    <t>DT-177</t>
  </si>
  <si>
    <t>DT-178</t>
  </si>
  <si>
    <t>DT-179</t>
  </si>
  <si>
    <t>DT-180</t>
  </si>
  <si>
    <t>DT-181</t>
  </si>
  <si>
    <t>DT-182</t>
  </si>
  <si>
    <t>DT-183</t>
  </si>
  <si>
    <t>DT-184</t>
  </si>
  <si>
    <t>DT-185</t>
  </si>
  <si>
    <t>DT-186</t>
  </si>
  <si>
    <t>DT-187</t>
  </si>
  <si>
    <t>DT-188</t>
  </si>
  <si>
    <t>DT-189</t>
  </si>
  <si>
    <t>DT-190</t>
  </si>
  <si>
    <t>DT-191</t>
  </si>
  <si>
    <t>DT-192</t>
  </si>
  <si>
    <t>DT-193</t>
  </si>
  <si>
    <t>DT-194</t>
  </si>
  <si>
    <t>DT-195</t>
  </si>
  <si>
    <t>ZS1EPRD528-4141</t>
  </si>
  <si>
    <t>DT-213</t>
  </si>
  <si>
    <t>DT-233</t>
  </si>
  <si>
    <t>DT-234</t>
  </si>
  <si>
    <t>DT-235</t>
  </si>
  <si>
    <t>DT-236</t>
  </si>
  <si>
    <t>DT-237</t>
  </si>
  <si>
    <t>DZ-029</t>
  </si>
  <si>
    <t>DZ-030</t>
  </si>
  <si>
    <t>DZ-032</t>
  </si>
  <si>
    <t>DZ-034</t>
  </si>
  <si>
    <t>DZ-037</t>
  </si>
  <si>
    <t>DZ-039</t>
  </si>
  <si>
    <t>DZ-040</t>
  </si>
  <si>
    <t>DZ-043</t>
  </si>
  <si>
    <t>GD-007</t>
  </si>
  <si>
    <t>GD-008</t>
  </si>
  <si>
    <t>GD-009</t>
  </si>
  <si>
    <t>WT-006</t>
  </si>
  <si>
    <t>WT-007</t>
  </si>
  <si>
    <t>NISSAN QUON</t>
  </si>
  <si>
    <t>WT-008</t>
  </si>
  <si>
    <t>WT-009</t>
  </si>
  <si>
    <t>WT-010</t>
  </si>
  <si>
    <t>WT-12</t>
  </si>
  <si>
    <t>MERCEDES BENZ</t>
  </si>
  <si>
    <t>FT-001</t>
  </si>
  <si>
    <t>FT-002</t>
  </si>
  <si>
    <t>FT-003</t>
  </si>
  <si>
    <t>FT-005</t>
  </si>
  <si>
    <t>BM-001</t>
  </si>
  <si>
    <t>CT-001</t>
  </si>
  <si>
    <t>CT-002</t>
  </si>
  <si>
    <t>Mercedes Benz</t>
  </si>
  <si>
    <t>ST-001</t>
  </si>
  <si>
    <t>ST-002</t>
  </si>
  <si>
    <t>LB-01</t>
  </si>
  <si>
    <t>DM-002</t>
  </si>
  <si>
    <t>FRD</t>
  </si>
  <si>
    <t>GD705A-5</t>
  </si>
  <si>
    <t>GD705A-4</t>
  </si>
  <si>
    <t>CWB6BLLDN2</t>
  </si>
  <si>
    <t>CWB 45ALDN</t>
  </si>
  <si>
    <t>FMX-370</t>
  </si>
  <si>
    <t>MB2528CH-FT</t>
  </si>
  <si>
    <t>AXOR MB2528CX-E4 (6X4) M/T</t>
  </si>
  <si>
    <t>DYNA130HT</t>
  </si>
  <si>
    <t>FM8JN1D-EGJ (FM260JD)</t>
  </si>
  <si>
    <t>HCR1200-EDII</t>
  </si>
  <si>
    <t>Grader</t>
  </si>
  <si>
    <t>Compactor Bomag</t>
  </si>
  <si>
    <t>DRILLING MACHINE</t>
  </si>
  <si>
    <t>PAJERO SPORT</t>
  </si>
  <si>
    <t>KIJANG INNOVA</t>
  </si>
  <si>
    <t>TRITON GLS</t>
  </si>
  <si>
    <t>HILUX 2.5E DC</t>
  </si>
  <si>
    <t>HILUX 2.5E MG</t>
  </si>
  <si>
    <t>LV-46</t>
  </si>
  <si>
    <t>LV-48</t>
  </si>
  <si>
    <t>LV-49</t>
  </si>
  <si>
    <t>TRITON DC HDX-L MT</t>
  </si>
  <si>
    <t>LV-50</t>
  </si>
  <si>
    <t>LV-51</t>
  </si>
  <si>
    <t>TRITON 2.4L SC GLX (4X2) M/T</t>
  </si>
  <si>
    <t>LV-59</t>
  </si>
  <si>
    <t>TRITON 2.5L DC HDX-L (4X4( M/T</t>
  </si>
  <si>
    <t>LV-68</t>
  </si>
  <si>
    <t>HILUX 2.4E DOUBLE CABIN (4X4) M/T</t>
  </si>
  <si>
    <t>LV-69</t>
  </si>
  <si>
    <t>BS-19</t>
  </si>
  <si>
    <t>FE84G</t>
  </si>
  <si>
    <t>BS-23</t>
  </si>
  <si>
    <t>71 EC E2-1</t>
  </si>
  <si>
    <t>TL-003</t>
  </si>
  <si>
    <t>YANMAR TF65</t>
  </si>
  <si>
    <t>TF65</t>
  </si>
  <si>
    <t>TL-004</t>
  </si>
  <si>
    <t>TL-005</t>
  </si>
  <si>
    <t>YANMAR M04880</t>
  </si>
  <si>
    <t>TL-007</t>
  </si>
  <si>
    <t>TL-011</t>
  </si>
  <si>
    <t>TL-013</t>
  </si>
  <si>
    <t>TL-015</t>
  </si>
  <si>
    <t>YANMAR TF85</t>
  </si>
  <si>
    <t>TF85</t>
  </si>
  <si>
    <t>TL-016</t>
  </si>
  <si>
    <t>YANMAR TF105</t>
  </si>
  <si>
    <t>TF105</t>
  </si>
  <si>
    <t>TL-017</t>
  </si>
  <si>
    <t>TL-018</t>
  </si>
  <si>
    <t>TL-019</t>
  </si>
  <si>
    <t>TL-020</t>
  </si>
  <si>
    <t>TL-022</t>
  </si>
  <si>
    <t>TL-023</t>
  </si>
  <si>
    <t>TL-026</t>
  </si>
  <si>
    <t>POWER LINK (PERKINT GG661025</t>
  </si>
  <si>
    <t>ALT3500M-EL</t>
  </si>
  <si>
    <t>TL-035</t>
  </si>
  <si>
    <t>Coates Service</t>
  </si>
  <si>
    <t>TL-036</t>
  </si>
  <si>
    <t>MT-001</t>
  </si>
  <si>
    <t>MT-002</t>
  </si>
  <si>
    <t>DUTCH</t>
  </si>
  <si>
    <t>IngersollRand</t>
  </si>
  <si>
    <t>MT-003</t>
  </si>
  <si>
    <t>YAMAKOYO</t>
  </si>
  <si>
    <t>YX-18KVA</t>
  </si>
  <si>
    <t>GS-001</t>
  </si>
  <si>
    <t>GEP165-1</t>
  </si>
  <si>
    <t>GS-002</t>
  </si>
  <si>
    <t>GS-003</t>
  </si>
  <si>
    <t>GEP88-1</t>
  </si>
  <si>
    <t>GS-004</t>
  </si>
  <si>
    <t>CUMMINS</t>
  </si>
  <si>
    <t>GS-007</t>
  </si>
  <si>
    <t>STARKE</t>
  </si>
  <si>
    <t>GFS-15</t>
  </si>
  <si>
    <t>GS-008</t>
  </si>
  <si>
    <t>Dongfeng CUMMINS</t>
  </si>
  <si>
    <t>GS-009</t>
  </si>
  <si>
    <t>BOSCH F002A0Z376</t>
  </si>
  <si>
    <t>Sump-001</t>
  </si>
  <si>
    <t>Sump-002</t>
  </si>
  <si>
    <t>WM-001</t>
  </si>
  <si>
    <t>INGERSOLLRAND</t>
  </si>
  <si>
    <t>WM-002</t>
  </si>
  <si>
    <t>WM-003</t>
  </si>
  <si>
    <t>ZX7-400</t>
  </si>
  <si>
    <t>WM-004</t>
  </si>
  <si>
    <t>MILLERS</t>
  </si>
  <si>
    <t>CA-001</t>
  </si>
  <si>
    <t>Silinder Horizontal</t>
  </si>
  <si>
    <t>CA-002</t>
  </si>
  <si>
    <t>Silinder Vertikal</t>
  </si>
  <si>
    <t>CA-003</t>
  </si>
  <si>
    <t>CA-004</t>
  </si>
  <si>
    <t>CA-005</t>
  </si>
  <si>
    <t>YANMAR</t>
  </si>
  <si>
    <t>CA-006</t>
  </si>
  <si>
    <t>ATLAS</t>
  </si>
  <si>
    <t>KOPO</t>
  </si>
  <si>
    <t>TC-001</t>
  </si>
  <si>
    <t>HPA By Nexion</t>
  </si>
  <si>
    <t>TTCCW14-26*380V-50/60HZ-3PH</t>
  </si>
  <si>
    <t>Bus/Moban</t>
  </si>
  <si>
    <t>Bus Micro</t>
  </si>
  <si>
    <t>Micro Bus</t>
  </si>
  <si>
    <t>Mopen/Medium Bus</t>
  </si>
  <si>
    <t>MEGA TOWER</t>
  </si>
  <si>
    <t>TYRE CHANGER</t>
  </si>
  <si>
    <t xml:space="preserve">PT. Diesel Utama Mineral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</si>
</sst>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4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\-_);_(@_)"/>
    <numFmt numFmtId="166" formatCode="yyyy"/>
    <numFmt numFmtId="167" formatCode="[$-409]d\-mmm\-yy;@"/>
    <numFmt numFmtId="168" formatCode="0.000000%"/>
    <numFmt numFmtId="169" formatCode="_(&quot;$&quot;* #,##0.0_);_(&quot;$&quot;* \(#,##0.0\);_(&quot;$&quot;* &quot;-&quot;?_);_(@_)"/>
    <numFmt numFmtId="170" formatCode="00000"/>
    <numFmt numFmtId="171" formatCode="m/d"/>
    <numFmt numFmtId="172" formatCode="0.0000000000"/>
    <numFmt numFmtId="173" formatCode="d\ayy"/>
    <numFmt numFmtId="174" formatCode="&quot;IR£&quot;#,##0.00;[Red]\-&quot;IR£&quot;#,##0.00"/>
    <numFmt numFmtId="175" formatCode="0.00_)"/>
    <numFmt numFmtId="176" formatCode="#,##0&quot;NT$&quot;;[Red]\-#,##0&quot;NT$&quot;"/>
    <numFmt numFmtId="177" formatCode="dddd"/>
    <numFmt numFmtId="178" formatCode="ddd"/>
    <numFmt numFmtId="179" formatCode="#,##0.0"/>
    <numFmt numFmtId="180" formatCode="_ * #,##0_ ;_ * \-#,##0_ ;_ * &quot;-&quot;_ ;_ @_ "/>
    <numFmt numFmtId="181" formatCode="_(* #,##0,_);[Red]_(* \(#,##0,\);_(* &quot;&quot;&quot;&quot;&quot;&quot;&quot;&quot;\ \-\ &quot;&quot;&quot;&quot;&quot;&quot;&quot;&quot;_);_(@_)"/>
    <numFmt numFmtId="182" formatCode="0.0%;\ \(0.0%\)"/>
    <numFmt numFmtId="183" formatCode="0."/>
    <numFmt numFmtId="184" formatCode="&quot;               &quot;@"/>
    <numFmt numFmtId="185" formatCode="#,##0,_);\(#,##0,\)"/>
    <numFmt numFmtId="186" formatCode="&quot;                    &quot;@"/>
    <numFmt numFmtId="187" formatCode="0%;\(0%\)"/>
    <numFmt numFmtId="188" formatCode="&quot;                  &quot;@"/>
    <numFmt numFmtId="189" formatCode="0.0%;[Red]\(0.0%\)"/>
    <numFmt numFmtId="190" formatCode="#,##0,_);[Red]\(#,##0,\)"/>
    <numFmt numFmtId="191" formatCode="0.0000_);[Red]\(0.0000\)"/>
    <numFmt numFmtId="192" formatCode="&quot;             &quot;@"/>
    <numFmt numFmtId="193" formatCode="0%;[Red]\(0%\)"/>
    <numFmt numFmtId="194" formatCode="&quot;$&quot;#,##0.00;[Red]\-&quot;$&quot;#,##0.00"/>
    <numFmt numFmtId="195" formatCode="&quot;$&quot;#,##0;[Red]&quot;$&quot;#,##0;&quot;-&quot;"/>
    <numFmt numFmtId="196" formatCode="_(* #,##0,_);_(* \(#,##0,\);_(* &quot;-&quot;_)"/>
    <numFmt numFmtId="197" formatCode="&quot;          &quot;@"/>
    <numFmt numFmtId="198" formatCode="0.0%;\(0.0%\)"/>
    <numFmt numFmtId="199" formatCode="#,##0\ &quot;m&quot;;[Red]\(#,##0\)\ &quot;m&quot;;&quot;- &quot;"/>
    <numFmt numFmtId="200" formatCode="&quot;   &quot;@"/>
    <numFmt numFmtId="201" formatCode="[$-F800]dddd\,\ mmmm\ dd\,\ yyyy"/>
    <numFmt numFmtId="202" formatCode="[$-409]mmm\-yy;@"/>
    <numFmt numFmtId="203" formatCode="_(* #,##0,,_);_(* \(#,##0,,\);_(* &quot;-&quot;_)"/>
    <numFmt numFmtId="204" formatCode="_-* #,##0_-;\-* #,##0_-;_-* &quot;-&quot;_-;_-@_-"/>
    <numFmt numFmtId="205" formatCode="#,##0_0;&quot;△&quot;#,##0_0"/>
    <numFmt numFmtId="206" formatCode="_(* #,##0_);_(* \(#,##0\);_(* &quot;-&quot;??_);_(@_)"/>
    <numFmt numFmtId="207" formatCode="#,##0;\(#,##0\)"/>
    <numFmt numFmtId="208" formatCode="#,##0.00000;[Red]\-#,##0.00000"/>
    <numFmt numFmtId="209" formatCode="#,##0.0000000;[Red]\-#,##0.0000000"/>
    <numFmt numFmtId="210" formatCode="&quot;₩&quot;#,##0.00;&quot;₩&quot;&quot;₩&quot;&quot;₩&quot;&quot;₩&quot;&quot;₩&quot;&quot;₩&quot;&quot;₩&quot;\!\-#,##0.00"/>
    <numFmt numFmtId="211" formatCode="@* &quot;:&quot;"/>
    <numFmt numFmtId="212" formatCode="&quot;End of &quot;mmmm\ yyyy"/>
    <numFmt numFmtId="213" formatCode="&quot;Summary Contractors Equipment Status End Of &quot;[$-409]mmmm\ yyyy;@"/>
    <numFmt numFmtId="214" formatCode="&quot;End Of &quot;[$-409]mmmm\ yyyy;@"/>
    <numFmt numFmtId="215" formatCode="&quot;End Of &quot;mmmm\ yyyy"/>
    <numFmt numFmtId="216" formatCode="_(* #,##0.00_);_(* \(#,##0.00\);_(* \-??_);_(@_)"/>
    <numFmt numFmtId="217" formatCode="dddd&quot;, &quot;mmmm\ dd&quot;, &quot;yyyy"/>
    <numFmt numFmtId="218" formatCode="mmm\-yy;@"/>
    <numFmt numFmtId="219" formatCode="_(&quot;$&quot;* #,##0.0_);_(&quot;$&quot;* \(#,##0.0\);_(&quot;$&quot;* \-?_);_(@_)"/>
    <numFmt numFmtId="220" formatCode="_-* #,##0.00_-;\-* #,##0.00_-;_-* \-??_-;_-@_-"/>
    <numFmt numFmtId="221" formatCode="&quot;IR£&quot;#,##0.00;[Red]&quot;-IR£&quot;#,##0.00"/>
    <numFmt numFmtId="222" formatCode="&quot;$&quot;#,##0.00;[Red]&quot;-$&quot;#,##0.00"/>
    <numFmt numFmtId="223" formatCode="_(&quot;$&quot;* #,##0.00_);_(&quot;$&quot;* \(#,##0.00\);_(&quot;$&quot;* \-??_);_(@_)"/>
    <numFmt numFmtId="224" formatCode="&quot;$&quot;#,##0;[Red]&quot;$&quot;#,##0;\-"/>
    <numFmt numFmtId="225" formatCode="_(* #,##0,_);_(* \(#,##0,\);_(* \-_)"/>
    <numFmt numFmtId="226" formatCode="_(* #,##0,,_);_(* \(#,##0,,\);_(* \-_)"/>
    <numFmt numFmtId="227" formatCode="d\-mmm\-yy;@"/>
    <numFmt numFmtId="228" formatCode="[$-F400]h:mm:ss\ AM/PM"/>
    <numFmt numFmtId="229" formatCode="00"/>
    <numFmt numFmtId="230" formatCode="_-* #,##0.00_-;\-* #,##0.00_-;_-* &quot;-&quot;_-;_-@_-"/>
    <numFmt numFmtId="231" formatCode="#,##0.0_);\(#,##0.0\)"/>
    <numFmt numFmtId="232" formatCode="0.0%"/>
  </numFmts>
  <fonts count="13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2"/>
      <name val="¹ÙÅÁÃ¼"/>
    </font>
    <font>
      <sz val="11"/>
      <color indexed="8"/>
      <name val="Calibri"/>
      <family val="2"/>
    </font>
    <font>
      <sz val="11"/>
      <color indexed="8"/>
      <name val="Constantia"/>
      <family val="2"/>
      <charset val="1"/>
    </font>
    <font>
      <sz val="11"/>
      <color indexed="8"/>
      <name val="맑은 고딕"/>
      <family val="3"/>
      <charset val="129"/>
    </font>
    <font>
      <sz val="11"/>
      <color indexed="9"/>
      <name val="Calibri"/>
      <family val="2"/>
    </font>
    <font>
      <sz val="11"/>
      <color indexed="9"/>
      <name val="Constantia"/>
      <family val="2"/>
      <charset val="1"/>
    </font>
    <font>
      <sz val="11"/>
      <color indexed="9"/>
      <name val="맑은 고딕"/>
      <family val="3"/>
      <charset val="129"/>
    </font>
    <font>
      <sz val="12"/>
      <name val="Times New Roman"/>
      <family val="1"/>
    </font>
    <font>
      <sz val="11"/>
      <color indexed="20"/>
      <name val="Calibri"/>
      <family val="2"/>
    </font>
    <font>
      <sz val="11"/>
      <color indexed="20"/>
      <name val="Constantia"/>
      <family val="2"/>
      <charset val="1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11"/>
      <color indexed="52"/>
      <name val="Constantia"/>
      <family val="2"/>
      <charset val="1"/>
    </font>
    <font>
      <b/>
      <sz val="10"/>
      <name val="Helv"/>
      <family val="2"/>
    </font>
    <font>
      <b/>
      <sz val="11"/>
      <color indexed="9"/>
      <name val="Calibri"/>
      <family val="2"/>
    </font>
    <font>
      <b/>
      <sz val="11"/>
      <color indexed="9"/>
      <name val="Constantia"/>
      <family val="2"/>
      <charset val="1"/>
    </font>
    <font>
      <sz val="11"/>
      <color indexed="8"/>
      <name val="Calibri"/>
      <family val="2"/>
      <charset val="1"/>
    </font>
    <font>
      <sz val="11"/>
      <name val="돋움"/>
      <family val="3"/>
      <charset val="129"/>
    </font>
    <font>
      <sz val="8"/>
      <name val="Bookman Old Style"/>
      <family val="1"/>
    </font>
    <font>
      <sz val="10"/>
      <name val="Times New Roman"/>
      <family val="1"/>
    </font>
    <font>
      <sz val="10"/>
      <color indexed="24"/>
      <name val="Courier New"/>
      <family val="3"/>
    </font>
    <font>
      <sz val="12"/>
      <name val="Tms Rmn"/>
    </font>
    <font>
      <i/>
      <sz val="11"/>
      <color indexed="23"/>
      <name val="Calibri"/>
      <family val="2"/>
    </font>
    <font>
      <i/>
      <sz val="11"/>
      <color indexed="23"/>
      <name val="Constantia"/>
      <family val="2"/>
      <charset val="1"/>
    </font>
    <font>
      <sz val="11"/>
      <color indexed="17"/>
      <name val="Calibri"/>
      <family val="2"/>
    </font>
    <font>
      <sz val="11"/>
      <color indexed="17"/>
      <name val="Constantia"/>
      <family val="2"/>
      <charset val="1"/>
    </font>
    <font>
      <sz val="8"/>
      <name val="Arial"/>
      <family val="2"/>
    </font>
    <font>
      <b/>
      <sz val="16"/>
      <name val="Times New Roman"/>
      <family val="1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2"/>
      <color indexed="24"/>
      <name val="Times New Roman"/>
      <family val="1"/>
    </font>
    <font>
      <b/>
      <sz val="15"/>
      <color indexed="56"/>
      <name val="Constantia"/>
      <family val="2"/>
      <charset val="1"/>
    </font>
    <font>
      <b/>
      <sz val="13"/>
      <color indexed="56"/>
      <name val="Calibri"/>
      <family val="2"/>
    </font>
    <font>
      <sz val="10"/>
      <color indexed="24"/>
      <name val="Times New Roman"/>
      <family val="1"/>
    </font>
    <font>
      <b/>
      <sz val="13"/>
      <color indexed="56"/>
      <name val="Constantia"/>
      <family val="2"/>
      <charset val="1"/>
    </font>
    <font>
      <b/>
      <sz val="11"/>
      <color indexed="56"/>
      <name val="Calibri"/>
      <family val="2"/>
    </font>
    <font>
      <b/>
      <sz val="11"/>
      <color indexed="56"/>
      <name val="Constantia"/>
      <family val="2"/>
      <charset val="1"/>
    </font>
    <font>
      <sz val="11"/>
      <color indexed="62"/>
      <name val="Calibri"/>
      <family val="2"/>
    </font>
    <font>
      <sz val="11"/>
      <color indexed="62"/>
      <name val="Constantia"/>
      <family val="2"/>
      <charset val="1"/>
    </font>
    <font>
      <sz val="11"/>
      <color indexed="52"/>
      <name val="Calibri"/>
      <family val="2"/>
    </font>
    <font>
      <sz val="11"/>
      <color indexed="52"/>
      <name val="Constantia"/>
      <family val="2"/>
      <charset val="1"/>
    </font>
    <font>
      <b/>
      <sz val="11"/>
      <name val="Helv"/>
      <family val="2"/>
    </font>
    <font>
      <sz val="11"/>
      <color indexed="60"/>
      <name val="Calibri"/>
      <family val="2"/>
    </font>
    <font>
      <sz val="11"/>
      <color indexed="60"/>
      <name val="Constantia"/>
      <family val="2"/>
      <charset val="1"/>
    </font>
    <font>
      <b/>
      <i/>
      <sz val="16"/>
      <name val="Helv"/>
    </font>
    <font>
      <sz val="12"/>
      <name val="바탕체"/>
      <family val="1"/>
      <charset val="129"/>
    </font>
    <font>
      <sz val="10"/>
      <name val="Arial Unicode MS"/>
      <family val="2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b/>
      <sz val="11"/>
      <color indexed="63"/>
      <name val="Constantia"/>
      <family val="2"/>
      <charset val="1"/>
    </font>
    <font>
      <b/>
      <i/>
      <sz val="8"/>
      <name val="Arial"/>
      <family val="2"/>
    </font>
    <font>
      <sz val="9"/>
      <name val="‚l‚r ‚oƒSƒVƒbƒN"/>
      <family val="3"/>
      <charset val="128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8"/>
      <color indexed="56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onstantia"/>
      <family val="2"/>
      <charset val="1"/>
    </font>
    <font>
      <sz val="11"/>
      <color indexed="10"/>
      <name val="Calibri"/>
      <family val="2"/>
    </font>
    <font>
      <sz val="11"/>
      <color indexed="10"/>
      <name val="Constantia"/>
      <family val="2"/>
      <charset val="1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4"/>
      <name val="뼻뮝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명조"/>
      <family val="3"/>
      <charset val="129"/>
    </font>
    <font>
      <sz val="8"/>
      <name val="Arial"/>
      <family val="2"/>
    </font>
    <font>
      <sz val="8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8"/>
      <name val="Tahoma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5"/>
      <name val="Tahoma"/>
      <family val="2"/>
    </font>
    <font>
      <sz val="15"/>
      <color indexed="8"/>
      <name val="Tahoma"/>
      <family val="2"/>
    </font>
    <font>
      <b/>
      <sz val="15"/>
      <color indexed="8"/>
      <name val="Tahoma"/>
      <family val="2"/>
    </font>
    <font>
      <b/>
      <sz val="15"/>
      <name val="Tahoma"/>
      <family val="2"/>
    </font>
    <font>
      <b/>
      <sz val="11"/>
      <color indexed="8"/>
      <name val="Arial"/>
      <family val="2"/>
    </font>
    <font>
      <b/>
      <sz val="10"/>
      <color indexed="8"/>
      <name val="Tahoma"/>
      <family val="2"/>
    </font>
    <font>
      <sz val="8"/>
      <color indexed="8"/>
      <name val="Tahoma"/>
      <family val="2"/>
    </font>
    <font>
      <b/>
      <sz val="18"/>
      <color theme="0"/>
      <name val="Calibri"/>
      <family val="2"/>
      <scheme val="minor"/>
    </font>
    <font>
      <b/>
      <sz val="10"/>
      <color theme="1"/>
      <name val="Tahoma"/>
      <family val="2"/>
    </font>
    <font>
      <sz val="10"/>
      <name val="Arial"/>
      <family val="2"/>
    </font>
    <font>
      <b/>
      <sz val="11"/>
      <name val="Tahoma"/>
      <family val="2"/>
    </font>
    <font>
      <sz val="10"/>
      <name val="Arial"/>
      <family val="2"/>
      <charset val="134"/>
    </font>
    <font>
      <sz val="11"/>
      <color theme="1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indexed="8"/>
      <name val="Calibri"/>
      <family val="2"/>
      <charset val="134"/>
    </font>
    <font>
      <sz val="10"/>
      <name val="Comic Sans MS"/>
      <family val="4"/>
    </font>
    <font>
      <sz val="10"/>
      <color theme="1"/>
      <name val="Tahoma"/>
      <family val="2"/>
    </font>
    <font>
      <sz val="8"/>
      <name val="Arial"/>
      <family val="2"/>
    </font>
    <font>
      <sz val="11"/>
      <color indexed="8"/>
      <name val="Constantia"/>
      <family val="1"/>
    </font>
    <font>
      <sz val="10"/>
      <name val="Mangal"/>
      <family val="1"/>
    </font>
    <font>
      <sz val="11"/>
      <color indexed="8"/>
      <name val="맑은 고딕"/>
    </font>
    <font>
      <sz val="11"/>
      <color indexed="9"/>
      <name val="Constantia"/>
      <family val="1"/>
    </font>
    <font>
      <sz val="11"/>
      <color indexed="9"/>
      <name val="맑은 고딕"/>
    </font>
    <font>
      <sz val="11"/>
      <color indexed="20"/>
      <name val="Constantia"/>
      <family val="1"/>
    </font>
    <font>
      <b/>
      <sz val="11"/>
      <color indexed="52"/>
      <name val="Constantia"/>
      <family val="1"/>
    </font>
    <font>
      <b/>
      <sz val="10"/>
      <name val="Arial"/>
      <family val="2"/>
    </font>
    <font>
      <b/>
      <sz val="11"/>
      <color indexed="9"/>
      <name val="Constantia"/>
      <family val="1"/>
    </font>
    <font>
      <i/>
      <sz val="11"/>
      <color indexed="23"/>
      <name val="Constantia"/>
      <family val="1"/>
    </font>
    <font>
      <sz val="11"/>
      <color indexed="17"/>
      <name val="Constantia"/>
      <family val="1"/>
    </font>
    <font>
      <b/>
      <sz val="15"/>
      <color indexed="56"/>
      <name val="Constantia"/>
      <family val="1"/>
    </font>
    <font>
      <b/>
      <sz val="13"/>
      <color indexed="56"/>
      <name val="Constantia"/>
      <family val="1"/>
    </font>
    <font>
      <b/>
      <sz val="11"/>
      <color indexed="56"/>
      <name val="Constantia"/>
      <family val="1"/>
    </font>
    <font>
      <sz val="11"/>
      <color indexed="62"/>
      <name val="Constantia"/>
      <family val="1"/>
    </font>
    <font>
      <sz val="11"/>
      <color indexed="52"/>
      <name val="Constantia"/>
      <family val="1"/>
    </font>
    <font>
      <sz val="11"/>
      <color indexed="60"/>
      <name val="Constantia"/>
      <family val="1"/>
    </font>
    <font>
      <b/>
      <i/>
      <sz val="16"/>
      <name val="Arial"/>
      <family val="2"/>
    </font>
    <font>
      <sz val="10"/>
      <color theme="1"/>
      <name val="Calibri"/>
      <family val="2"/>
      <scheme val="minor"/>
    </font>
    <font>
      <b/>
      <sz val="10"/>
      <name val="Tms Rmn"/>
    </font>
    <font>
      <sz val="8"/>
      <name val="Arial"/>
      <family val="2"/>
    </font>
    <font>
      <sz val="10"/>
      <name val="Arial"/>
      <family val="2"/>
    </font>
    <font>
      <sz val="10"/>
      <color indexed="22"/>
      <name val="Tahoma"/>
      <family val="2"/>
    </font>
    <font>
      <i/>
      <sz val="11"/>
      <color rgb="FF7F7F7F"/>
      <name val="Calibri"/>
      <family val="2"/>
      <scheme val="minor"/>
    </font>
  </fonts>
  <fills count="7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33">
    <border>
      <left/>
      <right/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021">
    <xf numFmtId="0" fontId="0" fillId="0" borderId="0"/>
    <xf numFmtId="0" fontId="6" fillId="0" borderId="0"/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1" fontId="7" fillId="0" borderId="0">
      <protection locked="0"/>
    </xf>
    <xf numFmtId="181" fontId="7" fillId="0" borderId="0">
      <protection locked="0"/>
    </xf>
    <xf numFmtId="181" fontId="7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1" fontId="7" fillId="0" borderId="0">
      <protection locked="0"/>
    </xf>
    <xf numFmtId="181" fontId="7" fillId="0" borderId="0">
      <protection locked="0"/>
    </xf>
    <xf numFmtId="181" fontId="7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180" fontId="6" fillId="0" borderId="0">
      <protection locked="0"/>
    </xf>
    <xf numFmtId="0" fontId="6" fillId="0" borderId="0"/>
    <xf numFmtId="9" fontId="8" fillId="0" borderId="0" applyFont="0" applyFill="0" applyBorder="0" applyAlignment="0" applyProtection="0"/>
    <xf numFmtId="0" fontId="9" fillId="2" borderId="0" applyNumberFormat="0" applyBorder="0" applyAlignment="0" applyProtection="0"/>
    <xf numFmtId="167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7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9" fillId="4" borderId="0" applyNumberFormat="0" applyBorder="0" applyAlignment="0" applyProtection="0"/>
    <xf numFmtId="167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167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9" fillId="6" borderId="0" applyNumberFormat="0" applyBorder="0" applyAlignment="0" applyProtection="0"/>
    <xf numFmtId="167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167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167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167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167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167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9" fillId="12" borderId="0" applyNumberFormat="0" applyBorder="0" applyAlignment="0" applyProtection="0"/>
    <xf numFmtId="167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167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/>
    <xf numFmtId="167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167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9" fillId="16" borderId="0" applyNumberFormat="0" applyBorder="0" applyAlignment="0" applyProtection="0"/>
    <xf numFmtId="167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167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9" fillId="18" borderId="0" applyNumberFormat="0" applyBorder="0" applyAlignment="0" applyProtection="0"/>
    <xf numFmtId="167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167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9" fillId="8" borderId="0" applyNumberFormat="0" applyBorder="0" applyAlignment="0" applyProtection="0"/>
    <xf numFmtId="167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167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9" fillId="14" borderId="0" applyNumberFormat="0" applyBorder="0" applyAlignment="0" applyProtection="0"/>
    <xf numFmtId="167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167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9" fillId="20" borderId="0" applyNumberFormat="0" applyBorder="0" applyAlignment="0" applyProtection="0"/>
    <xf numFmtId="167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167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/>
    <xf numFmtId="167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167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2" fillId="16" borderId="0" applyNumberFormat="0" applyBorder="0" applyAlignment="0" applyProtection="0"/>
    <xf numFmtId="167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167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18" borderId="0" applyNumberFormat="0" applyBorder="0" applyAlignment="0" applyProtection="0"/>
    <xf numFmtId="167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67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2" fillId="24" borderId="0" applyNumberFormat="0" applyBorder="0" applyAlignment="0" applyProtection="0"/>
    <xf numFmtId="167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167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2" fillId="26" borderId="0" applyNumberFormat="0" applyBorder="0" applyAlignment="0" applyProtection="0"/>
    <xf numFmtId="167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167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2" fillId="28" borderId="0" applyNumberFormat="0" applyBorder="0" applyAlignment="0" applyProtection="0"/>
    <xf numFmtId="167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167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/>
    <xf numFmtId="167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167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2" fillId="32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167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2" fillId="34" borderId="0" applyNumberFormat="0" applyBorder="0" applyAlignment="0" applyProtection="0"/>
    <xf numFmtId="167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167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2" fillId="24" borderId="0" applyNumberFormat="0" applyBorder="0" applyAlignment="0" applyProtection="0"/>
    <xf numFmtId="167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167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2" fillId="26" borderId="0" applyNumberFormat="0" applyBorder="0" applyAlignment="0" applyProtection="0"/>
    <xf numFmtId="167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167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2" fillId="36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167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201" fontId="6" fillId="0" borderId="0" applyFont="0" applyFill="0" applyBorder="0" applyAlignment="0" applyProtection="0"/>
    <xf numFmtId="201" fontId="6" fillId="0" borderId="0" applyFont="0" applyFill="0" applyBorder="0" applyAlignment="0" applyProtection="0"/>
    <xf numFmtId="0" fontId="15" fillId="0" borderId="1" applyProtection="0">
      <alignment horizontal="center" vertical="center"/>
    </xf>
    <xf numFmtId="201" fontId="6" fillId="0" borderId="0" applyFont="0" applyFill="0" applyBorder="0" applyAlignment="0" applyProtection="0"/>
    <xf numFmtId="201" fontId="7" fillId="0" borderId="0" applyFont="0" applyFill="0" applyBorder="0" applyAlignment="0" applyProtection="0"/>
    <xf numFmtId="0" fontId="16" fillId="4" borderId="0" applyNumberFormat="0" applyBorder="0" applyAlignment="0" applyProtection="0"/>
    <xf numFmtId="167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7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201" fontId="8" fillId="0" borderId="0"/>
    <xf numFmtId="0" fontId="18" fillId="0" borderId="0" applyFill="0" applyBorder="0" applyAlignment="0"/>
    <xf numFmtId="201" fontId="18" fillId="0" borderId="0" applyFill="0" applyBorder="0" applyAlignment="0"/>
    <xf numFmtId="202" fontId="18" fillId="0" borderId="0" applyFill="0" applyBorder="0" applyAlignment="0"/>
    <xf numFmtId="202" fontId="18" fillId="0" borderId="0" applyFill="0" applyBorder="0" applyAlignment="0"/>
    <xf numFmtId="0" fontId="18" fillId="0" borderId="0" applyFill="0" applyBorder="0" applyAlignment="0"/>
    <xf numFmtId="0" fontId="18" fillId="0" borderId="0" applyFill="0" applyBorder="0" applyAlignment="0"/>
    <xf numFmtId="201" fontId="18" fillId="0" borderId="0" applyFill="0" applyBorder="0" applyAlignment="0"/>
    <xf numFmtId="168" fontId="6" fillId="0" borderId="0" applyFill="0" applyBorder="0" applyAlignment="0"/>
    <xf numFmtId="183" fontId="6" fillId="0" borderId="0" applyFill="0" applyBorder="0" applyAlignment="0"/>
    <xf numFmtId="182" fontId="6" fillId="0" borderId="0" applyFill="0" applyBorder="0" applyAlignment="0"/>
    <xf numFmtId="169" fontId="6" fillId="0" borderId="0" applyFill="0" applyBorder="0" applyAlignment="0"/>
    <xf numFmtId="185" fontId="6" fillId="0" borderId="0" applyFill="0" applyBorder="0" applyAlignment="0"/>
    <xf numFmtId="184" fontId="6" fillId="0" borderId="0" applyFill="0" applyBorder="0" applyAlignment="0"/>
    <xf numFmtId="170" fontId="6" fillId="0" borderId="0" applyFill="0" applyBorder="0" applyAlignment="0"/>
    <xf numFmtId="187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186" fontId="6" fillId="0" borderId="0" applyFill="0" applyBorder="0" applyAlignment="0"/>
    <xf numFmtId="171" fontId="6" fillId="0" borderId="0" applyFill="0" applyBorder="0" applyAlignment="0"/>
    <xf numFmtId="189" fontId="6" fillId="0" borderId="0" applyFill="0" applyBorder="0" applyAlignment="0"/>
    <xf numFmtId="188" fontId="6" fillId="0" borderId="0" applyFill="0" applyBorder="0" applyAlignment="0"/>
    <xf numFmtId="172" fontId="6" fillId="0" borderId="0" applyFill="0" applyBorder="0" applyAlignment="0"/>
    <xf numFmtId="191" fontId="6" fillId="0" borderId="0" applyFill="0" applyBorder="0" applyAlignment="0"/>
    <xf numFmtId="190" fontId="6" fillId="0" borderId="0" applyFill="0" applyBorder="0" applyAlignment="0"/>
    <xf numFmtId="173" fontId="6" fillId="0" borderId="0" applyFill="0" applyBorder="0" applyAlignment="0"/>
    <xf numFmtId="193" fontId="6" fillId="0" borderId="0" applyFill="0" applyBorder="0" applyAlignment="0"/>
    <xf numFmtId="192" fontId="6" fillId="0" borderId="0" applyFill="0" applyBorder="0" applyAlignment="0"/>
    <xf numFmtId="168" fontId="6" fillId="0" borderId="0" applyFill="0" applyBorder="0" applyAlignment="0"/>
    <xf numFmtId="183" fontId="6" fillId="0" borderId="0" applyFill="0" applyBorder="0" applyAlignment="0"/>
    <xf numFmtId="182" fontId="6" fillId="0" borderId="0" applyFill="0" applyBorder="0" applyAlignment="0"/>
    <xf numFmtId="0" fontId="19" fillId="38" borderId="2" applyNumberFormat="0" applyAlignment="0" applyProtection="0"/>
    <xf numFmtId="167" fontId="20" fillId="39" borderId="2" applyNumberFormat="0" applyAlignment="0" applyProtection="0"/>
    <xf numFmtId="0" fontId="20" fillId="39" borderId="2" applyNumberFormat="0" applyAlignment="0" applyProtection="0"/>
    <xf numFmtId="0" fontId="20" fillId="39" borderId="2" applyNumberFormat="0" applyAlignment="0" applyProtection="0"/>
    <xf numFmtId="0" fontId="20" fillId="39" borderId="2" applyNumberFormat="0" applyAlignment="0" applyProtection="0"/>
    <xf numFmtId="0" fontId="20" fillId="39" borderId="2" applyNumberFormat="0" applyAlignment="0" applyProtection="0"/>
    <xf numFmtId="167" fontId="20" fillId="39" borderId="2" applyNumberFormat="0" applyAlignment="0" applyProtection="0"/>
    <xf numFmtId="167" fontId="20" fillId="39" borderId="2" applyNumberFormat="0" applyAlignment="0" applyProtection="0"/>
    <xf numFmtId="0" fontId="20" fillId="39" borderId="2" applyNumberFormat="0" applyAlignment="0" applyProtection="0"/>
    <xf numFmtId="0" fontId="20" fillId="39" borderId="2" applyNumberFormat="0" applyAlignment="0" applyProtection="0"/>
    <xf numFmtId="0" fontId="20" fillId="39" borderId="2" applyNumberFormat="0" applyAlignment="0" applyProtection="0"/>
    <xf numFmtId="0" fontId="20" fillId="39" borderId="2" applyNumberFormat="0" applyAlignment="0" applyProtection="0"/>
    <xf numFmtId="0" fontId="20" fillId="39" borderId="2" applyNumberFormat="0" applyAlignment="0" applyProtection="0"/>
    <xf numFmtId="0" fontId="20" fillId="39" borderId="2" applyNumberFormat="0" applyAlignment="0" applyProtection="0"/>
    <xf numFmtId="0" fontId="21" fillId="0" borderId="0"/>
    <xf numFmtId="0" fontId="22" fillId="40" borderId="3" applyNumberFormat="0" applyAlignment="0" applyProtection="0"/>
    <xf numFmtId="167" fontId="23" fillId="41" borderId="3" applyNumberFormat="0" applyAlignment="0" applyProtection="0"/>
    <xf numFmtId="0" fontId="23" fillId="41" borderId="3" applyNumberFormat="0" applyAlignment="0" applyProtection="0"/>
    <xf numFmtId="0" fontId="23" fillId="41" borderId="3" applyNumberFormat="0" applyAlignment="0" applyProtection="0"/>
    <xf numFmtId="0" fontId="23" fillId="41" borderId="3" applyNumberFormat="0" applyAlignment="0" applyProtection="0"/>
    <xf numFmtId="0" fontId="23" fillId="41" borderId="3" applyNumberFormat="0" applyAlignment="0" applyProtection="0"/>
    <xf numFmtId="167" fontId="23" fillId="41" borderId="3" applyNumberFormat="0" applyAlignment="0" applyProtection="0"/>
    <xf numFmtId="167" fontId="23" fillId="41" borderId="3" applyNumberFormat="0" applyAlignment="0" applyProtection="0"/>
    <xf numFmtId="0" fontId="23" fillId="41" borderId="3" applyNumberFormat="0" applyAlignment="0" applyProtection="0"/>
    <xf numFmtId="0" fontId="23" fillId="41" borderId="3" applyNumberFormat="0" applyAlignment="0" applyProtection="0"/>
    <xf numFmtId="0" fontId="23" fillId="41" borderId="3" applyNumberFormat="0" applyAlignment="0" applyProtection="0"/>
    <xf numFmtId="0" fontId="23" fillId="41" borderId="3" applyNumberFormat="0" applyAlignment="0" applyProtection="0"/>
    <xf numFmtId="0" fontId="23" fillId="41" borderId="3" applyNumberFormat="0" applyAlignment="0" applyProtection="0"/>
    <xf numFmtId="0" fontId="23" fillId="41" borderId="3" applyNumberFormat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top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6" fillId="0" borderId="0" quotePrefix="1">
      <protection locked="0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205" fontId="2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72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4" fillId="0" borderId="0" applyFont="0" applyFill="0" applyBorder="0" applyAlignment="0" applyProtection="0"/>
    <xf numFmtId="201" fontId="6" fillId="0" borderId="0" applyFont="0" applyFill="0" applyBorder="0" applyAlignment="0" applyProtection="0"/>
    <xf numFmtId="201" fontId="6" fillId="0" borderId="0" applyFont="0" applyFill="0" applyBorder="0" applyAlignment="0" applyProtection="0"/>
    <xf numFmtId="202" fontId="6" fillId="0" borderId="0" applyFont="0" applyFill="0" applyBorder="0" applyAlignment="0" applyProtection="0"/>
    <xf numFmtId="20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206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quotePrefix="1" applyFont="0" applyFill="0" applyBorder="0" applyAlignment="0">
      <protection locked="0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207" fontId="27" fillId="0" borderId="0"/>
    <xf numFmtId="3" fontId="28" fillId="0" borderId="0" applyFont="0" applyFill="0" applyBorder="0" applyAlignment="0" applyProtection="0"/>
    <xf numFmtId="174" fontId="6" fillId="0" borderId="4"/>
    <xf numFmtId="194" fontId="29" fillId="0" borderId="4"/>
    <xf numFmtId="194" fontId="29" fillId="0" borderId="4"/>
    <xf numFmtId="168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6" fontId="6" fillId="0" borderId="0" applyFont="0" applyFill="0" applyBorder="0" applyAlignment="0" applyProtection="0"/>
    <xf numFmtId="208" fontId="6" fillId="0" borderId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14" fontId="18" fillId="0" borderId="0" applyFill="0" applyBorder="0" applyAlignment="0"/>
    <xf numFmtId="209" fontId="6" fillId="0" borderId="0"/>
    <xf numFmtId="172" fontId="6" fillId="0" borderId="0" applyFill="0" applyBorder="0" applyAlignment="0"/>
    <xf numFmtId="191" fontId="6" fillId="0" borderId="0" applyFill="0" applyBorder="0" applyAlignment="0"/>
    <xf numFmtId="190" fontId="6" fillId="0" borderId="0" applyFill="0" applyBorder="0" applyAlignment="0"/>
    <xf numFmtId="168" fontId="6" fillId="0" borderId="0" applyFill="0" applyBorder="0" applyAlignment="0"/>
    <xf numFmtId="183" fontId="6" fillId="0" borderId="0" applyFill="0" applyBorder="0" applyAlignment="0"/>
    <xf numFmtId="182" fontId="6" fillId="0" borderId="0" applyFill="0" applyBorder="0" applyAlignment="0"/>
    <xf numFmtId="172" fontId="6" fillId="0" borderId="0" applyFill="0" applyBorder="0" applyAlignment="0"/>
    <xf numFmtId="191" fontId="6" fillId="0" borderId="0" applyFill="0" applyBorder="0" applyAlignment="0"/>
    <xf numFmtId="190" fontId="6" fillId="0" borderId="0" applyFill="0" applyBorder="0" applyAlignment="0"/>
    <xf numFmtId="173" fontId="6" fillId="0" borderId="0" applyFill="0" applyBorder="0" applyAlignment="0"/>
    <xf numFmtId="193" fontId="6" fillId="0" borderId="0" applyFill="0" applyBorder="0" applyAlignment="0"/>
    <xf numFmtId="192" fontId="6" fillId="0" borderId="0" applyFill="0" applyBorder="0" applyAlignment="0"/>
    <xf numFmtId="168" fontId="6" fillId="0" borderId="0" applyFill="0" applyBorder="0" applyAlignment="0"/>
    <xf numFmtId="183" fontId="6" fillId="0" borderId="0" applyFill="0" applyBorder="0" applyAlignment="0"/>
    <xf numFmtId="182" fontId="6" fillId="0" borderId="0" applyFill="0" applyBorder="0" applyAlignment="0"/>
    <xf numFmtId="182" fontId="24" fillId="0" borderId="0"/>
    <xf numFmtId="165" fontId="24" fillId="0" borderId="0"/>
    <xf numFmtId="182" fontId="24" fillId="0" borderId="0"/>
    <xf numFmtId="201" fontId="24" fillId="0" borderId="0"/>
    <xf numFmtId="202" fontId="24" fillId="0" borderId="0"/>
    <xf numFmtId="201" fontId="24" fillId="0" borderId="0"/>
    <xf numFmtId="9" fontId="6" fillId="0" borderId="0" applyFill="0" applyBorder="0" applyAlignment="0" applyProtection="0"/>
    <xf numFmtId="0" fontId="30" fillId="0" borderId="0" applyNumberFormat="0" applyFill="0" applyBorder="0" applyAlignment="0" applyProtection="0"/>
    <xf numFmtId="167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7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2" fontId="28" fillId="0" borderId="0" applyFont="0" applyFill="0" applyBorder="0" applyAlignment="0" applyProtection="0"/>
    <xf numFmtId="0" fontId="32" fillId="6" borderId="0" applyNumberFormat="0" applyBorder="0" applyAlignment="0" applyProtection="0"/>
    <xf numFmtId="167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167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38" fontId="34" fillId="42" borderId="0" applyNumberFormat="0" applyBorder="0" applyAlignment="0" applyProtection="0"/>
    <xf numFmtId="201" fontId="35" fillId="0" borderId="0"/>
    <xf numFmtId="201" fontId="35" fillId="0" borderId="0"/>
    <xf numFmtId="202" fontId="35" fillId="0" borderId="0"/>
    <xf numFmtId="202" fontId="35" fillId="0" borderId="0"/>
    <xf numFmtId="0" fontId="36" fillId="0" borderId="0">
      <alignment horizontal="left"/>
    </xf>
    <xf numFmtId="0" fontId="37" fillId="0" borderId="5" applyNumberFormat="0" applyAlignment="0" applyProtection="0">
      <alignment horizontal="left" vertical="center"/>
    </xf>
    <xf numFmtId="201" fontId="37" fillId="0" borderId="5" applyNumberFormat="0" applyAlignment="0" applyProtection="0">
      <alignment horizontal="left" vertical="center"/>
    </xf>
    <xf numFmtId="202" fontId="37" fillId="0" borderId="5" applyNumberFormat="0" applyAlignment="0" applyProtection="0">
      <alignment horizontal="left" vertical="center"/>
    </xf>
    <xf numFmtId="202" fontId="37" fillId="0" borderId="5" applyNumberFormat="0" applyAlignment="0" applyProtection="0">
      <alignment horizontal="left" vertical="center"/>
    </xf>
    <xf numFmtId="0" fontId="37" fillId="0" borderId="5" applyNumberFormat="0" applyAlignment="0" applyProtection="0">
      <alignment horizontal="left" vertical="center"/>
    </xf>
    <xf numFmtId="0" fontId="37" fillId="0" borderId="5" applyNumberFormat="0" applyAlignment="0" applyProtection="0">
      <alignment horizontal="left" vertical="center"/>
    </xf>
    <xf numFmtId="0" fontId="37" fillId="0" borderId="6">
      <alignment horizontal="left" vertical="center"/>
    </xf>
    <xf numFmtId="201" fontId="37" fillId="0" borderId="6">
      <alignment horizontal="left" vertical="center"/>
    </xf>
    <xf numFmtId="202" fontId="37" fillId="0" borderId="6">
      <alignment horizontal="left" vertical="center"/>
    </xf>
    <xf numFmtId="202" fontId="37" fillId="0" borderId="6">
      <alignment horizontal="left" vertical="center"/>
    </xf>
    <xf numFmtId="0" fontId="37" fillId="0" borderId="6">
      <alignment horizontal="left" vertical="center"/>
    </xf>
    <xf numFmtId="0" fontId="37" fillId="0" borderId="6">
      <alignment horizontal="left" vertical="center"/>
    </xf>
    <xf numFmtId="201" fontId="37" fillId="0" borderId="6">
      <alignment horizontal="left" vertical="center"/>
    </xf>
    <xf numFmtId="0" fontId="38" fillId="0" borderId="7" applyNumberFormat="0" applyFill="0" applyAlignment="0" applyProtection="0"/>
    <xf numFmtId="201" fontId="39" fillId="0" borderId="0" applyNumberFormat="0" applyFill="0" applyBorder="0" applyAlignment="0" applyProtection="0"/>
    <xf numFmtId="167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167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167" fontId="40" fillId="0" borderId="7" applyNumberFormat="0" applyFill="0" applyAlignment="0" applyProtection="0"/>
    <xf numFmtId="167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201" fontId="42" fillId="0" borderId="0" applyNumberFormat="0" applyFill="0" applyBorder="0" applyAlignment="0" applyProtection="0"/>
    <xf numFmtId="167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167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167" fontId="43" fillId="0" borderId="8" applyNumberFormat="0" applyFill="0" applyAlignment="0" applyProtection="0"/>
    <xf numFmtId="167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4" fillId="0" borderId="9" applyNumberFormat="0" applyFill="0" applyAlignment="0" applyProtection="0"/>
    <xf numFmtId="167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167" fontId="45" fillId="0" borderId="9" applyNumberFormat="0" applyFill="0" applyAlignment="0" applyProtection="0"/>
    <xf numFmtId="167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  <xf numFmtId="167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7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12" borderId="2" applyNumberFormat="0" applyAlignment="0" applyProtection="0"/>
    <xf numFmtId="10" fontId="34" fillId="43" borderId="4" applyNumberFormat="0" applyBorder="0" applyAlignment="0" applyProtection="0"/>
    <xf numFmtId="167" fontId="47" fillId="13" borderId="2" applyNumberFormat="0" applyAlignment="0" applyProtection="0"/>
    <xf numFmtId="0" fontId="47" fillId="13" borderId="2" applyNumberFormat="0" applyAlignment="0" applyProtection="0"/>
    <xf numFmtId="0" fontId="47" fillId="13" borderId="2" applyNumberFormat="0" applyAlignment="0" applyProtection="0"/>
    <xf numFmtId="0" fontId="47" fillId="13" borderId="2" applyNumberFormat="0" applyAlignment="0" applyProtection="0"/>
    <xf numFmtId="0" fontId="47" fillId="13" borderId="2" applyNumberFormat="0" applyAlignment="0" applyProtection="0"/>
    <xf numFmtId="167" fontId="47" fillId="13" borderId="2" applyNumberFormat="0" applyAlignment="0" applyProtection="0"/>
    <xf numFmtId="167" fontId="47" fillId="13" borderId="2" applyNumberFormat="0" applyAlignment="0" applyProtection="0"/>
    <xf numFmtId="0" fontId="47" fillId="13" borderId="2" applyNumberFormat="0" applyAlignment="0" applyProtection="0"/>
    <xf numFmtId="0" fontId="47" fillId="13" borderId="2" applyNumberFormat="0" applyAlignment="0" applyProtection="0"/>
    <xf numFmtId="0" fontId="47" fillId="13" borderId="2" applyNumberFormat="0" applyAlignment="0" applyProtection="0"/>
    <xf numFmtId="0" fontId="47" fillId="13" borderId="2" applyNumberFormat="0" applyAlignment="0" applyProtection="0"/>
    <xf numFmtId="0" fontId="47" fillId="13" borderId="2" applyNumberFormat="0" applyAlignment="0" applyProtection="0"/>
    <xf numFmtId="0" fontId="47" fillId="13" borderId="2" applyNumberFormat="0" applyAlignment="0" applyProtection="0"/>
    <xf numFmtId="172" fontId="6" fillId="0" borderId="0" applyFill="0" applyBorder="0" applyAlignment="0"/>
    <xf numFmtId="191" fontId="6" fillId="0" borderId="0" applyFill="0" applyBorder="0" applyAlignment="0"/>
    <xf numFmtId="190" fontId="6" fillId="0" borderId="0" applyFill="0" applyBorder="0" applyAlignment="0"/>
    <xf numFmtId="168" fontId="6" fillId="0" borderId="0" applyFill="0" applyBorder="0" applyAlignment="0"/>
    <xf numFmtId="183" fontId="6" fillId="0" borderId="0" applyFill="0" applyBorder="0" applyAlignment="0"/>
    <xf numFmtId="182" fontId="6" fillId="0" borderId="0" applyFill="0" applyBorder="0" applyAlignment="0"/>
    <xf numFmtId="172" fontId="6" fillId="0" borderId="0" applyFill="0" applyBorder="0" applyAlignment="0"/>
    <xf numFmtId="191" fontId="6" fillId="0" borderId="0" applyFill="0" applyBorder="0" applyAlignment="0"/>
    <xf numFmtId="190" fontId="6" fillId="0" borderId="0" applyFill="0" applyBorder="0" applyAlignment="0"/>
    <xf numFmtId="173" fontId="6" fillId="0" borderId="0" applyFill="0" applyBorder="0" applyAlignment="0"/>
    <xf numFmtId="193" fontId="6" fillId="0" borderId="0" applyFill="0" applyBorder="0" applyAlignment="0"/>
    <xf numFmtId="192" fontId="6" fillId="0" borderId="0" applyFill="0" applyBorder="0" applyAlignment="0"/>
    <xf numFmtId="168" fontId="6" fillId="0" borderId="0" applyFill="0" applyBorder="0" applyAlignment="0"/>
    <xf numFmtId="183" fontId="6" fillId="0" borderId="0" applyFill="0" applyBorder="0" applyAlignment="0"/>
    <xf numFmtId="182" fontId="6" fillId="0" borderId="0" applyFill="0" applyBorder="0" applyAlignment="0"/>
    <xf numFmtId="0" fontId="48" fillId="0" borderId="10" applyNumberFormat="0" applyFill="0" applyAlignment="0" applyProtection="0"/>
    <xf numFmtId="167" fontId="49" fillId="0" borderId="10" applyNumberFormat="0" applyFill="0" applyAlignment="0" applyProtection="0"/>
    <xf numFmtId="0" fontId="49" fillId="0" borderId="10" applyNumberFormat="0" applyFill="0" applyAlignment="0" applyProtection="0"/>
    <xf numFmtId="0" fontId="49" fillId="0" borderId="10" applyNumberFormat="0" applyFill="0" applyAlignment="0" applyProtection="0"/>
    <xf numFmtId="0" fontId="49" fillId="0" borderId="10" applyNumberFormat="0" applyFill="0" applyAlignment="0" applyProtection="0"/>
    <xf numFmtId="0" fontId="49" fillId="0" borderId="10" applyNumberFormat="0" applyFill="0" applyAlignment="0" applyProtection="0"/>
    <xf numFmtId="167" fontId="49" fillId="0" borderId="10" applyNumberFormat="0" applyFill="0" applyAlignment="0" applyProtection="0"/>
    <xf numFmtId="167" fontId="49" fillId="0" borderId="10" applyNumberFormat="0" applyFill="0" applyAlignment="0" applyProtection="0"/>
    <xf numFmtId="0" fontId="49" fillId="0" borderId="10" applyNumberFormat="0" applyFill="0" applyAlignment="0" applyProtection="0"/>
    <xf numFmtId="0" fontId="49" fillId="0" borderId="10" applyNumberFormat="0" applyFill="0" applyAlignment="0" applyProtection="0"/>
    <xf numFmtId="0" fontId="49" fillId="0" borderId="10" applyNumberFormat="0" applyFill="0" applyAlignment="0" applyProtection="0"/>
    <xf numFmtId="0" fontId="49" fillId="0" borderId="10" applyNumberFormat="0" applyFill="0" applyAlignment="0" applyProtection="0"/>
    <xf numFmtId="0" fontId="49" fillId="0" borderId="10" applyNumberFormat="0" applyFill="0" applyAlignment="0" applyProtection="0"/>
    <xf numFmtId="0" fontId="49" fillId="0" borderId="10" applyNumberFormat="0" applyFill="0" applyAlignment="0" applyProtection="0"/>
    <xf numFmtId="0" fontId="50" fillId="0" borderId="11"/>
    <xf numFmtId="0" fontId="51" fillId="44" borderId="0" applyNumberFormat="0" applyBorder="0" applyAlignment="0" applyProtection="0"/>
    <xf numFmtId="0" fontId="51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5" borderId="0" applyNumberFormat="0" applyBorder="0" applyAlignment="0" applyProtection="0"/>
    <xf numFmtId="0" fontId="52" fillId="45" borderId="0" applyNumberFormat="0" applyBorder="0" applyAlignment="0" applyProtection="0"/>
    <xf numFmtId="0" fontId="52" fillId="45" borderId="0" applyNumberFormat="0" applyBorder="0" applyAlignment="0" applyProtection="0"/>
    <xf numFmtId="167" fontId="52" fillId="45" borderId="0" applyNumberFormat="0" applyBorder="0" applyAlignment="0" applyProtection="0"/>
    <xf numFmtId="167" fontId="51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5" borderId="0" applyNumberFormat="0" applyBorder="0" applyAlignment="0" applyProtection="0"/>
    <xf numFmtId="0" fontId="52" fillId="45" borderId="0" applyNumberFormat="0" applyBorder="0" applyAlignment="0" applyProtection="0"/>
    <xf numFmtId="175" fontId="53" fillId="0" borderId="0"/>
    <xf numFmtId="203" fontId="6" fillId="0" borderId="0"/>
    <xf numFmtId="203" fontId="6" fillId="0" borderId="0"/>
    <xf numFmtId="210" fontId="54" fillId="0" borderId="0"/>
    <xf numFmtId="201" fontId="9" fillId="0" borderId="0"/>
    <xf numFmtId="201" fontId="9" fillId="0" borderId="0"/>
    <xf numFmtId="202" fontId="9" fillId="0" borderId="0"/>
    <xf numFmtId="202" fontId="9" fillId="0" borderId="0"/>
    <xf numFmtId="0" fontId="9" fillId="0" borderId="0"/>
    <xf numFmtId="0" fontId="9" fillId="0" borderId="0"/>
    <xf numFmtId="201" fontId="9" fillId="0" borderId="0"/>
    <xf numFmtId="201" fontId="9" fillId="0" borderId="0"/>
    <xf numFmtId="202" fontId="9" fillId="0" borderId="0"/>
    <xf numFmtId="202" fontId="9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179" fontId="24" fillId="0" borderId="0"/>
    <xf numFmtId="201" fontId="24" fillId="0" borderId="0"/>
    <xf numFmtId="202" fontId="24" fillId="0" borderId="0"/>
    <xf numFmtId="201" fontId="24" fillId="0" borderId="0"/>
    <xf numFmtId="187" fontId="24" fillId="0" borderId="0"/>
    <xf numFmtId="187" fontId="24" fillId="0" borderId="0"/>
    <xf numFmtId="187" fontId="24" fillId="0" borderId="0"/>
    <xf numFmtId="202" fontId="24" fillId="0" borderId="0"/>
    <xf numFmtId="179" fontId="24" fillId="0" borderId="0"/>
    <xf numFmtId="201" fontId="9" fillId="0" borderId="0"/>
    <xf numFmtId="201" fontId="9" fillId="0" borderId="0"/>
    <xf numFmtId="202" fontId="9" fillId="0" borderId="0"/>
    <xf numFmtId="202" fontId="9" fillId="0" borderId="0"/>
    <xf numFmtId="0" fontId="6" fillId="0" borderId="0"/>
    <xf numFmtId="0" fontId="9" fillId="0" borderId="0"/>
    <xf numFmtId="0" fontId="6" fillId="0" borderId="0"/>
    <xf numFmtId="0" fontId="6" fillId="0" borderId="0"/>
    <xf numFmtId="202" fontId="9" fillId="0" borderId="0"/>
    <xf numFmtId="202" fontId="9" fillId="0" borderId="0"/>
    <xf numFmtId="0" fontId="18" fillId="0" borderId="0">
      <alignment vertical="top"/>
    </xf>
    <xf numFmtId="0" fontId="26" fillId="0" borderId="0"/>
    <xf numFmtId="0" fontId="6" fillId="0" borderId="0"/>
    <xf numFmtId="201" fontId="6" fillId="0" borderId="0"/>
    <xf numFmtId="201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55" fillId="0" borderId="0"/>
    <xf numFmtId="202" fontId="6" fillId="0" borderId="0"/>
    <xf numFmtId="201" fontId="55" fillId="0" borderId="0"/>
    <xf numFmtId="202" fontId="55" fillId="0" borderId="0"/>
    <xf numFmtId="202" fontId="6" fillId="0" borderId="0"/>
    <xf numFmtId="0" fontId="10" fillId="0" borderId="0"/>
    <xf numFmtId="0" fontId="10" fillId="0" borderId="0"/>
    <xf numFmtId="201" fontId="9" fillId="0" borderId="0"/>
    <xf numFmtId="202" fontId="55" fillId="0" borderId="0"/>
    <xf numFmtId="0" fontId="10" fillId="0" borderId="0"/>
    <xf numFmtId="0" fontId="10" fillId="0" borderId="0"/>
    <xf numFmtId="201" fontId="6" fillId="0" borderId="0"/>
    <xf numFmtId="202" fontId="6" fillId="0" borderId="0"/>
    <xf numFmtId="0" fontId="10" fillId="0" borderId="0"/>
    <xf numFmtId="0" fontId="10" fillId="0" borderId="0"/>
    <xf numFmtId="0" fontId="6" fillId="0" borderId="0"/>
    <xf numFmtId="167" fontId="6" fillId="0" borderId="0"/>
    <xf numFmtId="167" fontId="6" fillId="0" borderId="0"/>
    <xf numFmtId="202" fontId="55" fillId="0" borderId="0"/>
    <xf numFmtId="0" fontId="9" fillId="0" borderId="0"/>
    <xf numFmtId="0" fontId="9" fillId="0" borderId="0"/>
    <xf numFmtId="0" fontId="6" fillId="0" borderId="0"/>
    <xf numFmtId="0" fontId="6" fillId="0" borderId="0"/>
    <xf numFmtId="201" fontId="6" fillId="0" borderId="0"/>
    <xf numFmtId="0" fontId="18" fillId="0" borderId="0">
      <alignment vertical="top"/>
    </xf>
    <xf numFmtId="201" fontId="6" fillId="0" borderId="0"/>
    <xf numFmtId="202" fontId="6" fillId="0" borderId="0"/>
    <xf numFmtId="167" fontId="6" fillId="0" borderId="0"/>
    <xf numFmtId="167" fontId="6" fillId="0" borderId="0"/>
    <xf numFmtId="202" fontId="6" fillId="0" borderId="0"/>
    <xf numFmtId="0" fontId="9" fillId="0" borderId="0"/>
    <xf numFmtId="0" fontId="9" fillId="0" borderId="0"/>
    <xf numFmtId="167" fontId="6" fillId="0" borderId="0"/>
    <xf numFmtId="167" fontId="6" fillId="0" borderId="0"/>
    <xf numFmtId="201" fontId="6" fillId="0" borderId="0"/>
    <xf numFmtId="201" fontId="6" fillId="0" borderId="0"/>
    <xf numFmtId="201" fontId="6" fillId="0" borderId="0"/>
    <xf numFmtId="202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202" fontId="6" fillId="0" borderId="0"/>
    <xf numFmtId="0" fontId="6" fillId="0" borderId="0"/>
    <xf numFmtId="0" fontId="6" fillId="0" borderId="0"/>
    <xf numFmtId="201" fontId="24" fillId="0" borderId="0"/>
    <xf numFmtId="201" fontId="24" fillId="0" borderId="0"/>
    <xf numFmtId="202" fontId="24" fillId="0" borderId="0"/>
    <xf numFmtId="201" fontId="24" fillId="0" borderId="0"/>
    <xf numFmtId="201" fontId="24" fillId="0" borderId="0"/>
    <xf numFmtId="202" fontId="24" fillId="0" borderId="0"/>
    <xf numFmtId="201" fontId="24" fillId="0" borderId="0"/>
    <xf numFmtId="202" fontId="24" fillId="0" borderId="0"/>
    <xf numFmtId="0" fontId="10" fillId="0" borderId="0"/>
    <xf numFmtId="0" fontId="10" fillId="0" borderId="0"/>
    <xf numFmtId="201" fontId="24" fillId="0" borderId="0"/>
    <xf numFmtId="201" fontId="6" fillId="0" borderId="0"/>
    <xf numFmtId="201" fontId="6" fillId="0" borderId="0"/>
    <xf numFmtId="202" fontId="6" fillId="0" borderId="0"/>
    <xf numFmtId="167" fontId="6" fillId="0" borderId="0"/>
    <xf numFmtId="167" fontId="6" fillId="0" borderId="0"/>
    <xf numFmtId="201" fontId="6" fillId="0" borderId="0"/>
    <xf numFmtId="202" fontId="9" fillId="0" borderId="0"/>
    <xf numFmtId="0" fontId="6" fillId="0" borderId="0"/>
    <xf numFmtId="0" fontId="6" fillId="0" borderId="0"/>
    <xf numFmtId="202" fontId="6" fillId="0" borderId="0"/>
    <xf numFmtId="0" fontId="26" fillId="0" borderId="0"/>
    <xf numFmtId="0" fontId="56" fillId="0" borderId="0"/>
    <xf numFmtId="202" fontId="9" fillId="0" borderId="0"/>
    <xf numFmtId="202" fontId="9" fillId="0" borderId="0"/>
    <xf numFmtId="202" fontId="9" fillId="0" borderId="0"/>
    <xf numFmtId="0" fontId="18" fillId="0" borderId="0">
      <alignment vertical="top"/>
    </xf>
    <xf numFmtId="201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2" fontId="6" fillId="0" borderId="0"/>
    <xf numFmtId="202" fontId="6" fillId="0" borderId="0"/>
    <xf numFmtId="0" fontId="10" fillId="0" borderId="0"/>
    <xf numFmtId="0" fontId="10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55" fillId="0" borderId="0"/>
    <xf numFmtId="201" fontId="55" fillId="0" borderId="0"/>
    <xf numFmtId="202" fontId="55" fillId="0" borderId="0"/>
    <xf numFmtId="202" fontId="55" fillId="0" borderId="0"/>
    <xf numFmtId="201" fontId="6" fillId="0" borderId="0"/>
    <xf numFmtId="202" fontId="6" fillId="0" borderId="0"/>
    <xf numFmtId="202" fontId="6" fillId="0" borderId="0"/>
    <xf numFmtId="0" fontId="24" fillId="0" borderId="0"/>
    <xf numFmtId="0" fontId="24" fillId="0" borderId="0"/>
    <xf numFmtId="0" fontId="9" fillId="0" borderId="0"/>
    <xf numFmtId="0" fontId="6" fillId="0" borderId="0"/>
    <xf numFmtId="201" fontId="6" fillId="0" borderId="0"/>
    <xf numFmtId="201" fontId="6" fillId="0" borderId="0"/>
    <xf numFmtId="202" fontId="6" fillId="0" borderId="0"/>
    <xf numFmtId="167" fontId="9" fillId="0" borderId="0"/>
    <xf numFmtId="167" fontId="9" fillId="0" borderId="0"/>
    <xf numFmtId="202" fontId="6" fillId="0" borderId="0"/>
    <xf numFmtId="167" fontId="9" fillId="0" borderId="0"/>
    <xf numFmtId="167" fontId="9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0" fontId="9" fillId="0" borderId="0"/>
    <xf numFmtId="0" fontId="9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9" fillId="0" borderId="0"/>
    <xf numFmtId="202" fontId="9" fillId="0" borderId="0"/>
    <xf numFmtId="202" fontId="9" fillId="0" borderId="0"/>
    <xf numFmtId="0" fontId="9" fillId="0" borderId="0"/>
    <xf numFmtId="0" fontId="9" fillId="0" borderId="0"/>
    <xf numFmtId="201" fontId="9" fillId="0" borderId="0"/>
    <xf numFmtId="0" fontId="6" fillId="0" borderId="0"/>
    <xf numFmtId="0" fontId="6" fillId="0" borderId="0"/>
    <xf numFmtId="0" fontId="6" fillId="0" borderId="0"/>
    <xf numFmtId="201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2" fontId="6" fillId="0" borderId="0"/>
    <xf numFmtId="201" fontId="6" fillId="0" borderId="0"/>
    <xf numFmtId="202" fontId="6" fillId="0" borderId="0"/>
    <xf numFmtId="201" fontId="6" fillId="0" borderId="0"/>
    <xf numFmtId="202" fontId="6" fillId="0" borderId="0"/>
    <xf numFmtId="201" fontId="6" fillId="0" borderId="0"/>
    <xf numFmtId="202" fontId="6" fillId="0" borderId="0"/>
    <xf numFmtId="201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2" fontId="6" fillId="0" borderId="0"/>
    <xf numFmtId="201" fontId="6" fillId="0" borderId="0"/>
    <xf numFmtId="202" fontId="6" fillId="0" borderId="0"/>
    <xf numFmtId="201" fontId="6" fillId="0" borderId="0"/>
    <xf numFmtId="202" fontId="6" fillId="0" borderId="0"/>
    <xf numFmtId="201" fontId="6" fillId="0" borderId="0"/>
    <xf numFmtId="202" fontId="6" fillId="0" borderId="0"/>
    <xf numFmtId="201" fontId="6" fillId="0" borderId="0"/>
    <xf numFmtId="202" fontId="6" fillId="0" borderId="0"/>
    <xf numFmtId="201" fontId="6" fillId="0" borderId="0"/>
    <xf numFmtId="202" fontId="6" fillId="0" borderId="0"/>
    <xf numFmtId="201" fontId="6" fillId="0" borderId="0"/>
    <xf numFmtId="202" fontId="6" fillId="0" borderId="0"/>
    <xf numFmtId="201" fontId="6" fillId="0" borderId="0"/>
    <xf numFmtId="202" fontId="6" fillId="0" borderId="0"/>
    <xf numFmtId="201" fontId="6" fillId="0" borderId="0"/>
    <xf numFmtId="202" fontId="6" fillId="0" borderId="0"/>
    <xf numFmtId="201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2" fontId="6" fillId="0" borderId="0"/>
    <xf numFmtId="201" fontId="6" fillId="0" borderId="0"/>
    <xf numFmtId="202" fontId="6" fillId="0" borderId="0"/>
    <xf numFmtId="201" fontId="6" fillId="0" borderId="0"/>
    <xf numFmtId="202" fontId="6" fillId="0" borderId="0"/>
    <xf numFmtId="201" fontId="6" fillId="0" borderId="0"/>
    <xf numFmtId="202" fontId="6" fillId="0" borderId="0"/>
    <xf numFmtId="201" fontId="6" fillId="0" borderId="0"/>
    <xf numFmtId="202" fontId="6" fillId="0" borderId="0"/>
    <xf numFmtId="202" fontId="6" fillId="0" borderId="0"/>
    <xf numFmtId="0" fontId="6" fillId="0" borderId="0"/>
    <xf numFmtId="0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9" fillId="0" borderId="0"/>
    <xf numFmtId="202" fontId="9" fillId="0" borderId="0"/>
    <xf numFmtId="202" fontId="9" fillId="0" borderId="0"/>
    <xf numFmtId="202" fontId="9" fillId="0" borderId="0"/>
    <xf numFmtId="202" fontId="9" fillId="0" borderId="0"/>
    <xf numFmtId="202" fontId="9" fillId="0" borderId="0"/>
    <xf numFmtId="202" fontId="9" fillId="0" borderId="0"/>
    <xf numFmtId="201" fontId="9" fillId="0" borderId="0"/>
    <xf numFmtId="0" fontId="18" fillId="0" borderId="0">
      <alignment vertical="top"/>
    </xf>
    <xf numFmtId="0" fontId="18" fillId="0" borderId="0">
      <alignment vertical="top"/>
    </xf>
    <xf numFmtId="201" fontId="6" fillId="0" borderId="0"/>
    <xf numFmtId="201" fontId="6" fillId="0" borderId="0"/>
    <xf numFmtId="202" fontId="6" fillId="0" borderId="0"/>
    <xf numFmtId="202" fontId="6" fillId="0" borderId="0"/>
    <xf numFmtId="0" fontId="9" fillId="0" borderId="0"/>
    <xf numFmtId="0" fontId="9" fillId="0" borderId="0"/>
    <xf numFmtId="201" fontId="55" fillId="0" borderId="0"/>
    <xf numFmtId="202" fontId="55" fillId="0" borderId="0"/>
    <xf numFmtId="202" fontId="55" fillId="0" borderId="0"/>
    <xf numFmtId="0" fontId="9" fillId="0" borderId="0"/>
    <xf numFmtId="0" fontId="9" fillId="0" borderId="0"/>
    <xf numFmtId="201" fontId="55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0" fontId="9" fillId="0" borderId="0"/>
    <xf numFmtId="0" fontId="9" fillId="0" borderId="0"/>
    <xf numFmtId="201" fontId="9" fillId="0" borderId="0"/>
    <xf numFmtId="202" fontId="9" fillId="0" borderId="0"/>
    <xf numFmtId="202" fontId="9" fillId="0" borderId="0"/>
    <xf numFmtId="0" fontId="9" fillId="0" borderId="0"/>
    <xf numFmtId="0" fontId="9" fillId="0" borderId="0"/>
    <xf numFmtId="201" fontId="9" fillId="0" borderId="0"/>
    <xf numFmtId="0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0" fontId="9" fillId="0" borderId="0"/>
    <xf numFmtId="0" fontId="9" fillId="0" borderId="0"/>
    <xf numFmtId="201" fontId="6" fillId="0" borderId="0"/>
    <xf numFmtId="202" fontId="6" fillId="0" borderId="0"/>
    <xf numFmtId="202" fontId="6" fillId="0" borderId="0"/>
    <xf numFmtId="0" fontId="9" fillId="0" borderId="0"/>
    <xf numFmtId="0" fontId="9" fillId="0" borderId="0"/>
    <xf numFmtId="201" fontId="6" fillId="0" borderId="0"/>
    <xf numFmtId="0" fontId="24" fillId="0" borderId="0"/>
    <xf numFmtId="201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2" fontId="6" fillId="0" borderId="0"/>
    <xf numFmtId="202" fontId="6" fillId="0" borderId="0"/>
    <xf numFmtId="201" fontId="9" fillId="0" borderId="0"/>
    <xf numFmtId="201" fontId="9" fillId="0" borderId="0"/>
    <xf numFmtId="202" fontId="9" fillId="0" borderId="0"/>
    <xf numFmtId="202" fontId="9" fillId="0" borderId="0"/>
    <xf numFmtId="201" fontId="6" fillId="0" borderId="0"/>
    <xf numFmtId="202" fontId="6" fillId="0" borderId="0"/>
    <xf numFmtId="202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201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2" fontId="6" fillId="0" borderId="0"/>
    <xf numFmtId="202" fontId="6" fillId="0" borderId="0"/>
    <xf numFmtId="201" fontId="6" fillId="0" borderId="0"/>
    <xf numFmtId="201" fontId="6" fillId="0" borderId="0"/>
    <xf numFmtId="202" fontId="6" fillId="0" borderId="0"/>
    <xf numFmtId="202" fontId="6" fillId="0" borderId="0"/>
    <xf numFmtId="201" fontId="9" fillId="0" borderId="0"/>
    <xf numFmtId="202" fontId="9" fillId="0" borderId="0"/>
    <xf numFmtId="202" fontId="9" fillId="0" borderId="0"/>
    <xf numFmtId="0" fontId="24" fillId="0" borderId="0"/>
    <xf numFmtId="0" fontId="24" fillId="0" borderId="0"/>
    <xf numFmtId="201" fontId="9" fillId="0" borderId="0"/>
    <xf numFmtId="0" fontId="25" fillId="0" borderId="0"/>
    <xf numFmtId="0" fontId="9" fillId="0" borderId="0"/>
    <xf numFmtId="0" fontId="6" fillId="0" borderId="0"/>
    <xf numFmtId="0" fontId="9" fillId="0" borderId="0"/>
    <xf numFmtId="196" fontId="6" fillId="0" borderId="0"/>
    <xf numFmtId="201" fontId="6" fillId="0" borderId="0">
      <alignment vertical="top"/>
    </xf>
    <xf numFmtId="0" fontId="6" fillId="46" borderId="12" applyNumberFormat="0" applyFont="0" applyAlignment="0" applyProtection="0"/>
    <xf numFmtId="167" fontId="10" fillId="47" borderId="12" applyNumberFormat="0" applyAlignment="0" applyProtection="0"/>
    <xf numFmtId="0" fontId="10" fillId="47" borderId="12" applyNumberFormat="0" applyAlignment="0" applyProtection="0"/>
    <xf numFmtId="0" fontId="10" fillId="47" borderId="12" applyNumberFormat="0" applyAlignment="0" applyProtection="0"/>
    <xf numFmtId="0" fontId="10" fillId="47" borderId="12" applyNumberFormat="0" applyAlignment="0" applyProtection="0"/>
    <xf numFmtId="0" fontId="10" fillId="47" borderId="12" applyNumberFormat="0" applyAlignment="0" applyProtection="0"/>
    <xf numFmtId="167" fontId="10" fillId="47" borderId="12" applyNumberFormat="0" applyAlignment="0" applyProtection="0"/>
    <xf numFmtId="167" fontId="10" fillId="47" borderId="12" applyNumberFormat="0" applyAlignment="0" applyProtection="0"/>
    <xf numFmtId="0" fontId="10" fillId="47" borderId="12" applyNumberFormat="0" applyAlignment="0" applyProtection="0"/>
    <xf numFmtId="0" fontId="10" fillId="47" borderId="12" applyNumberFormat="0" applyAlignment="0" applyProtection="0"/>
    <xf numFmtId="0" fontId="10" fillId="47" borderId="12" applyNumberFormat="0" applyAlignment="0" applyProtection="0"/>
    <xf numFmtId="0" fontId="10" fillId="47" borderId="12" applyNumberFormat="0" applyAlignment="0" applyProtection="0"/>
    <xf numFmtId="0" fontId="10" fillId="47" borderId="12" applyNumberFormat="0" applyAlignment="0" applyProtection="0"/>
    <xf numFmtId="0" fontId="10" fillId="47" borderId="12" applyNumberFormat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57" fillId="38" borderId="13" applyNumberFormat="0" applyAlignment="0" applyProtection="0"/>
    <xf numFmtId="167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167" fontId="58" fillId="39" borderId="13" applyNumberFormat="0" applyAlignment="0" applyProtection="0"/>
    <xf numFmtId="167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0" fontId="58" fillId="39" borderId="13" applyNumberFormat="0" applyAlignment="0" applyProtection="0"/>
    <xf numFmtId="171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172" fontId="6" fillId="0" borderId="0" applyFill="0" applyBorder="0" applyAlignment="0"/>
    <xf numFmtId="191" fontId="6" fillId="0" borderId="0" applyFill="0" applyBorder="0" applyAlignment="0"/>
    <xf numFmtId="190" fontId="6" fillId="0" borderId="0" applyFill="0" applyBorder="0" applyAlignment="0"/>
    <xf numFmtId="168" fontId="6" fillId="0" borderId="0" applyFill="0" applyBorder="0" applyAlignment="0"/>
    <xf numFmtId="183" fontId="6" fillId="0" borderId="0" applyFill="0" applyBorder="0" applyAlignment="0"/>
    <xf numFmtId="182" fontId="6" fillId="0" borderId="0" applyFill="0" applyBorder="0" applyAlignment="0"/>
    <xf numFmtId="172" fontId="6" fillId="0" borderId="0" applyFill="0" applyBorder="0" applyAlignment="0"/>
    <xf numFmtId="191" fontId="6" fillId="0" borderId="0" applyFill="0" applyBorder="0" applyAlignment="0"/>
    <xf numFmtId="190" fontId="6" fillId="0" borderId="0" applyFill="0" applyBorder="0" applyAlignment="0"/>
    <xf numFmtId="173" fontId="6" fillId="0" borderId="0" applyFill="0" applyBorder="0" applyAlignment="0"/>
    <xf numFmtId="193" fontId="6" fillId="0" borderId="0" applyFill="0" applyBorder="0" applyAlignment="0"/>
    <xf numFmtId="192" fontId="6" fillId="0" borderId="0" applyFill="0" applyBorder="0" applyAlignment="0"/>
    <xf numFmtId="168" fontId="6" fillId="0" borderId="0" applyFill="0" applyBorder="0" applyAlignment="0"/>
    <xf numFmtId="183" fontId="6" fillId="0" borderId="0" applyFill="0" applyBorder="0" applyAlignment="0"/>
    <xf numFmtId="182" fontId="6" fillId="0" borderId="0" applyFill="0" applyBorder="0" applyAlignment="0"/>
    <xf numFmtId="207" fontId="6" fillId="0" borderId="0"/>
    <xf numFmtId="0" fontId="59" fillId="0" borderId="14"/>
    <xf numFmtId="201" fontId="59" fillId="0" borderId="14"/>
    <xf numFmtId="202" fontId="59" fillId="0" borderId="14"/>
    <xf numFmtId="202" fontId="59" fillId="0" borderId="14"/>
    <xf numFmtId="0" fontId="59" fillId="0" borderId="14"/>
    <xf numFmtId="0" fontId="59" fillId="0" borderId="14"/>
    <xf numFmtId="201" fontId="59" fillId="0" borderId="14"/>
    <xf numFmtId="0" fontId="60" fillId="0" borderId="0"/>
    <xf numFmtId="0" fontId="50" fillId="0" borderId="0"/>
    <xf numFmtId="0" fontId="61" fillId="0" borderId="15"/>
    <xf numFmtId="201" fontId="61" fillId="0" borderId="15"/>
    <xf numFmtId="202" fontId="61" fillId="0" borderId="15"/>
    <xf numFmtId="202" fontId="61" fillId="0" borderId="15"/>
    <xf numFmtId="0" fontId="61" fillId="0" borderId="15"/>
    <xf numFmtId="0" fontId="61" fillId="0" borderId="15"/>
    <xf numFmtId="201" fontId="61" fillId="0" borderId="15"/>
    <xf numFmtId="49" fontId="18" fillId="0" borderId="0" applyFill="0" applyBorder="0" applyAlignment="0"/>
    <xf numFmtId="177" fontId="6" fillId="0" borderId="0" applyFill="0" applyBorder="0" applyAlignment="0"/>
    <xf numFmtId="198" fontId="6" fillId="0" borderId="0" applyFill="0" applyBorder="0" applyAlignment="0"/>
    <xf numFmtId="197" fontId="6" fillId="0" borderId="0" applyFill="0" applyBorder="0" applyAlignment="0"/>
    <xf numFmtId="178" fontId="6" fillId="0" borderId="0" applyFill="0" applyBorder="0" applyAlignment="0"/>
    <xf numFmtId="200" fontId="6" fillId="0" borderId="0" applyFill="0" applyBorder="0" applyAlignment="0"/>
    <xf numFmtId="199" fontId="6" fillId="0" borderId="0" applyFill="0" applyBorder="0" applyAlignment="0"/>
    <xf numFmtId="0" fontId="62" fillId="0" borderId="0" applyNumberFormat="0" applyFill="0" applyBorder="0" applyAlignment="0" applyProtection="0"/>
    <xf numFmtId="167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7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16" applyNumberFormat="0" applyFill="0" applyAlignment="0" applyProtection="0"/>
    <xf numFmtId="201" fontId="28" fillId="0" borderId="17" applyNumberFormat="0" applyFont="0" applyFill="0" applyAlignment="0" applyProtection="0"/>
    <xf numFmtId="167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167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167" fontId="65" fillId="0" borderId="16" applyNumberFormat="0" applyFill="0" applyAlignment="0" applyProtection="0"/>
    <xf numFmtId="167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5" fillId="0" borderId="16" applyNumberFormat="0" applyFill="0" applyAlignment="0" applyProtection="0"/>
    <xf numFmtId="0" fontId="66" fillId="0" borderId="0" applyNumberFormat="0" applyFill="0" applyBorder="0" applyAlignment="0" applyProtection="0"/>
    <xf numFmtId="167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7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38" borderId="2" applyNumberFormat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40" fontId="71" fillId="0" borderId="0" applyFont="0" applyFill="0" applyBorder="0" applyAlignment="0" applyProtection="0"/>
    <xf numFmtId="38" fontId="71" fillId="0" borderId="0" applyFont="0" applyFill="0" applyBorder="0" applyAlignment="0" applyProtection="0"/>
    <xf numFmtId="0" fontId="25" fillId="46" borderId="12" applyNumberFormat="0" applyFont="0" applyAlignment="0" applyProtection="0">
      <alignment vertical="center"/>
    </xf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2" fillId="44" borderId="0" applyNumberFormat="0" applyBorder="0" applyAlignment="0" applyProtection="0">
      <alignment vertical="center"/>
    </xf>
    <xf numFmtId="0" fontId="73" fillId="0" borderId="0"/>
    <xf numFmtId="0" fontId="74" fillId="0" borderId="0" applyNumberFormat="0" applyFill="0" applyBorder="0" applyAlignment="0" applyProtection="0">
      <alignment vertical="center"/>
    </xf>
    <xf numFmtId="0" fontId="75" fillId="40" borderId="3" applyNumberFormat="0" applyAlignment="0" applyProtection="0">
      <alignment vertical="center"/>
    </xf>
    <xf numFmtId="20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4" fontId="25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164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76" fillId="0" borderId="10" applyNumberFormat="0" applyFill="0" applyAlignment="0" applyProtection="0">
      <alignment vertical="center"/>
    </xf>
    <xf numFmtId="0" fontId="77" fillId="0" borderId="16" applyNumberFormat="0" applyFill="0" applyAlignment="0" applyProtection="0">
      <alignment vertical="center"/>
    </xf>
    <xf numFmtId="0" fontId="78" fillId="12" borderId="2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7" applyNumberFormat="0" applyFill="0" applyAlignment="0" applyProtection="0">
      <alignment vertical="center"/>
    </xf>
    <xf numFmtId="0" fontId="81" fillId="0" borderId="8" applyNumberFormat="0" applyFill="0" applyAlignment="0" applyProtection="0">
      <alignment vertical="center"/>
    </xf>
    <xf numFmtId="0" fontId="82" fillId="0" borderId="9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38" borderId="13" applyNumberFormat="0" applyAlignment="0" applyProtection="0">
      <alignment vertical="center"/>
    </xf>
    <xf numFmtId="38" fontId="85" fillId="0" borderId="0" applyFont="0" applyFill="0" applyBorder="0" applyAlignment="0" applyProtection="0"/>
    <xf numFmtId="40" fontId="85" fillId="0" borderId="0" applyFont="0" applyFill="0" applyBorder="0" applyAlignment="0" applyProtection="0"/>
    <xf numFmtId="0" fontId="6" fillId="0" borderId="0"/>
    <xf numFmtId="0" fontId="7" fillId="0" borderId="0"/>
    <xf numFmtId="43" fontId="10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9" fontId="4" fillId="0" borderId="0" applyFont="0" applyFill="0" applyBorder="0" applyAlignment="0" applyProtection="0"/>
    <xf numFmtId="0" fontId="107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0" fontId="6" fillId="0" borderId="0"/>
    <xf numFmtId="41" fontId="4" fillId="0" borderId="0" applyFont="0" applyFill="0" applyBorder="0" applyAlignment="0" applyProtection="0"/>
    <xf numFmtId="0" fontId="108" fillId="0" borderId="0"/>
    <xf numFmtId="43" fontId="108" fillId="0" borderId="0" applyFont="0" applyFill="0" applyBorder="0" applyAlignment="0" applyProtection="0"/>
    <xf numFmtId="0" fontId="24" fillId="0" borderId="0"/>
    <xf numFmtId="0" fontId="109" fillId="0" borderId="77" applyNumberFormat="0" applyFill="0" applyAlignment="0" applyProtection="0"/>
    <xf numFmtId="0" fontId="6" fillId="0" borderId="0"/>
    <xf numFmtId="0" fontId="108" fillId="0" borderId="0"/>
    <xf numFmtId="0" fontId="110" fillId="0" borderId="0">
      <alignment vertical="center"/>
    </xf>
    <xf numFmtId="43" fontId="111" fillId="0" borderId="0" applyFont="0" applyFill="0" applyBorder="0" applyAlignment="0" applyProtection="0"/>
    <xf numFmtId="206" fontId="6" fillId="0" borderId="0" applyFont="0" applyFill="0" applyBorder="0" applyAlignment="0" applyProtection="0"/>
    <xf numFmtId="0" fontId="6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6" fillId="0" borderId="0" applyFont="0" applyFill="0" applyBorder="0" applyAlignment="0" applyProtection="0"/>
    <xf numFmtId="201" fontId="28" fillId="0" borderId="84" applyNumberFormat="0" applyFont="0" applyFill="0" applyAlignment="0" applyProtection="0"/>
    <xf numFmtId="0" fontId="22" fillId="40" borderId="85" applyNumberFormat="0" applyAlignment="0" applyProtection="0"/>
    <xf numFmtId="0" fontId="22" fillId="40" borderId="82" applyNumberFormat="0" applyAlignment="0" applyProtection="0"/>
    <xf numFmtId="167" fontId="23" fillId="41" borderId="82" applyNumberFormat="0" applyAlignment="0" applyProtection="0"/>
    <xf numFmtId="0" fontId="23" fillId="41" borderId="82" applyNumberFormat="0" applyAlignment="0" applyProtection="0"/>
    <xf numFmtId="0" fontId="23" fillId="41" borderId="82" applyNumberFormat="0" applyAlignment="0" applyProtection="0"/>
    <xf numFmtId="0" fontId="23" fillId="41" borderId="82" applyNumberFormat="0" applyAlignment="0" applyProtection="0"/>
    <xf numFmtId="0" fontId="23" fillId="41" borderId="82" applyNumberFormat="0" applyAlignment="0" applyProtection="0"/>
    <xf numFmtId="167" fontId="23" fillId="41" borderId="82" applyNumberFormat="0" applyAlignment="0" applyProtection="0"/>
    <xf numFmtId="0" fontId="23" fillId="41" borderId="82" applyNumberFormat="0" applyAlignment="0" applyProtection="0"/>
    <xf numFmtId="0" fontId="23" fillId="41" borderId="82" applyNumberFormat="0" applyAlignment="0" applyProtection="0"/>
    <xf numFmtId="0" fontId="23" fillId="41" borderId="82" applyNumberFormat="0" applyAlignment="0" applyProtection="0"/>
    <xf numFmtId="0" fontId="23" fillId="41" borderId="82" applyNumberFormat="0" applyAlignment="0" applyProtection="0"/>
    <xf numFmtId="167" fontId="23" fillId="41" borderId="85" applyNumberFormat="0" applyAlignment="0" applyProtection="0"/>
    <xf numFmtId="0" fontId="23" fillId="41" borderId="85" applyNumberFormat="0" applyAlignment="0" applyProtection="0"/>
    <xf numFmtId="0" fontId="23" fillId="41" borderId="85" applyNumberFormat="0" applyAlignment="0" applyProtection="0"/>
    <xf numFmtId="0" fontId="23" fillId="41" borderId="85" applyNumberFormat="0" applyAlignment="0" applyProtection="0"/>
    <xf numFmtId="0" fontId="23" fillId="41" borderId="85" applyNumberFormat="0" applyAlignment="0" applyProtection="0"/>
    <xf numFmtId="167" fontId="23" fillId="41" borderId="85" applyNumberFormat="0" applyAlignment="0" applyProtection="0"/>
    <xf numFmtId="0" fontId="23" fillId="41" borderId="85" applyNumberFormat="0" applyAlignment="0" applyProtection="0"/>
    <xf numFmtId="0" fontId="23" fillId="41" borderId="85" applyNumberFormat="0" applyAlignment="0" applyProtection="0"/>
    <xf numFmtId="0" fontId="23" fillId="41" borderId="85" applyNumberFormat="0" applyAlignment="0" applyProtection="0"/>
    <xf numFmtId="0" fontId="23" fillId="41" borderId="85" applyNumberFormat="0" applyAlignment="0" applyProtection="0"/>
    <xf numFmtId="0" fontId="48" fillId="0" borderId="83" applyNumberFormat="0" applyFill="0" applyAlignment="0" applyProtection="0"/>
    <xf numFmtId="0" fontId="48" fillId="0" borderId="83" applyNumberFormat="0" applyFill="0" applyAlignment="0" applyProtection="0"/>
    <xf numFmtId="0" fontId="48" fillId="0" borderId="83" applyNumberFormat="0" applyFill="0" applyAlignment="0" applyProtection="0"/>
    <xf numFmtId="0" fontId="48" fillId="0" borderId="83" applyNumberFormat="0" applyFill="0" applyAlignment="0" applyProtection="0"/>
    <xf numFmtId="0" fontId="48" fillId="0" borderId="83" applyNumberFormat="0" applyFill="0" applyAlignment="0" applyProtection="0"/>
    <xf numFmtId="167" fontId="49" fillId="0" borderId="83" applyNumberFormat="0" applyFill="0" applyAlignment="0" applyProtection="0"/>
    <xf numFmtId="0" fontId="49" fillId="0" borderId="83" applyNumberFormat="0" applyFill="0" applyAlignment="0" applyProtection="0"/>
    <xf numFmtId="0" fontId="49" fillId="0" borderId="83" applyNumberFormat="0" applyFill="0" applyAlignment="0" applyProtection="0"/>
    <xf numFmtId="0" fontId="49" fillId="0" borderId="83" applyNumberFormat="0" applyFill="0" applyAlignment="0" applyProtection="0"/>
    <xf numFmtId="0" fontId="49" fillId="0" borderId="83" applyNumberFormat="0" applyFill="0" applyAlignment="0" applyProtection="0"/>
    <xf numFmtId="167" fontId="49" fillId="0" borderId="83" applyNumberFormat="0" applyFill="0" applyAlignment="0" applyProtection="0"/>
    <xf numFmtId="0" fontId="49" fillId="0" borderId="83" applyNumberFormat="0" applyFill="0" applyAlignment="0" applyProtection="0"/>
    <xf numFmtId="0" fontId="49" fillId="0" borderId="83" applyNumberFormat="0" applyFill="0" applyAlignment="0" applyProtection="0"/>
    <xf numFmtId="0" fontId="49" fillId="0" borderId="83" applyNumberFormat="0" applyFill="0" applyAlignment="0" applyProtection="0"/>
    <xf numFmtId="0" fontId="49" fillId="0" borderId="83" applyNumberFormat="0" applyFill="0" applyAlignment="0" applyProtection="0"/>
    <xf numFmtId="0" fontId="22" fillId="40" borderId="82" applyNumberFormat="0" applyAlignment="0" applyProtection="0"/>
    <xf numFmtId="201" fontId="28" fillId="0" borderId="86" applyNumberFormat="0" applyFont="0" applyFill="0" applyAlignment="0" applyProtection="0"/>
    <xf numFmtId="0" fontId="75" fillId="40" borderId="85" applyNumberFormat="0" applyAlignment="0" applyProtection="0">
      <alignment vertical="center"/>
    </xf>
    <xf numFmtId="43" fontId="6" fillId="0" borderId="0" applyFont="0" applyFill="0" applyBorder="0" applyAlignment="0" applyProtection="0"/>
    <xf numFmtId="201" fontId="28" fillId="0" borderId="44" applyNumberFormat="0" applyFont="0" applyFill="0" applyAlignment="0" applyProtection="0"/>
    <xf numFmtId="43" fontId="6" fillId="0" borderId="0" applyFont="0" applyFill="0" applyBorder="0" applyAlignment="0" applyProtection="0"/>
    <xf numFmtId="0" fontId="75" fillId="40" borderId="82" applyNumberFormat="0" applyAlignment="0" applyProtection="0">
      <alignment vertical="center"/>
    </xf>
    <xf numFmtId="0" fontId="76" fillId="0" borderId="83" applyNumberFormat="0" applyFill="0" applyAlignment="0" applyProtection="0">
      <alignment vertical="center"/>
    </xf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0" fontId="6" fillId="0" borderId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4" borderId="0" applyNumberFormat="0" applyBorder="0" applyAlignment="0" applyProtection="0"/>
    <xf numFmtId="0" fontId="114" fillId="55" borderId="0" applyNumberFormat="0" applyBorder="0" applyAlignment="0" applyProtection="0"/>
    <xf numFmtId="0" fontId="114" fillId="55" borderId="0" applyNumberFormat="0" applyBorder="0" applyAlignment="0" applyProtection="0"/>
    <xf numFmtId="0" fontId="114" fillId="55" borderId="0" applyNumberFormat="0" applyBorder="0" applyAlignment="0" applyProtection="0"/>
    <xf numFmtId="0" fontId="114" fillId="55" borderId="0" applyNumberFormat="0" applyBorder="0" applyAlignment="0" applyProtection="0"/>
    <xf numFmtId="0" fontId="114" fillId="55" borderId="0" applyNumberFormat="0" applyBorder="0" applyAlignment="0" applyProtection="0"/>
    <xf numFmtId="0" fontId="114" fillId="55" borderId="0" applyNumberFormat="0" applyBorder="0" applyAlignment="0" applyProtection="0"/>
    <xf numFmtId="0" fontId="114" fillId="55" borderId="0" applyNumberFormat="0" applyBorder="0" applyAlignment="0" applyProtection="0"/>
    <xf numFmtId="0" fontId="114" fillId="55" borderId="0" applyNumberFormat="0" applyBorder="0" applyAlignment="0" applyProtection="0"/>
    <xf numFmtId="0" fontId="114" fillId="55" borderId="0" applyNumberFormat="0" applyBorder="0" applyAlignment="0" applyProtection="0"/>
    <xf numFmtId="0" fontId="114" fillId="55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8" borderId="0" applyNumberFormat="0" applyBorder="0" applyAlignment="0" applyProtection="0"/>
    <xf numFmtId="0" fontId="114" fillId="58" borderId="0" applyNumberFormat="0" applyBorder="0" applyAlignment="0" applyProtection="0"/>
    <xf numFmtId="0" fontId="114" fillId="58" borderId="0" applyNumberFormat="0" applyBorder="0" applyAlignment="0" applyProtection="0"/>
    <xf numFmtId="0" fontId="114" fillId="58" borderId="0" applyNumberFormat="0" applyBorder="0" applyAlignment="0" applyProtection="0"/>
    <xf numFmtId="0" fontId="114" fillId="58" borderId="0" applyNumberFormat="0" applyBorder="0" applyAlignment="0" applyProtection="0"/>
    <xf numFmtId="0" fontId="114" fillId="58" borderId="0" applyNumberFormat="0" applyBorder="0" applyAlignment="0" applyProtection="0"/>
    <xf numFmtId="0" fontId="114" fillId="58" borderId="0" applyNumberFormat="0" applyBorder="0" applyAlignment="0" applyProtection="0"/>
    <xf numFmtId="0" fontId="114" fillId="58" borderId="0" applyNumberFormat="0" applyBorder="0" applyAlignment="0" applyProtection="0"/>
    <xf numFmtId="0" fontId="114" fillId="58" borderId="0" applyNumberFormat="0" applyBorder="0" applyAlignment="0" applyProtection="0"/>
    <xf numFmtId="0" fontId="114" fillId="58" borderId="0" applyNumberFormat="0" applyBorder="0" applyAlignment="0" applyProtection="0"/>
    <xf numFmtId="0" fontId="114" fillId="59" borderId="0" applyNumberFormat="0" applyBorder="0" applyAlignment="0" applyProtection="0"/>
    <xf numFmtId="0" fontId="114" fillId="59" borderId="0" applyNumberFormat="0" applyBorder="0" applyAlignment="0" applyProtection="0"/>
    <xf numFmtId="0" fontId="114" fillId="59" borderId="0" applyNumberFormat="0" applyBorder="0" applyAlignment="0" applyProtection="0"/>
    <xf numFmtId="0" fontId="114" fillId="59" borderId="0" applyNumberFormat="0" applyBorder="0" applyAlignment="0" applyProtection="0"/>
    <xf numFmtId="0" fontId="114" fillId="59" borderId="0" applyNumberFormat="0" applyBorder="0" applyAlignment="0" applyProtection="0"/>
    <xf numFmtId="0" fontId="114" fillId="59" borderId="0" applyNumberFormat="0" applyBorder="0" applyAlignment="0" applyProtection="0"/>
    <xf numFmtId="0" fontId="114" fillId="59" borderId="0" applyNumberFormat="0" applyBorder="0" applyAlignment="0" applyProtection="0"/>
    <xf numFmtId="0" fontId="114" fillId="59" borderId="0" applyNumberFormat="0" applyBorder="0" applyAlignment="0" applyProtection="0"/>
    <xf numFmtId="0" fontId="114" fillId="59" borderId="0" applyNumberFormat="0" applyBorder="0" applyAlignment="0" applyProtection="0"/>
    <xf numFmtId="0" fontId="114" fillId="59" borderId="0" applyNumberFormat="0" applyBorder="0" applyAlignment="0" applyProtection="0"/>
    <xf numFmtId="0" fontId="116" fillId="54" borderId="0" applyNumberFormat="0" applyBorder="0" applyAlignment="0" applyProtection="0"/>
    <xf numFmtId="0" fontId="116" fillId="55" borderId="0" applyNumberFormat="0" applyBorder="0" applyAlignment="0" applyProtection="0"/>
    <xf numFmtId="0" fontId="116" fillId="56" borderId="0" applyNumberFormat="0" applyBorder="0" applyAlignment="0" applyProtection="0"/>
    <xf numFmtId="0" fontId="116" fillId="57" borderId="0" applyNumberFormat="0" applyBorder="0" applyAlignment="0" applyProtection="0"/>
    <xf numFmtId="0" fontId="116" fillId="58" borderId="0" applyNumberFormat="0" applyBorder="0" applyAlignment="0" applyProtection="0"/>
    <xf numFmtId="0" fontId="116" fillId="59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14" fillId="61" borderId="0" applyNumberFormat="0" applyBorder="0" applyAlignment="0" applyProtection="0"/>
    <xf numFmtId="0" fontId="114" fillId="61" borderId="0" applyNumberFormat="0" applyBorder="0" applyAlignment="0" applyProtection="0"/>
    <xf numFmtId="0" fontId="114" fillId="61" borderId="0" applyNumberFormat="0" applyBorder="0" applyAlignment="0" applyProtection="0"/>
    <xf numFmtId="0" fontId="114" fillId="61" borderId="0" applyNumberFormat="0" applyBorder="0" applyAlignment="0" applyProtection="0"/>
    <xf numFmtId="0" fontId="114" fillId="61" borderId="0" applyNumberFormat="0" applyBorder="0" applyAlignment="0" applyProtection="0"/>
    <xf numFmtId="0" fontId="114" fillId="61" borderId="0" applyNumberFormat="0" applyBorder="0" applyAlignment="0" applyProtection="0"/>
    <xf numFmtId="0" fontId="114" fillId="61" borderId="0" applyNumberFormat="0" applyBorder="0" applyAlignment="0" applyProtection="0"/>
    <xf numFmtId="0" fontId="114" fillId="61" borderId="0" applyNumberFormat="0" applyBorder="0" applyAlignment="0" applyProtection="0"/>
    <xf numFmtId="0" fontId="114" fillId="61" borderId="0" applyNumberFormat="0" applyBorder="0" applyAlignment="0" applyProtection="0"/>
    <xf numFmtId="0" fontId="114" fillId="61" borderId="0" applyNumberFormat="0" applyBorder="0" applyAlignment="0" applyProtection="0"/>
    <xf numFmtId="0" fontId="114" fillId="62" borderId="0" applyNumberFormat="0" applyBorder="0" applyAlignment="0" applyProtection="0"/>
    <xf numFmtId="0" fontId="114" fillId="62" borderId="0" applyNumberFormat="0" applyBorder="0" applyAlignment="0" applyProtection="0"/>
    <xf numFmtId="0" fontId="114" fillId="62" borderId="0" applyNumberFormat="0" applyBorder="0" applyAlignment="0" applyProtection="0"/>
    <xf numFmtId="0" fontId="114" fillId="62" borderId="0" applyNumberFormat="0" applyBorder="0" applyAlignment="0" applyProtection="0"/>
    <xf numFmtId="0" fontId="114" fillId="62" borderId="0" applyNumberFormat="0" applyBorder="0" applyAlignment="0" applyProtection="0"/>
    <xf numFmtId="0" fontId="114" fillId="62" borderId="0" applyNumberFormat="0" applyBorder="0" applyAlignment="0" applyProtection="0"/>
    <xf numFmtId="0" fontId="114" fillId="62" borderId="0" applyNumberFormat="0" applyBorder="0" applyAlignment="0" applyProtection="0"/>
    <xf numFmtId="0" fontId="114" fillId="62" borderId="0" applyNumberFormat="0" applyBorder="0" applyAlignment="0" applyProtection="0"/>
    <xf numFmtId="0" fontId="114" fillId="62" borderId="0" applyNumberFormat="0" applyBorder="0" applyAlignment="0" applyProtection="0"/>
    <xf numFmtId="0" fontId="114" fillId="62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14" fillId="63" borderId="0" applyNumberFormat="0" applyBorder="0" applyAlignment="0" applyProtection="0"/>
    <xf numFmtId="0" fontId="114" fillId="63" borderId="0" applyNumberFormat="0" applyBorder="0" applyAlignment="0" applyProtection="0"/>
    <xf numFmtId="0" fontId="114" fillId="63" borderId="0" applyNumberFormat="0" applyBorder="0" applyAlignment="0" applyProtection="0"/>
    <xf numFmtId="0" fontId="114" fillId="63" borderId="0" applyNumberFormat="0" applyBorder="0" applyAlignment="0" applyProtection="0"/>
    <xf numFmtId="0" fontId="114" fillId="63" borderId="0" applyNumberFormat="0" applyBorder="0" applyAlignment="0" applyProtection="0"/>
    <xf numFmtId="0" fontId="114" fillId="63" borderId="0" applyNumberFormat="0" applyBorder="0" applyAlignment="0" applyProtection="0"/>
    <xf numFmtId="0" fontId="114" fillId="63" borderId="0" applyNumberFormat="0" applyBorder="0" applyAlignment="0" applyProtection="0"/>
    <xf numFmtId="0" fontId="114" fillId="63" borderId="0" applyNumberFormat="0" applyBorder="0" applyAlignment="0" applyProtection="0"/>
    <xf numFmtId="0" fontId="114" fillId="63" borderId="0" applyNumberFormat="0" applyBorder="0" applyAlignment="0" applyProtection="0"/>
    <xf numFmtId="0" fontId="114" fillId="63" borderId="0" applyNumberFormat="0" applyBorder="0" applyAlignment="0" applyProtection="0"/>
    <xf numFmtId="0" fontId="116" fillId="60" borderId="0" applyNumberFormat="0" applyBorder="0" applyAlignment="0" applyProtection="0"/>
    <xf numFmtId="0" fontId="116" fillId="61" borderId="0" applyNumberFormat="0" applyBorder="0" applyAlignment="0" applyProtection="0"/>
    <xf numFmtId="0" fontId="116" fillId="62" borderId="0" applyNumberFormat="0" applyBorder="0" applyAlignment="0" applyProtection="0"/>
    <xf numFmtId="0" fontId="116" fillId="57" borderId="0" applyNumberFormat="0" applyBorder="0" applyAlignment="0" applyProtection="0"/>
    <xf numFmtId="0" fontId="116" fillId="60" borderId="0" applyNumberFormat="0" applyBorder="0" applyAlignment="0" applyProtection="0"/>
    <xf numFmtId="0" fontId="116" fillId="63" borderId="0" applyNumberFormat="0" applyBorder="0" applyAlignment="0" applyProtection="0"/>
    <xf numFmtId="0" fontId="117" fillId="64" borderId="0" applyNumberFormat="0" applyBorder="0" applyAlignment="0" applyProtection="0"/>
    <xf numFmtId="0" fontId="117" fillId="64" borderId="0" applyNumberFormat="0" applyBorder="0" applyAlignment="0" applyProtection="0"/>
    <xf numFmtId="0" fontId="117" fillId="64" borderId="0" applyNumberFormat="0" applyBorder="0" applyAlignment="0" applyProtection="0"/>
    <xf numFmtId="0" fontId="117" fillId="64" borderId="0" applyNumberFormat="0" applyBorder="0" applyAlignment="0" applyProtection="0"/>
    <xf numFmtId="0" fontId="117" fillId="64" borderId="0" applyNumberFormat="0" applyBorder="0" applyAlignment="0" applyProtection="0"/>
    <xf numFmtId="0" fontId="117" fillId="64" borderId="0" applyNumberFormat="0" applyBorder="0" applyAlignment="0" applyProtection="0"/>
    <xf numFmtId="0" fontId="117" fillId="64" borderId="0" applyNumberFormat="0" applyBorder="0" applyAlignment="0" applyProtection="0"/>
    <xf numFmtId="0" fontId="117" fillId="64" borderId="0" applyNumberFormat="0" applyBorder="0" applyAlignment="0" applyProtection="0"/>
    <xf numFmtId="0" fontId="117" fillId="64" borderId="0" applyNumberFormat="0" applyBorder="0" applyAlignment="0" applyProtection="0"/>
    <xf numFmtId="0" fontId="117" fillId="64" borderId="0" applyNumberFormat="0" applyBorder="0" applyAlignment="0" applyProtection="0"/>
    <xf numFmtId="0" fontId="117" fillId="61" borderId="0" applyNumberFormat="0" applyBorder="0" applyAlignment="0" applyProtection="0"/>
    <xf numFmtId="0" fontId="117" fillId="61" borderId="0" applyNumberFormat="0" applyBorder="0" applyAlignment="0" applyProtection="0"/>
    <xf numFmtId="0" fontId="117" fillId="61" borderId="0" applyNumberFormat="0" applyBorder="0" applyAlignment="0" applyProtection="0"/>
    <xf numFmtId="0" fontId="117" fillId="61" borderId="0" applyNumberFormat="0" applyBorder="0" applyAlignment="0" applyProtection="0"/>
    <xf numFmtId="0" fontId="117" fillId="61" borderId="0" applyNumberFormat="0" applyBorder="0" applyAlignment="0" applyProtection="0"/>
    <xf numFmtId="0" fontId="117" fillId="61" borderId="0" applyNumberFormat="0" applyBorder="0" applyAlignment="0" applyProtection="0"/>
    <xf numFmtId="0" fontId="117" fillId="61" borderId="0" applyNumberFormat="0" applyBorder="0" applyAlignment="0" applyProtection="0"/>
    <xf numFmtId="0" fontId="117" fillId="61" borderId="0" applyNumberFormat="0" applyBorder="0" applyAlignment="0" applyProtection="0"/>
    <xf numFmtId="0" fontId="117" fillId="61" borderId="0" applyNumberFormat="0" applyBorder="0" applyAlignment="0" applyProtection="0"/>
    <xf numFmtId="0" fontId="117" fillId="61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7" borderId="0" applyNumberFormat="0" applyBorder="0" applyAlignment="0" applyProtection="0"/>
    <xf numFmtId="0" fontId="117" fillId="67" borderId="0" applyNumberFormat="0" applyBorder="0" applyAlignment="0" applyProtection="0"/>
    <xf numFmtId="0" fontId="117" fillId="67" borderId="0" applyNumberFormat="0" applyBorder="0" applyAlignment="0" applyProtection="0"/>
    <xf numFmtId="0" fontId="117" fillId="67" borderId="0" applyNumberFormat="0" applyBorder="0" applyAlignment="0" applyProtection="0"/>
    <xf numFmtId="0" fontId="117" fillId="67" borderId="0" applyNumberFormat="0" applyBorder="0" applyAlignment="0" applyProtection="0"/>
    <xf numFmtId="0" fontId="117" fillId="67" borderId="0" applyNumberFormat="0" applyBorder="0" applyAlignment="0" applyProtection="0"/>
    <xf numFmtId="0" fontId="117" fillId="67" borderId="0" applyNumberFormat="0" applyBorder="0" applyAlignment="0" applyProtection="0"/>
    <xf numFmtId="0" fontId="117" fillId="67" borderId="0" applyNumberFormat="0" applyBorder="0" applyAlignment="0" applyProtection="0"/>
    <xf numFmtId="0" fontId="117" fillId="67" borderId="0" applyNumberFormat="0" applyBorder="0" applyAlignment="0" applyProtection="0"/>
    <xf numFmtId="0" fontId="117" fillId="67" borderId="0" applyNumberFormat="0" applyBorder="0" applyAlignment="0" applyProtection="0"/>
    <xf numFmtId="0" fontId="118" fillId="64" borderId="0" applyNumberFormat="0" applyBorder="0" applyAlignment="0" applyProtection="0"/>
    <xf numFmtId="0" fontId="118" fillId="61" borderId="0" applyNumberFormat="0" applyBorder="0" applyAlignment="0" applyProtection="0"/>
    <xf numFmtId="0" fontId="118" fillId="62" borderId="0" applyNumberFormat="0" applyBorder="0" applyAlignment="0" applyProtection="0"/>
    <xf numFmtId="0" fontId="118" fillId="65" borderId="0" applyNumberFormat="0" applyBorder="0" applyAlignment="0" applyProtection="0"/>
    <xf numFmtId="0" fontId="118" fillId="66" borderId="0" applyNumberFormat="0" applyBorder="0" applyAlignment="0" applyProtection="0"/>
    <xf numFmtId="0" fontId="118" fillId="67" borderId="0" applyNumberFormat="0" applyBorder="0" applyAlignment="0" applyProtection="0"/>
    <xf numFmtId="0" fontId="117" fillId="68" borderId="0" applyNumberFormat="0" applyBorder="0" applyAlignment="0" applyProtection="0"/>
    <xf numFmtId="0" fontId="117" fillId="68" borderId="0" applyNumberFormat="0" applyBorder="0" applyAlignment="0" applyProtection="0"/>
    <xf numFmtId="0" fontId="117" fillId="68" borderId="0" applyNumberFormat="0" applyBorder="0" applyAlignment="0" applyProtection="0"/>
    <xf numFmtId="0" fontId="117" fillId="68" borderId="0" applyNumberFormat="0" applyBorder="0" applyAlignment="0" applyProtection="0"/>
    <xf numFmtId="0" fontId="117" fillId="68" borderId="0" applyNumberFormat="0" applyBorder="0" applyAlignment="0" applyProtection="0"/>
    <xf numFmtId="0" fontId="117" fillId="68" borderId="0" applyNumberFormat="0" applyBorder="0" applyAlignment="0" applyProtection="0"/>
    <xf numFmtId="0" fontId="117" fillId="68" borderId="0" applyNumberFormat="0" applyBorder="0" applyAlignment="0" applyProtection="0"/>
    <xf numFmtId="0" fontId="117" fillId="68" borderId="0" applyNumberFormat="0" applyBorder="0" applyAlignment="0" applyProtection="0"/>
    <xf numFmtId="0" fontId="117" fillId="68" borderId="0" applyNumberFormat="0" applyBorder="0" applyAlignment="0" applyProtection="0"/>
    <xf numFmtId="0" fontId="117" fillId="68" borderId="0" applyNumberFormat="0" applyBorder="0" applyAlignment="0" applyProtection="0"/>
    <xf numFmtId="0" fontId="117" fillId="48" borderId="0" applyNumberFormat="0" applyBorder="0" applyAlignment="0" applyProtection="0"/>
    <xf numFmtId="0" fontId="117" fillId="48" borderId="0" applyNumberFormat="0" applyBorder="0" applyAlignment="0" applyProtection="0"/>
    <xf numFmtId="0" fontId="117" fillId="48" borderId="0" applyNumberFormat="0" applyBorder="0" applyAlignment="0" applyProtection="0"/>
    <xf numFmtId="0" fontId="117" fillId="48" borderId="0" applyNumberFormat="0" applyBorder="0" applyAlignment="0" applyProtection="0"/>
    <xf numFmtId="0" fontId="117" fillId="48" borderId="0" applyNumberFormat="0" applyBorder="0" applyAlignment="0" applyProtection="0"/>
    <xf numFmtId="0" fontId="117" fillId="48" borderId="0" applyNumberFormat="0" applyBorder="0" applyAlignment="0" applyProtection="0"/>
    <xf numFmtId="0" fontId="117" fillId="48" borderId="0" applyNumberFormat="0" applyBorder="0" applyAlignment="0" applyProtection="0"/>
    <xf numFmtId="0" fontId="117" fillId="48" borderId="0" applyNumberFormat="0" applyBorder="0" applyAlignment="0" applyProtection="0"/>
    <xf numFmtId="0" fontId="117" fillId="48" borderId="0" applyNumberFormat="0" applyBorder="0" applyAlignment="0" applyProtection="0"/>
    <xf numFmtId="0" fontId="117" fillId="48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70" borderId="0" applyNumberFormat="0" applyBorder="0" applyAlignment="0" applyProtection="0"/>
    <xf numFmtId="0" fontId="117" fillId="70" borderId="0" applyNumberFormat="0" applyBorder="0" applyAlignment="0" applyProtection="0"/>
    <xf numFmtId="0" fontId="117" fillId="70" borderId="0" applyNumberFormat="0" applyBorder="0" applyAlignment="0" applyProtection="0"/>
    <xf numFmtId="0" fontId="117" fillId="70" borderId="0" applyNumberFormat="0" applyBorder="0" applyAlignment="0" applyProtection="0"/>
    <xf numFmtId="0" fontId="117" fillId="70" borderId="0" applyNumberFormat="0" applyBorder="0" applyAlignment="0" applyProtection="0"/>
    <xf numFmtId="0" fontId="117" fillId="70" borderId="0" applyNumberFormat="0" applyBorder="0" applyAlignment="0" applyProtection="0"/>
    <xf numFmtId="0" fontId="117" fillId="70" borderId="0" applyNumberFormat="0" applyBorder="0" applyAlignment="0" applyProtection="0"/>
    <xf numFmtId="0" fontId="117" fillId="70" borderId="0" applyNumberFormat="0" applyBorder="0" applyAlignment="0" applyProtection="0"/>
    <xf numFmtId="0" fontId="117" fillId="70" borderId="0" applyNumberFormat="0" applyBorder="0" applyAlignment="0" applyProtection="0"/>
    <xf numFmtId="0" fontId="117" fillId="70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0" fontId="119" fillId="55" borderId="0" applyNumberFormat="0" applyBorder="0" applyAlignment="0" applyProtection="0"/>
    <xf numFmtId="217" fontId="18" fillId="0" borderId="0" applyFill="0" applyBorder="0" applyAlignment="0"/>
    <xf numFmtId="218" fontId="18" fillId="0" borderId="0" applyFill="0" applyBorder="0" applyAlignment="0"/>
    <xf numFmtId="218" fontId="18" fillId="0" borderId="0" applyFill="0" applyBorder="0" applyAlignment="0"/>
    <xf numFmtId="219" fontId="6" fillId="0" borderId="0" applyFill="0" applyBorder="0" applyAlignment="0"/>
    <xf numFmtId="0" fontId="120" fillId="42" borderId="2" applyNumberFormat="0" applyAlignment="0" applyProtection="0"/>
    <xf numFmtId="0" fontId="120" fillId="42" borderId="2" applyNumberFormat="0" applyAlignment="0" applyProtection="0"/>
    <xf numFmtId="0" fontId="120" fillId="42" borderId="2" applyNumberFormat="0" applyAlignment="0" applyProtection="0"/>
    <xf numFmtId="0" fontId="120" fillId="42" borderId="2" applyNumberFormat="0" applyAlignment="0" applyProtection="0"/>
    <xf numFmtId="0" fontId="120" fillId="42" borderId="2" applyNumberFormat="0" applyAlignment="0" applyProtection="0"/>
    <xf numFmtId="0" fontId="120" fillId="42" borderId="2" applyNumberFormat="0" applyAlignment="0" applyProtection="0"/>
    <xf numFmtId="0" fontId="120" fillId="42" borderId="2" applyNumberFormat="0" applyAlignment="0" applyProtection="0"/>
    <xf numFmtId="0" fontId="120" fillId="42" borderId="2" applyNumberFormat="0" applyAlignment="0" applyProtection="0"/>
    <xf numFmtId="0" fontId="120" fillId="42" borderId="2" applyNumberFormat="0" applyAlignment="0" applyProtection="0"/>
    <xf numFmtId="0" fontId="120" fillId="42" borderId="2" applyNumberFormat="0" applyAlignment="0" applyProtection="0"/>
    <xf numFmtId="0" fontId="121" fillId="0" borderId="0"/>
    <xf numFmtId="0" fontId="122" fillId="71" borderId="85" applyNumberFormat="0" applyAlignment="0" applyProtection="0"/>
    <xf numFmtId="0" fontId="122" fillId="71" borderId="85" applyNumberFormat="0" applyAlignment="0" applyProtection="0"/>
    <xf numFmtId="0" fontId="122" fillId="71" borderId="85" applyNumberFormat="0" applyAlignment="0" applyProtection="0"/>
    <xf numFmtId="0" fontId="122" fillId="71" borderId="85" applyNumberFormat="0" applyAlignment="0" applyProtection="0"/>
    <xf numFmtId="0" fontId="122" fillId="71" borderId="85" applyNumberFormat="0" applyAlignment="0" applyProtection="0"/>
    <xf numFmtId="0" fontId="122" fillId="71" borderId="85" applyNumberFormat="0" applyAlignment="0" applyProtection="0"/>
    <xf numFmtId="0" fontId="122" fillId="71" borderId="85" applyNumberFormat="0" applyAlignment="0" applyProtection="0"/>
    <xf numFmtId="0" fontId="122" fillId="71" borderId="85" applyNumberFormat="0" applyAlignment="0" applyProtection="0"/>
    <xf numFmtId="0" fontId="122" fillId="71" borderId="85" applyNumberFormat="0" applyAlignment="0" applyProtection="0"/>
    <xf numFmtId="0" fontId="122" fillId="71" borderId="85" applyNumberFormat="0" applyAlignment="0" applyProtection="0"/>
    <xf numFmtId="43" fontId="6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6" fillId="0" borderId="0">
      <protection locked="0"/>
    </xf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65" fontId="115" fillId="0" borderId="0" applyFill="0" applyBorder="0" applyAlignment="0" applyProtection="0"/>
    <xf numFmtId="172" fontId="115" fillId="0" borderId="0" applyFill="0" applyBorder="0" applyAlignment="0" applyProtection="0"/>
    <xf numFmtId="191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7" fontId="115" fillId="0" borderId="0" applyFill="0" applyBorder="0" applyAlignment="0" applyProtection="0"/>
    <xf numFmtId="217" fontId="115" fillId="0" borderId="0" applyFill="0" applyBorder="0" applyAlignment="0" applyProtection="0"/>
    <xf numFmtId="218" fontId="115" fillId="0" borderId="0" applyFill="0" applyBorder="0" applyAlignment="0" applyProtection="0"/>
    <xf numFmtId="218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20" fontId="115" fillId="0" borderId="0" applyFill="0" applyBorder="0" applyAlignment="0" applyProtection="0"/>
    <xf numFmtId="220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>
      <protection locked="0"/>
    </xf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216" fontId="115" fillId="0" borderId="0" applyFill="0" applyBorder="0" applyAlignment="0" applyProtection="0"/>
    <xf numFmtId="3" fontId="115" fillId="0" borderId="0" applyFill="0" applyBorder="0" applyAlignment="0" applyProtection="0"/>
    <xf numFmtId="221" fontId="6" fillId="0" borderId="76"/>
    <xf numFmtId="222" fontId="15" fillId="0" borderId="76"/>
    <xf numFmtId="168" fontId="115" fillId="0" borderId="0" applyFill="0" applyBorder="0" applyAlignment="0" applyProtection="0"/>
    <xf numFmtId="183" fontId="115" fillId="0" borderId="0" applyFill="0" applyBorder="0" applyAlignment="0" applyProtection="0"/>
    <xf numFmtId="223" fontId="115" fillId="0" borderId="0" applyFill="0" applyBorder="0" applyAlignment="0" applyProtection="0"/>
    <xf numFmtId="223" fontId="115" fillId="0" borderId="0" applyFill="0" applyBorder="0" applyAlignment="0" applyProtection="0"/>
    <xf numFmtId="223" fontId="115" fillId="0" borderId="0" applyFill="0" applyBorder="0" applyAlignment="0" applyProtection="0"/>
    <xf numFmtId="223" fontId="115" fillId="0" borderId="0" applyFill="0" applyBorder="0" applyAlignment="0" applyProtection="0"/>
    <xf numFmtId="224" fontId="115" fillId="0" borderId="0" applyFill="0" applyBorder="0" applyAlignment="0" applyProtection="0"/>
    <xf numFmtId="225" fontId="115" fillId="0" borderId="0" applyFill="0" applyBorder="0" applyAlignment="0" applyProtection="0"/>
    <xf numFmtId="217" fontId="115" fillId="0" borderId="0" applyFill="0" applyBorder="0" applyAlignment="0" applyProtection="0"/>
    <xf numFmtId="217" fontId="115" fillId="0" borderId="0" applyFill="0" applyBorder="0" applyAlignment="0" applyProtection="0"/>
    <xf numFmtId="218" fontId="115" fillId="0" borderId="0" applyFill="0" applyBorder="0" applyAlignment="0" applyProtection="0"/>
    <xf numFmtId="218" fontId="115" fillId="0" borderId="0" applyFill="0" applyBorder="0" applyAlignment="0" applyProtection="0"/>
    <xf numFmtId="0" fontId="9" fillId="0" borderId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2" fontId="115" fillId="0" borderId="0" applyFill="0" applyBorder="0" applyAlignment="0" applyProtection="0"/>
    <xf numFmtId="0" fontId="124" fillId="56" borderId="0" applyNumberFormat="0" applyBorder="0" applyAlignment="0" applyProtection="0"/>
    <xf numFmtId="0" fontId="124" fillId="56" borderId="0" applyNumberFormat="0" applyBorder="0" applyAlignment="0" applyProtection="0"/>
    <xf numFmtId="0" fontId="124" fillId="56" borderId="0" applyNumberFormat="0" applyBorder="0" applyAlignment="0" applyProtection="0"/>
    <xf numFmtId="0" fontId="124" fillId="56" borderId="0" applyNumberFormat="0" applyBorder="0" applyAlignment="0" applyProtection="0"/>
    <xf numFmtId="0" fontId="124" fillId="56" borderId="0" applyNumberFormat="0" applyBorder="0" applyAlignment="0" applyProtection="0"/>
    <xf numFmtId="0" fontId="124" fillId="56" borderId="0" applyNumberFormat="0" applyBorder="0" applyAlignment="0" applyProtection="0"/>
    <xf numFmtId="0" fontId="124" fillId="56" borderId="0" applyNumberFormat="0" applyBorder="0" applyAlignment="0" applyProtection="0"/>
    <xf numFmtId="0" fontId="124" fillId="56" borderId="0" applyNumberFormat="0" applyBorder="0" applyAlignment="0" applyProtection="0"/>
    <xf numFmtId="0" fontId="124" fillId="56" borderId="0" applyNumberFormat="0" applyBorder="0" applyAlignment="0" applyProtection="0"/>
    <xf numFmtId="0" fontId="124" fillId="56" borderId="0" applyNumberFormat="0" applyBorder="0" applyAlignment="0" applyProtection="0"/>
    <xf numFmtId="0" fontId="34" fillId="42" borderId="0" applyNumberFormat="0" applyBorder="0" applyAlignment="0" applyProtection="0"/>
    <xf numFmtId="217" fontId="35" fillId="0" borderId="0"/>
    <xf numFmtId="217" fontId="35" fillId="0" borderId="0"/>
    <xf numFmtId="218" fontId="35" fillId="0" borderId="0"/>
    <xf numFmtId="218" fontId="35" fillId="0" borderId="0"/>
    <xf numFmtId="0" fontId="37" fillId="0" borderId="87" applyNumberFormat="0" applyAlignment="0" applyProtection="0"/>
    <xf numFmtId="0" fontId="37" fillId="0" borderId="87" applyNumberFormat="0" applyAlignment="0" applyProtection="0"/>
    <xf numFmtId="0" fontId="37" fillId="0" borderId="87" applyNumberFormat="0" applyAlignment="0" applyProtection="0"/>
    <xf numFmtId="0" fontId="37" fillId="0" borderId="87" applyNumberFormat="0" applyAlignment="0" applyProtection="0"/>
    <xf numFmtId="0" fontId="37" fillId="0" borderId="87" applyNumberFormat="0" applyAlignment="0" applyProtection="0"/>
    <xf numFmtId="0" fontId="37" fillId="0" borderId="87" applyNumberFormat="0" applyAlignment="0" applyProtection="0"/>
    <xf numFmtId="0" fontId="37" fillId="0" borderId="88">
      <alignment horizontal="left" vertical="center"/>
    </xf>
    <xf numFmtId="217" fontId="37" fillId="0" borderId="88">
      <alignment horizontal="left" vertical="center"/>
    </xf>
    <xf numFmtId="218" fontId="37" fillId="0" borderId="88">
      <alignment horizontal="left" vertical="center"/>
    </xf>
    <xf numFmtId="218" fontId="37" fillId="0" borderId="88">
      <alignment horizontal="left" vertical="center"/>
    </xf>
    <xf numFmtId="0" fontId="37" fillId="0" borderId="88">
      <alignment horizontal="left" vertical="center"/>
    </xf>
    <xf numFmtId="0" fontId="37" fillId="0" borderId="88">
      <alignment horizontal="left" vertical="center"/>
    </xf>
    <xf numFmtId="0" fontId="39" fillId="0" borderId="0" applyNumberFormat="0" applyFill="0" applyBorder="0" applyAlignment="0" applyProtection="0"/>
    <xf numFmtId="0" fontId="125" fillId="0" borderId="7" applyNumberFormat="0" applyFill="0" applyAlignment="0" applyProtection="0"/>
    <xf numFmtId="0" fontId="125" fillId="0" borderId="7" applyNumberFormat="0" applyFill="0" applyAlignment="0" applyProtection="0"/>
    <xf numFmtId="0" fontId="125" fillId="0" borderId="7" applyNumberFormat="0" applyFill="0" applyAlignment="0" applyProtection="0"/>
    <xf numFmtId="0" fontId="125" fillId="0" borderId="7" applyNumberFormat="0" applyFill="0" applyAlignment="0" applyProtection="0"/>
    <xf numFmtId="0" fontId="125" fillId="0" borderId="7" applyNumberFormat="0" applyFill="0" applyAlignment="0" applyProtection="0"/>
    <xf numFmtId="0" fontId="125" fillId="0" borderId="7" applyNumberFormat="0" applyFill="0" applyAlignment="0" applyProtection="0"/>
    <xf numFmtId="0" fontId="125" fillId="0" borderId="7" applyNumberFormat="0" applyFill="0" applyAlignment="0" applyProtection="0"/>
    <xf numFmtId="0" fontId="125" fillId="0" borderId="7" applyNumberFormat="0" applyFill="0" applyAlignment="0" applyProtection="0"/>
    <xf numFmtId="0" fontId="125" fillId="0" borderId="7" applyNumberFormat="0" applyFill="0" applyAlignment="0" applyProtection="0"/>
    <xf numFmtId="0" fontId="125" fillId="0" borderId="7" applyNumberFormat="0" applyFill="0" applyAlignment="0" applyProtection="0"/>
    <xf numFmtId="0" fontId="125" fillId="0" borderId="7" applyNumberFormat="0" applyFill="0" applyAlignment="0" applyProtection="0"/>
    <xf numFmtId="0" fontId="125" fillId="0" borderId="7" applyNumberFormat="0" applyFill="0" applyAlignment="0" applyProtection="0"/>
    <xf numFmtId="0" fontId="42" fillId="0" borderId="0" applyNumberFormat="0" applyFill="0" applyBorder="0" applyAlignment="0" applyProtection="0"/>
    <xf numFmtId="0" fontId="126" fillId="0" borderId="8" applyNumberFormat="0" applyFill="0" applyAlignment="0" applyProtection="0"/>
    <xf numFmtId="0" fontId="126" fillId="0" borderId="8" applyNumberFormat="0" applyFill="0" applyAlignment="0" applyProtection="0"/>
    <xf numFmtId="0" fontId="126" fillId="0" borderId="8" applyNumberFormat="0" applyFill="0" applyAlignment="0" applyProtection="0"/>
    <xf numFmtId="0" fontId="126" fillId="0" borderId="8" applyNumberFormat="0" applyFill="0" applyAlignment="0" applyProtection="0"/>
    <xf numFmtId="0" fontId="126" fillId="0" borderId="8" applyNumberFormat="0" applyFill="0" applyAlignment="0" applyProtection="0"/>
    <xf numFmtId="0" fontId="126" fillId="0" borderId="8" applyNumberFormat="0" applyFill="0" applyAlignment="0" applyProtection="0"/>
    <xf numFmtId="0" fontId="126" fillId="0" borderId="8" applyNumberFormat="0" applyFill="0" applyAlignment="0" applyProtection="0"/>
    <xf numFmtId="0" fontId="126" fillId="0" borderId="8" applyNumberFormat="0" applyFill="0" applyAlignment="0" applyProtection="0"/>
    <xf numFmtId="0" fontId="126" fillId="0" borderId="8" applyNumberFormat="0" applyFill="0" applyAlignment="0" applyProtection="0"/>
    <xf numFmtId="0" fontId="126" fillId="0" borderId="8" applyNumberFormat="0" applyFill="0" applyAlignment="0" applyProtection="0"/>
    <xf numFmtId="0" fontId="126" fillId="0" borderId="8" applyNumberFormat="0" applyFill="0" applyAlignment="0" applyProtection="0"/>
    <xf numFmtId="0" fontId="126" fillId="0" borderId="8" applyNumberFormat="0" applyFill="0" applyAlignment="0" applyProtection="0"/>
    <xf numFmtId="0" fontId="127" fillId="0" borderId="9" applyNumberFormat="0" applyFill="0" applyAlignment="0" applyProtection="0"/>
    <xf numFmtId="0" fontId="127" fillId="0" borderId="9" applyNumberFormat="0" applyFill="0" applyAlignment="0" applyProtection="0"/>
    <xf numFmtId="0" fontId="127" fillId="0" borderId="9" applyNumberFormat="0" applyFill="0" applyAlignment="0" applyProtection="0"/>
    <xf numFmtId="0" fontId="127" fillId="0" borderId="9" applyNumberFormat="0" applyFill="0" applyAlignment="0" applyProtection="0"/>
    <xf numFmtId="0" fontId="127" fillId="0" borderId="9" applyNumberFormat="0" applyFill="0" applyAlignment="0" applyProtection="0"/>
    <xf numFmtId="0" fontId="127" fillId="0" borderId="9" applyNumberFormat="0" applyFill="0" applyAlignment="0" applyProtection="0"/>
    <xf numFmtId="0" fontId="127" fillId="0" borderId="9" applyNumberFormat="0" applyFill="0" applyAlignment="0" applyProtection="0"/>
    <xf numFmtId="0" fontId="127" fillId="0" borderId="9" applyNumberFormat="0" applyFill="0" applyAlignment="0" applyProtection="0"/>
    <xf numFmtId="0" fontId="127" fillId="0" borderId="9" applyNumberFormat="0" applyFill="0" applyAlignment="0" applyProtection="0"/>
    <xf numFmtId="0" fontId="127" fillId="0" borderId="9" applyNumberFormat="0" applyFill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43" borderId="0" applyNumberFormat="0" applyBorder="0" applyAlignment="0" applyProtection="0"/>
    <xf numFmtId="0" fontId="128" fillId="59" borderId="2" applyNumberFormat="0" applyAlignment="0" applyProtection="0"/>
    <xf numFmtId="0" fontId="128" fillId="59" borderId="2" applyNumberFormat="0" applyAlignment="0" applyProtection="0"/>
    <xf numFmtId="0" fontId="128" fillId="59" borderId="2" applyNumberFormat="0" applyAlignment="0" applyProtection="0"/>
    <xf numFmtId="0" fontId="128" fillId="59" borderId="2" applyNumberFormat="0" applyAlignment="0" applyProtection="0"/>
    <xf numFmtId="0" fontId="128" fillId="59" borderId="2" applyNumberFormat="0" applyAlignment="0" applyProtection="0"/>
    <xf numFmtId="0" fontId="128" fillId="59" borderId="2" applyNumberFormat="0" applyAlignment="0" applyProtection="0"/>
    <xf numFmtId="0" fontId="128" fillId="59" borderId="2" applyNumberFormat="0" applyAlignment="0" applyProtection="0"/>
    <xf numFmtId="0" fontId="128" fillId="59" borderId="2" applyNumberFormat="0" applyAlignment="0" applyProtection="0"/>
    <xf numFmtId="0" fontId="128" fillId="59" borderId="2" applyNumberFormat="0" applyAlignment="0" applyProtection="0"/>
    <xf numFmtId="0" fontId="128" fillId="59" borderId="2" applyNumberFormat="0" applyAlignment="0" applyProtection="0"/>
    <xf numFmtId="0" fontId="129" fillId="0" borderId="83" applyNumberFormat="0" applyFill="0" applyAlignment="0" applyProtection="0"/>
    <xf numFmtId="0" fontId="129" fillId="0" borderId="83" applyNumberFormat="0" applyFill="0" applyAlignment="0" applyProtection="0"/>
    <xf numFmtId="0" fontId="129" fillId="0" borderId="83" applyNumberFormat="0" applyFill="0" applyAlignment="0" applyProtection="0"/>
    <xf numFmtId="0" fontId="129" fillId="0" borderId="83" applyNumberFormat="0" applyFill="0" applyAlignment="0" applyProtection="0"/>
    <xf numFmtId="0" fontId="129" fillId="0" borderId="83" applyNumberFormat="0" applyFill="0" applyAlignment="0" applyProtection="0"/>
    <xf numFmtId="0" fontId="129" fillId="0" borderId="83" applyNumberFormat="0" applyFill="0" applyAlignment="0" applyProtection="0"/>
    <xf numFmtId="0" fontId="129" fillId="0" borderId="83" applyNumberFormat="0" applyFill="0" applyAlignment="0" applyProtection="0"/>
    <xf numFmtId="0" fontId="129" fillId="0" borderId="83" applyNumberFormat="0" applyFill="0" applyAlignment="0" applyProtection="0"/>
    <xf numFmtId="0" fontId="129" fillId="0" borderId="83" applyNumberFormat="0" applyFill="0" applyAlignment="0" applyProtection="0"/>
    <xf numFmtId="0" fontId="129" fillId="0" borderId="83" applyNumberFormat="0" applyFill="0" applyAlignment="0" applyProtection="0"/>
    <xf numFmtId="0" fontId="95" fillId="0" borderId="89"/>
    <xf numFmtId="0" fontId="51" fillId="72" borderId="0" applyNumberFormat="0" applyBorder="0" applyAlignment="0" applyProtection="0"/>
    <xf numFmtId="0" fontId="130" fillId="72" borderId="0" applyNumberFormat="0" applyBorder="0" applyAlignment="0" applyProtection="0"/>
    <xf numFmtId="0" fontId="130" fillId="72" borderId="0" applyNumberFormat="0" applyBorder="0" applyAlignment="0" applyProtection="0"/>
    <xf numFmtId="0" fontId="130" fillId="72" borderId="0" applyNumberFormat="0" applyBorder="0" applyAlignment="0" applyProtection="0"/>
    <xf numFmtId="0" fontId="130" fillId="72" borderId="0" applyNumberFormat="0" applyBorder="0" applyAlignment="0" applyProtection="0"/>
    <xf numFmtId="0" fontId="130" fillId="72" borderId="0" applyNumberFormat="0" applyBorder="0" applyAlignment="0" applyProtection="0"/>
    <xf numFmtId="0" fontId="51" fillId="72" borderId="0" applyNumberFormat="0" applyBorder="0" applyAlignment="0" applyProtection="0"/>
    <xf numFmtId="0" fontId="130" fillId="72" borderId="0" applyNumberFormat="0" applyBorder="0" applyAlignment="0" applyProtection="0"/>
    <xf numFmtId="0" fontId="130" fillId="72" borderId="0" applyNumberFormat="0" applyBorder="0" applyAlignment="0" applyProtection="0"/>
    <xf numFmtId="0" fontId="130" fillId="72" borderId="0" applyNumberFormat="0" applyBorder="0" applyAlignment="0" applyProtection="0"/>
    <xf numFmtId="175" fontId="131" fillId="0" borderId="0"/>
    <xf numFmtId="226" fontId="6" fillId="0" borderId="0"/>
    <xf numFmtId="226" fontId="6" fillId="0" borderId="0"/>
    <xf numFmtId="217" fontId="9" fillId="0" borderId="0"/>
    <xf numFmtId="217" fontId="9" fillId="0" borderId="0"/>
    <xf numFmtId="218" fontId="9" fillId="0" borderId="0"/>
    <xf numFmtId="218" fontId="9" fillId="0" borderId="0"/>
    <xf numFmtId="217" fontId="9" fillId="0" borderId="0"/>
    <xf numFmtId="217" fontId="9" fillId="0" borderId="0"/>
    <xf numFmtId="218" fontId="9" fillId="0" borderId="0"/>
    <xf numFmtId="218" fontId="9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179" fontId="9" fillId="0" borderId="0"/>
    <xf numFmtId="217" fontId="9" fillId="0" borderId="0"/>
    <xf numFmtId="218" fontId="9" fillId="0" borderId="0"/>
    <xf numFmtId="187" fontId="9" fillId="0" borderId="0"/>
    <xf numFmtId="187" fontId="9" fillId="0" borderId="0"/>
    <xf numFmtId="187" fontId="9" fillId="0" borderId="0"/>
    <xf numFmtId="218" fontId="9" fillId="0" borderId="0"/>
    <xf numFmtId="217" fontId="9" fillId="0" borderId="0"/>
    <xf numFmtId="217" fontId="9" fillId="0" borderId="0"/>
    <xf numFmtId="218" fontId="9" fillId="0" borderId="0"/>
    <xf numFmtId="218" fontId="9" fillId="0" borderId="0"/>
    <xf numFmtId="218" fontId="9" fillId="0" borderId="0"/>
    <xf numFmtId="218" fontId="9" fillId="0" borderId="0"/>
    <xf numFmtId="217" fontId="6" fillId="0" borderId="0"/>
    <xf numFmtId="217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55" fillId="0" borderId="0"/>
    <xf numFmtId="218" fontId="6" fillId="0" borderId="0"/>
    <xf numFmtId="217" fontId="55" fillId="0" borderId="0"/>
    <xf numFmtId="218" fontId="55" fillId="0" borderId="0"/>
    <xf numFmtId="218" fontId="6" fillId="0" borderId="0"/>
    <xf numFmtId="0" fontId="114" fillId="0" borderId="0"/>
    <xf numFmtId="0" fontId="114" fillId="0" borderId="0"/>
    <xf numFmtId="217" fontId="9" fillId="0" borderId="0"/>
    <xf numFmtId="218" fontId="55" fillId="0" borderId="0"/>
    <xf numFmtId="0" fontId="114" fillId="0" borderId="0"/>
    <xf numFmtId="0" fontId="114" fillId="0" borderId="0"/>
    <xf numFmtId="217" fontId="6" fillId="0" borderId="0"/>
    <xf numFmtId="218" fontId="6" fillId="0" borderId="0"/>
    <xf numFmtId="0" fontId="114" fillId="0" borderId="0"/>
    <xf numFmtId="0" fontId="114" fillId="0" borderId="0"/>
    <xf numFmtId="227" fontId="6" fillId="0" borderId="0"/>
    <xf numFmtId="227" fontId="6" fillId="0" borderId="0"/>
    <xf numFmtId="218" fontId="55" fillId="0" borderId="0"/>
    <xf numFmtId="217" fontId="6" fillId="0" borderId="0"/>
    <xf numFmtId="218" fontId="6" fillId="0" borderId="0"/>
    <xf numFmtId="227" fontId="6" fillId="0" borderId="0"/>
    <xf numFmtId="227" fontId="6" fillId="0" borderId="0"/>
    <xf numFmtId="218" fontId="6" fillId="0" borderId="0"/>
    <xf numFmtId="227" fontId="6" fillId="0" borderId="0"/>
    <xf numFmtId="227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9" fillId="0" borderId="0"/>
    <xf numFmtId="217" fontId="9" fillId="0" borderId="0"/>
    <xf numFmtId="218" fontId="9" fillId="0" borderId="0"/>
    <xf numFmtId="217" fontId="9" fillId="0" borderId="0"/>
    <xf numFmtId="218" fontId="9" fillId="0" borderId="0"/>
    <xf numFmtId="218" fontId="9" fillId="0" borderId="0"/>
    <xf numFmtId="0" fontId="114" fillId="0" borderId="0"/>
    <xf numFmtId="0" fontId="114" fillId="0" borderId="0"/>
    <xf numFmtId="217" fontId="6" fillId="0" borderId="0"/>
    <xf numFmtId="217" fontId="6" fillId="0" borderId="0"/>
    <xf numFmtId="218" fontId="6" fillId="0" borderId="0"/>
    <xf numFmtId="227" fontId="6" fillId="0" borderId="0"/>
    <xf numFmtId="227" fontId="6" fillId="0" borderId="0"/>
    <xf numFmtId="217" fontId="6" fillId="0" borderId="0"/>
    <xf numFmtId="218" fontId="9" fillId="0" borderId="0"/>
    <xf numFmtId="218" fontId="6" fillId="0" borderId="0"/>
    <xf numFmtId="218" fontId="9" fillId="0" borderId="0"/>
    <xf numFmtId="218" fontId="9" fillId="0" borderId="0"/>
    <xf numFmtId="218" fontId="9" fillId="0" borderId="0"/>
    <xf numFmtId="217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8" fontId="6" fillId="0" borderId="0"/>
    <xf numFmtId="218" fontId="6" fillId="0" borderId="0"/>
    <xf numFmtId="0" fontId="114" fillId="0" borderId="0"/>
    <xf numFmtId="0" fontId="114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55" fillId="0" borderId="0"/>
    <xf numFmtId="217" fontId="55" fillId="0" borderId="0"/>
    <xf numFmtId="218" fontId="55" fillId="0" borderId="0"/>
    <xf numFmtId="218" fontId="55" fillId="0" borderId="0"/>
    <xf numFmtId="217" fontId="6" fillId="0" borderId="0"/>
    <xf numFmtId="218" fontId="6" fillId="0" borderId="0"/>
    <xf numFmtId="218" fontId="6" fillId="0" borderId="0"/>
    <xf numFmtId="0" fontId="9" fillId="0" borderId="0"/>
    <xf numFmtId="0" fontId="9" fillId="0" borderId="0"/>
    <xf numFmtId="217" fontId="6" fillId="0" borderId="0"/>
    <xf numFmtId="217" fontId="6" fillId="0" borderId="0"/>
    <xf numFmtId="218" fontId="6" fillId="0" borderId="0"/>
    <xf numFmtId="227" fontId="9" fillId="0" borderId="0"/>
    <xf numFmtId="227" fontId="9" fillId="0" borderId="0"/>
    <xf numFmtId="218" fontId="6" fillId="0" borderId="0"/>
    <xf numFmtId="227" fontId="9" fillId="0" borderId="0"/>
    <xf numFmtId="227" fontId="9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9" fillId="0" borderId="0"/>
    <xf numFmtId="218" fontId="9" fillId="0" borderId="0"/>
    <xf numFmtId="218" fontId="9" fillId="0" borderId="0"/>
    <xf numFmtId="217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8" fontId="6" fillId="0" borderId="0"/>
    <xf numFmtId="217" fontId="6" fillId="0" borderId="0"/>
    <xf numFmtId="218" fontId="6" fillId="0" borderId="0"/>
    <xf numFmtId="217" fontId="6" fillId="0" borderId="0"/>
    <xf numFmtId="218" fontId="6" fillId="0" borderId="0"/>
    <xf numFmtId="217" fontId="6" fillId="0" borderId="0"/>
    <xf numFmtId="218" fontId="6" fillId="0" borderId="0"/>
    <xf numFmtId="217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8" fontId="6" fillId="0" borderId="0"/>
    <xf numFmtId="217" fontId="6" fillId="0" borderId="0"/>
    <xf numFmtId="218" fontId="6" fillId="0" borderId="0"/>
    <xf numFmtId="217" fontId="6" fillId="0" borderId="0"/>
    <xf numFmtId="218" fontId="6" fillId="0" borderId="0"/>
    <xf numFmtId="217" fontId="6" fillId="0" borderId="0"/>
    <xf numFmtId="218" fontId="6" fillId="0" borderId="0"/>
    <xf numFmtId="217" fontId="6" fillId="0" borderId="0"/>
    <xf numFmtId="218" fontId="6" fillId="0" borderId="0"/>
    <xf numFmtId="217" fontId="6" fillId="0" borderId="0"/>
    <xf numFmtId="218" fontId="6" fillId="0" borderId="0"/>
    <xf numFmtId="217" fontId="6" fillId="0" borderId="0"/>
    <xf numFmtId="218" fontId="6" fillId="0" borderId="0"/>
    <xf numFmtId="217" fontId="6" fillId="0" borderId="0"/>
    <xf numFmtId="218" fontId="6" fillId="0" borderId="0"/>
    <xf numFmtId="217" fontId="6" fillId="0" borderId="0"/>
    <xf numFmtId="218" fontId="6" fillId="0" borderId="0"/>
    <xf numFmtId="217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8" fontId="6" fillId="0" borderId="0"/>
    <xf numFmtId="217" fontId="6" fillId="0" borderId="0"/>
    <xf numFmtId="218" fontId="6" fillId="0" borderId="0"/>
    <xf numFmtId="217" fontId="6" fillId="0" borderId="0"/>
    <xf numFmtId="218" fontId="6" fillId="0" borderId="0"/>
    <xf numFmtId="217" fontId="6" fillId="0" borderId="0"/>
    <xf numFmtId="218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9" fillId="0" borderId="0"/>
    <xf numFmtId="218" fontId="9" fillId="0" borderId="0"/>
    <xf numFmtId="218" fontId="9" fillId="0" borderId="0"/>
    <xf numFmtId="218" fontId="9" fillId="0" borderId="0"/>
    <xf numFmtId="218" fontId="9" fillId="0" borderId="0"/>
    <xf numFmtId="218" fontId="9" fillId="0" borderId="0"/>
    <xf numFmtId="218" fontId="9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55" fillId="0" borderId="0"/>
    <xf numFmtId="218" fontId="55" fillId="0" borderId="0"/>
    <xf numFmtId="218" fontId="55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9" fillId="0" borderId="0"/>
    <xf numFmtId="218" fontId="9" fillId="0" borderId="0"/>
    <xf numFmtId="218" fontId="9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8" fontId="6" fillId="0" borderId="0"/>
    <xf numFmtId="218" fontId="6" fillId="0" borderId="0"/>
    <xf numFmtId="0" fontId="9" fillId="0" borderId="0"/>
    <xf numFmtId="217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8" fontId="6" fillId="0" borderId="0"/>
    <xf numFmtId="218" fontId="6" fillId="0" borderId="0"/>
    <xf numFmtId="217" fontId="9" fillId="0" borderId="0"/>
    <xf numFmtId="217" fontId="9" fillId="0" borderId="0"/>
    <xf numFmtId="218" fontId="9" fillId="0" borderId="0"/>
    <xf numFmtId="218" fontId="9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8" fontId="6" fillId="0" borderId="0"/>
    <xf numFmtId="218" fontId="6" fillId="0" borderId="0"/>
    <xf numFmtId="217" fontId="6" fillId="0" borderId="0"/>
    <xf numFmtId="217" fontId="6" fillId="0" borderId="0"/>
    <xf numFmtId="218" fontId="6" fillId="0" borderId="0"/>
    <xf numFmtId="218" fontId="6" fillId="0" borderId="0"/>
    <xf numFmtId="217" fontId="9" fillId="0" borderId="0"/>
    <xf numFmtId="218" fontId="9" fillId="0" borderId="0"/>
    <xf numFmtId="218" fontId="9" fillId="0" borderId="0"/>
    <xf numFmtId="0" fontId="9" fillId="0" borderId="0"/>
    <xf numFmtId="0" fontId="9" fillId="0" borderId="0"/>
    <xf numFmtId="9" fontId="6" fillId="0" borderId="0" applyFill="0" applyBorder="0" applyAlignment="0" applyProtection="0"/>
    <xf numFmtId="43" fontId="6" fillId="0" borderId="0" applyFill="0" applyBorder="0" applyAlignment="0" applyProtection="0"/>
    <xf numFmtId="0" fontId="3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9" fontId="9" fillId="0" borderId="0"/>
    <xf numFmtId="9" fontId="6" fillId="0" borderId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  <xf numFmtId="43" fontId="6" fillId="0" borderId="0" applyFont="0" applyFill="0" applyBorder="0" applyAlignment="0" applyProtection="0"/>
    <xf numFmtId="20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9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89" fillId="0" borderId="0"/>
    <xf numFmtId="0" fontId="89" fillId="0" borderId="0"/>
    <xf numFmtId="0" fontId="89" fillId="0" borderId="0"/>
    <xf numFmtId="228" fontId="2" fillId="0" borderId="0"/>
    <xf numFmtId="0" fontId="89" fillId="0" borderId="0"/>
    <xf numFmtId="22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8" fillId="0" borderId="0"/>
    <xf numFmtId="0" fontId="89" fillId="0" borderId="0"/>
    <xf numFmtId="0" fontId="6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1" fontId="9" fillId="0" borderId="0" applyFont="0" applyFill="0" applyBorder="0" applyAlignment="0" applyProtection="0"/>
    <xf numFmtId="0" fontId="2" fillId="0" borderId="0"/>
    <xf numFmtId="211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211" fontId="2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9" fontId="6" fillId="0" borderId="0">
      <protection locked="0"/>
    </xf>
    <xf numFmtId="174" fontId="6" fillId="0" borderId="0">
      <protection locked="0"/>
    </xf>
    <xf numFmtId="174" fontId="6" fillId="0" borderId="0">
      <protection locked="0"/>
    </xf>
    <xf numFmtId="169" fontId="6" fillId="0" borderId="0">
      <protection locked="0"/>
    </xf>
    <xf numFmtId="169" fontId="6" fillId="0" borderId="0">
      <protection locked="0"/>
    </xf>
    <xf numFmtId="169" fontId="6" fillId="0" borderId="0">
      <protection locked="0"/>
    </xf>
    <xf numFmtId="169" fontId="6" fillId="0" borderId="0">
      <protection locked="0"/>
    </xf>
    <xf numFmtId="174" fontId="6" fillId="0" borderId="0">
      <protection locked="0"/>
    </xf>
    <xf numFmtId="174" fontId="6" fillId="0" borderId="0">
      <protection locked="0"/>
    </xf>
    <xf numFmtId="169" fontId="6" fillId="0" borderId="0">
      <protection locked="0"/>
    </xf>
    <xf numFmtId="169" fontId="6" fillId="0" borderId="0">
      <protection locked="0"/>
    </xf>
    <xf numFmtId="169" fontId="6" fillId="0" borderId="0">
      <protection locked="0"/>
    </xf>
    <xf numFmtId="169" fontId="6" fillId="0" borderId="0">
      <protection locked="0"/>
    </xf>
    <xf numFmtId="169" fontId="6" fillId="0" borderId="0">
      <protection locked="0"/>
    </xf>
    <xf numFmtId="167" fontId="133" fillId="0" borderId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133" fillId="0" borderId="0"/>
    <xf numFmtId="167" fontId="133" fillId="0" borderId="0"/>
    <xf numFmtId="44" fontId="9" fillId="0" borderId="0" applyFont="0" applyFill="0" applyBorder="0" applyAlignment="0" applyProtection="0"/>
    <xf numFmtId="37" fontId="6" fillId="0" borderId="0">
      <protection locked="0"/>
    </xf>
    <xf numFmtId="37" fontId="6" fillId="0" borderId="0">
      <protection locked="0"/>
    </xf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6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167" fontId="133" fillId="0" borderId="0"/>
    <xf numFmtId="202" fontId="2" fillId="0" borderId="0"/>
    <xf numFmtId="202" fontId="2" fillId="0" borderId="0"/>
    <xf numFmtId="202" fontId="2" fillId="0" borderId="0"/>
    <xf numFmtId="202" fontId="108" fillId="0" borderId="0"/>
    <xf numFmtId="202" fontId="108" fillId="0" borderId="0"/>
    <xf numFmtId="167" fontId="2" fillId="0" borderId="0"/>
    <xf numFmtId="0" fontId="132" fillId="0" borderId="0"/>
    <xf numFmtId="9" fontId="2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51" applyNumberFormat="0" applyBorder="0"/>
    <xf numFmtId="167" fontId="6" fillId="0" borderId="0"/>
    <xf numFmtId="20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84" fillId="38" borderId="108" applyNumberFormat="0" applyAlignment="0" applyProtection="0">
      <alignment vertical="center"/>
    </xf>
    <xf numFmtId="0" fontId="78" fillId="12" borderId="106" applyNumberFormat="0" applyAlignment="0" applyProtection="0">
      <alignment vertical="center"/>
    </xf>
    <xf numFmtId="0" fontId="77" fillId="0" borderId="110" applyNumberFormat="0" applyFill="0" applyAlignment="0" applyProtection="0">
      <alignment vertical="center"/>
    </xf>
    <xf numFmtId="0" fontId="25" fillId="46" borderId="107" applyNumberFormat="0" applyFont="0" applyAlignment="0" applyProtection="0">
      <alignment vertical="center"/>
    </xf>
    <xf numFmtId="0" fontId="69" fillId="38" borderId="106" applyNumberFormat="0" applyAlignment="0" applyProtection="0">
      <alignment vertical="center"/>
    </xf>
    <xf numFmtId="0" fontId="65" fillId="0" borderId="110" applyNumberFormat="0" applyFill="0" applyAlignment="0" applyProtection="0"/>
    <xf numFmtId="0" fontId="65" fillId="0" borderId="110" applyNumberFormat="0" applyFill="0" applyAlignment="0" applyProtection="0"/>
    <xf numFmtId="0" fontId="65" fillId="0" borderId="110" applyNumberFormat="0" applyFill="0" applyAlignment="0" applyProtection="0"/>
    <xf numFmtId="0" fontId="65" fillId="0" borderId="110" applyNumberFormat="0" applyFill="0" applyAlignment="0" applyProtection="0"/>
    <xf numFmtId="167" fontId="65" fillId="0" borderId="110" applyNumberFormat="0" applyFill="0" applyAlignment="0" applyProtection="0"/>
    <xf numFmtId="167" fontId="65" fillId="0" borderId="110" applyNumberFormat="0" applyFill="0" applyAlignment="0" applyProtection="0"/>
    <xf numFmtId="0" fontId="65" fillId="0" borderId="110" applyNumberFormat="0" applyFill="0" applyAlignment="0" applyProtection="0"/>
    <xf numFmtId="0" fontId="65" fillId="0" borderId="110" applyNumberFormat="0" applyFill="0" applyAlignment="0" applyProtection="0"/>
    <xf numFmtId="0" fontId="65" fillId="0" borderId="110" applyNumberFormat="0" applyFill="0" applyAlignment="0" applyProtection="0"/>
    <xf numFmtId="0" fontId="65" fillId="0" borderId="110" applyNumberFormat="0" applyFill="0" applyAlignment="0" applyProtection="0"/>
    <xf numFmtId="0" fontId="65" fillId="0" borderId="110" applyNumberFormat="0" applyFill="0" applyAlignment="0" applyProtection="0"/>
    <xf numFmtId="167" fontId="65" fillId="0" borderId="110" applyNumberFormat="0" applyFill="0" applyAlignment="0" applyProtection="0"/>
    <xf numFmtId="0" fontId="59" fillId="0" borderId="109"/>
    <xf numFmtId="202" fontId="59" fillId="0" borderId="109"/>
    <xf numFmtId="202" fontId="59" fillId="0" borderId="109"/>
    <xf numFmtId="201" fontId="59" fillId="0" borderId="109"/>
    <xf numFmtId="0" fontId="59" fillId="0" borderId="109"/>
    <xf numFmtId="0" fontId="58" fillId="39" borderId="108" applyNumberFormat="0" applyAlignment="0" applyProtection="0"/>
    <xf numFmtId="0" fontId="58" fillId="39" borderId="108" applyNumberFormat="0" applyAlignment="0" applyProtection="0"/>
    <xf numFmtId="0" fontId="58" fillId="39" borderId="108" applyNumberFormat="0" applyAlignment="0" applyProtection="0"/>
    <xf numFmtId="0" fontId="58" fillId="39" borderId="108" applyNumberFormat="0" applyAlignment="0" applyProtection="0"/>
    <xf numFmtId="167" fontId="58" fillId="39" borderId="108" applyNumberFormat="0" applyAlignment="0" applyProtection="0"/>
    <xf numFmtId="0" fontId="58" fillId="39" borderId="108" applyNumberFormat="0" applyAlignment="0" applyProtection="0"/>
    <xf numFmtId="0" fontId="58" fillId="39" borderId="108" applyNumberFormat="0" applyAlignment="0" applyProtection="0"/>
    <xf numFmtId="0" fontId="58" fillId="39" borderId="108" applyNumberFormat="0" applyAlignment="0" applyProtection="0"/>
    <xf numFmtId="0" fontId="58" fillId="39" borderId="108" applyNumberFormat="0" applyAlignment="0" applyProtection="0"/>
    <xf numFmtId="167" fontId="58" fillId="39" borderId="108" applyNumberFormat="0" applyAlignment="0" applyProtection="0"/>
    <xf numFmtId="0" fontId="10" fillId="47" borderId="107" applyNumberFormat="0" applyAlignment="0" applyProtection="0"/>
    <xf numFmtId="0" fontId="10" fillId="47" borderId="107" applyNumberFormat="0" applyAlignment="0" applyProtection="0"/>
    <xf numFmtId="0" fontId="10" fillId="47" borderId="107" applyNumberFormat="0" applyAlignment="0" applyProtection="0"/>
    <xf numFmtId="0" fontId="10" fillId="47" borderId="107" applyNumberFormat="0" applyAlignment="0" applyProtection="0"/>
    <xf numFmtId="167" fontId="10" fillId="47" borderId="107" applyNumberFormat="0" applyAlignment="0" applyProtection="0"/>
    <xf numFmtId="0" fontId="10" fillId="47" borderId="107" applyNumberFormat="0" applyAlignment="0" applyProtection="0"/>
    <xf numFmtId="0" fontId="10" fillId="47" borderId="107" applyNumberFormat="0" applyAlignment="0" applyProtection="0"/>
    <xf numFmtId="0" fontId="10" fillId="47" borderId="107" applyNumberFormat="0" applyAlignment="0" applyProtection="0"/>
    <xf numFmtId="0" fontId="10" fillId="47" borderId="107" applyNumberFormat="0" applyAlignment="0" applyProtection="0"/>
    <xf numFmtId="167" fontId="10" fillId="47" borderId="107" applyNumberFormat="0" applyAlignment="0" applyProtection="0"/>
    <xf numFmtId="0" fontId="47" fillId="13" borderId="106" applyNumberFormat="0" applyAlignment="0" applyProtection="0"/>
    <xf numFmtId="0" fontId="47" fillId="13" borderId="106" applyNumberFormat="0" applyAlignment="0" applyProtection="0"/>
    <xf numFmtId="0" fontId="47" fillId="13" borderId="106" applyNumberFormat="0" applyAlignment="0" applyProtection="0"/>
    <xf numFmtId="0" fontId="47" fillId="13" borderId="106" applyNumberFormat="0" applyAlignment="0" applyProtection="0"/>
    <xf numFmtId="167" fontId="47" fillId="13" borderId="106" applyNumberFormat="0" applyAlignment="0" applyProtection="0"/>
    <xf numFmtId="0" fontId="47" fillId="13" borderId="106" applyNumberFormat="0" applyAlignment="0" applyProtection="0"/>
    <xf numFmtId="0" fontId="47" fillId="13" borderId="106" applyNumberFormat="0" applyAlignment="0" applyProtection="0"/>
    <xf numFmtId="0" fontId="47" fillId="13" borderId="106" applyNumberFormat="0" applyAlignment="0" applyProtection="0"/>
    <xf numFmtId="0" fontId="47" fillId="13" borderId="106" applyNumberFormat="0" applyAlignment="0" applyProtection="0"/>
    <xf numFmtId="167" fontId="47" fillId="13" borderId="106" applyNumberFormat="0" applyAlignment="0" applyProtection="0"/>
    <xf numFmtId="0" fontId="37" fillId="0" borderId="105">
      <alignment horizontal="left" vertical="center"/>
    </xf>
    <xf numFmtId="0" fontId="37" fillId="0" borderId="105">
      <alignment horizontal="left" vertical="center"/>
    </xf>
    <xf numFmtId="202" fontId="37" fillId="0" borderId="105">
      <alignment horizontal="left" vertical="center"/>
    </xf>
    <xf numFmtId="202" fontId="37" fillId="0" borderId="105">
      <alignment horizontal="left" vertical="center"/>
    </xf>
    <xf numFmtId="201" fontId="37" fillId="0" borderId="105">
      <alignment horizontal="left" vertical="center"/>
    </xf>
    <xf numFmtId="0" fontId="37" fillId="0" borderId="105">
      <alignment horizontal="left" vertical="center"/>
    </xf>
    <xf numFmtId="174" fontId="6" fillId="0" borderId="93"/>
    <xf numFmtId="194" fontId="29" fillId="0" borderId="93"/>
    <xf numFmtId="0" fontId="37" fillId="0" borderId="97">
      <alignment horizontal="left" vertical="center"/>
    </xf>
    <xf numFmtId="201" fontId="37" fillId="0" borderId="97">
      <alignment horizontal="left" vertical="center"/>
    </xf>
    <xf numFmtId="202" fontId="37" fillId="0" borderId="97">
      <alignment horizontal="left" vertical="center"/>
    </xf>
    <xf numFmtId="202" fontId="37" fillId="0" borderId="97">
      <alignment horizontal="left" vertical="center"/>
    </xf>
    <xf numFmtId="0" fontId="37" fillId="0" borderId="97">
      <alignment horizontal="left" vertical="center"/>
    </xf>
    <xf numFmtId="0" fontId="37" fillId="0" borderId="97">
      <alignment horizontal="left" vertical="center"/>
    </xf>
    <xf numFmtId="10" fontId="34" fillId="43" borderId="93" applyNumberFormat="0" applyBorder="0" applyAlignment="0" applyProtection="0"/>
    <xf numFmtId="0" fontId="20" fillId="39" borderId="106" applyNumberFormat="0" applyAlignment="0" applyProtection="0"/>
    <xf numFmtId="0" fontId="20" fillId="39" borderId="106" applyNumberFormat="0" applyAlignment="0" applyProtection="0"/>
    <xf numFmtId="0" fontId="20" fillId="39" borderId="106" applyNumberFormat="0" applyAlignment="0" applyProtection="0"/>
    <xf numFmtId="0" fontId="20" fillId="39" borderId="106" applyNumberFormat="0" applyAlignment="0" applyProtection="0"/>
    <xf numFmtId="167" fontId="20" fillId="39" borderId="106" applyNumberFormat="0" applyAlignment="0" applyProtection="0"/>
    <xf numFmtId="0" fontId="20" fillId="39" borderId="106" applyNumberFormat="0" applyAlignment="0" applyProtection="0"/>
    <xf numFmtId="0" fontId="20" fillId="39" borderId="106" applyNumberFormat="0" applyAlignment="0" applyProtection="0"/>
    <xf numFmtId="0" fontId="20" fillId="39" borderId="106" applyNumberFormat="0" applyAlignment="0" applyProtection="0"/>
    <xf numFmtId="0" fontId="20" fillId="39" borderId="106" applyNumberFormat="0" applyAlignment="0" applyProtection="0"/>
    <xf numFmtId="167" fontId="20" fillId="39" borderId="106" applyNumberFormat="0" applyAlignment="0" applyProtection="0"/>
    <xf numFmtId="167" fontId="10" fillId="47" borderId="102" applyNumberFormat="0" applyAlignment="0" applyProtection="0"/>
    <xf numFmtId="0" fontId="10" fillId="47" borderId="102" applyNumberFormat="0" applyAlignment="0" applyProtection="0"/>
    <xf numFmtId="0" fontId="10" fillId="47" borderId="102" applyNumberFormat="0" applyAlignment="0" applyProtection="0"/>
    <xf numFmtId="0" fontId="10" fillId="47" borderId="102" applyNumberFormat="0" applyAlignment="0" applyProtection="0"/>
    <xf numFmtId="0" fontId="10" fillId="47" borderId="102" applyNumberFormat="0" applyAlignment="0" applyProtection="0"/>
    <xf numFmtId="167" fontId="10" fillId="47" borderId="102" applyNumberFormat="0" applyAlignment="0" applyProtection="0"/>
    <xf numFmtId="0" fontId="10" fillId="47" borderId="102" applyNumberFormat="0" applyAlignment="0" applyProtection="0"/>
    <xf numFmtId="0" fontId="10" fillId="47" borderId="102" applyNumberFormat="0" applyAlignment="0" applyProtection="0"/>
    <xf numFmtId="0" fontId="10" fillId="47" borderId="102" applyNumberFormat="0" applyAlignment="0" applyProtection="0"/>
    <xf numFmtId="0" fontId="10" fillId="47" borderId="102" applyNumberFormat="0" applyAlignment="0" applyProtection="0"/>
    <xf numFmtId="167" fontId="58" fillId="39" borderId="103" applyNumberFormat="0" applyAlignment="0" applyProtection="0"/>
    <xf numFmtId="0" fontId="58" fillId="39" borderId="103" applyNumberFormat="0" applyAlignment="0" applyProtection="0"/>
    <xf numFmtId="0" fontId="58" fillId="39" borderId="103" applyNumberFormat="0" applyAlignment="0" applyProtection="0"/>
    <xf numFmtId="0" fontId="58" fillId="39" borderId="103" applyNumberFormat="0" applyAlignment="0" applyProtection="0"/>
    <xf numFmtId="0" fontId="58" fillId="39" borderId="103" applyNumberFormat="0" applyAlignment="0" applyProtection="0"/>
    <xf numFmtId="167" fontId="58" fillId="39" borderId="103" applyNumberFormat="0" applyAlignment="0" applyProtection="0"/>
    <xf numFmtId="0" fontId="58" fillId="39" borderId="103" applyNumberFormat="0" applyAlignment="0" applyProtection="0"/>
    <xf numFmtId="0" fontId="58" fillId="39" borderId="103" applyNumberFormat="0" applyAlignment="0" applyProtection="0"/>
    <xf numFmtId="0" fontId="58" fillId="39" borderId="103" applyNumberFormat="0" applyAlignment="0" applyProtection="0"/>
    <xf numFmtId="0" fontId="58" fillId="39" borderId="103" applyNumberFormat="0" applyAlignment="0" applyProtection="0"/>
    <xf numFmtId="167" fontId="65" fillId="0" borderId="104" applyNumberFormat="0" applyFill="0" applyAlignment="0" applyProtection="0"/>
    <xf numFmtId="0" fontId="65" fillId="0" borderId="104" applyNumberFormat="0" applyFill="0" applyAlignment="0" applyProtection="0"/>
    <xf numFmtId="0" fontId="65" fillId="0" borderId="104" applyNumberFormat="0" applyFill="0" applyAlignment="0" applyProtection="0"/>
    <xf numFmtId="0" fontId="65" fillId="0" borderId="104" applyNumberFormat="0" applyFill="0" applyAlignment="0" applyProtection="0"/>
    <xf numFmtId="0" fontId="65" fillId="0" borderId="104" applyNumberFormat="0" applyFill="0" applyAlignment="0" applyProtection="0"/>
    <xf numFmtId="0" fontId="65" fillId="0" borderId="104" applyNumberFormat="0" applyFill="0" applyAlignment="0" applyProtection="0"/>
    <xf numFmtId="167" fontId="65" fillId="0" borderId="104" applyNumberFormat="0" applyFill="0" applyAlignment="0" applyProtection="0"/>
    <xf numFmtId="167" fontId="65" fillId="0" borderId="104" applyNumberFormat="0" applyFill="0" applyAlignment="0" applyProtection="0"/>
    <xf numFmtId="0" fontId="65" fillId="0" borderId="104" applyNumberFormat="0" applyFill="0" applyAlignment="0" applyProtection="0"/>
    <xf numFmtId="0" fontId="65" fillId="0" borderId="104" applyNumberFormat="0" applyFill="0" applyAlignment="0" applyProtection="0"/>
    <xf numFmtId="0" fontId="65" fillId="0" borderId="104" applyNumberFormat="0" applyFill="0" applyAlignment="0" applyProtection="0"/>
    <xf numFmtId="0" fontId="65" fillId="0" borderId="104" applyNumberFormat="0" applyFill="0" applyAlignment="0" applyProtection="0"/>
    <xf numFmtId="0" fontId="25" fillId="46" borderId="102" applyNumberFormat="0" applyFont="0" applyAlignment="0" applyProtection="0">
      <alignment vertical="center"/>
    </xf>
    <xf numFmtId="0" fontId="77" fillId="0" borderId="104" applyNumberFormat="0" applyFill="0" applyAlignment="0" applyProtection="0">
      <alignment vertical="center"/>
    </xf>
    <xf numFmtId="0" fontId="84" fillId="38" borderId="103" applyNumberFormat="0" applyAlignment="0" applyProtection="0">
      <alignment vertical="center"/>
    </xf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228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211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11" fontId="1" fillId="0" borderId="0"/>
    <xf numFmtId="0" fontId="59" fillId="0" borderId="109"/>
    <xf numFmtId="43" fontId="1" fillId="0" borderId="0" applyFont="0" applyFill="0" applyBorder="0" applyAlignment="0" applyProtection="0"/>
    <xf numFmtId="202" fontId="1" fillId="0" borderId="0"/>
    <xf numFmtId="202" fontId="1" fillId="0" borderId="0"/>
    <xf numFmtId="202" fontId="1" fillId="0" borderId="0"/>
    <xf numFmtId="167" fontId="1" fillId="0" borderId="0"/>
    <xf numFmtId="0" fontId="6" fillId="0" borderId="0"/>
    <xf numFmtId="9" fontId="135" fillId="0" borderId="0" applyFont="0" applyFill="0" applyBorder="0" applyAlignment="0" applyProtection="0"/>
    <xf numFmtId="0" fontId="6" fillId="0" borderId="0"/>
    <xf numFmtId="0" fontId="25" fillId="46" borderId="120" applyNumberFormat="0" applyFont="0" applyAlignment="0" applyProtection="0">
      <alignment vertical="center"/>
    </xf>
    <xf numFmtId="0" fontId="69" fillId="38" borderId="119" applyNumberFormat="0" applyAlignment="0" applyProtection="0">
      <alignment vertical="center"/>
    </xf>
    <xf numFmtId="0" fontId="65" fillId="0" borderId="123" applyNumberFormat="0" applyFill="0" applyAlignment="0" applyProtection="0"/>
    <xf numFmtId="0" fontId="65" fillId="0" borderId="123" applyNumberFormat="0" applyFill="0" applyAlignment="0" applyProtection="0"/>
    <xf numFmtId="0" fontId="65" fillId="0" borderId="123" applyNumberFormat="0" applyFill="0" applyAlignment="0" applyProtection="0"/>
    <xf numFmtId="0" fontId="65" fillId="0" borderId="123" applyNumberFormat="0" applyFill="0" applyAlignment="0" applyProtection="0"/>
    <xf numFmtId="167" fontId="65" fillId="0" borderId="123" applyNumberFormat="0" applyFill="0" applyAlignment="0" applyProtection="0"/>
    <xf numFmtId="167" fontId="65" fillId="0" borderId="123" applyNumberFormat="0" applyFill="0" applyAlignment="0" applyProtection="0"/>
    <xf numFmtId="0" fontId="65" fillId="0" borderId="123" applyNumberFormat="0" applyFill="0" applyAlignment="0" applyProtection="0"/>
    <xf numFmtId="0" fontId="65" fillId="0" borderId="123" applyNumberFormat="0" applyFill="0" applyAlignment="0" applyProtection="0"/>
    <xf numFmtId="0" fontId="65" fillId="0" borderId="123" applyNumberFormat="0" applyFill="0" applyAlignment="0" applyProtection="0"/>
    <xf numFmtId="0" fontId="65" fillId="0" borderId="123" applyNumberFormat="0" applyFill="0" applyAlignment="0" applyProtection="0"/>
    <xf numFmtId="0" fontId="65" fillId="0" borderId="123" applyNumberFormat="0" applyFill="0" applyAlignment="0" applyProtection="0"/>
    <xf numFmtId="167" fontId="65" fillId="0" borderId="123" applyNumberFormat="0" applyFill="0" applyAlignment="0" applyProtection="0"/>
    <xf numFmtId="0" fontId="59" fillId="0" borderId="122"/>
    <xf numFmtId="0" fontId="59" fillId="0" borderId="122"/>
    <xf numFmtId="202" fontId="59" fillId="0" borderId="122"/>
    <xf numFmtId="202" fontId="59" fillId="0" borderId="122"/>
    <xf numFmtId="201" fontId="59" fillId="0" borderId="122"/>
    <xf numFmtId="0" fontId="59" fillId="0" borderId="122"/>
    <xf numFmtId="0" fontId="58" fillId="39" borderId="121" applyNumberFormat="0" applyAlignment="0" applyProtection="0"/>
    <xf numFmtId="0" fontId="58" fillId="39" borderId="121" applyNumberFormat="0" applyAlignment="0" applyProtection="0"/>
    <xf numFmtId="0" fontId="58" fillId="39" borderId="121" applyNumberFormat="0" applyAlignment="0" applyProtection="0"/>
    <xf numFmtId="0" fontId="58" fillId="39" borderId="121" applyNumberFormat="0" applyAlignment="0" applyProtection="0"/>
    <xf numFmtId="167" fontId="58" fillId="39" borderId="121" applyNumberFormat="0" applyAlignment="0" applyProtection="0"/>
    <xf numFmtId="0" fontId="58" fillId="39" borderId="121" applyNumberFormat="0" applyAlignment="0" applyProtection="0"/>
    <xf numFmtId="0" fontId="58" fillId="39" borderId="121" applyNumberFormat="0" applyAlignment="0" applyProtection="0"/>
    <xf numFmtId="0" fontId="58" fillId="39" borderId="121" applyNumberFormat="0" applyAlignment="0" applyProtection="0"/>
    <xf numFmtId="0" fontId="58" fillId="39" borderId="121" applyNumberFormat="0" applyAlignment="0" applyProtection="0"/>
    <xf numFmtId="167" fontId="58" fillId="39" borderId="121" applyNumberFormat="0" applyAlignment="0" applyProtection="0"/>
    <xf numFmtId="0" fontId="10" fillId="47" borderId="120" applyNumberFormat="0" applyAlignment="0" applyProtection="0"/>
    <xf numFmtId="0" fontId="10" fillId="47" borderId="120" applyNumberFormat="0" applyAlignment="0" applyProtection="0"/>
    <xf numFmtId="0" fontId="10" fillId="47" borderId="120" applyNumberFormat="0" applyAlignment="0" applyProtection="0"/>
    <xf numFmtId="0" fontId="10" fillId="47" borderId="120" applyNumberFormat="0" applyAlignment="0" applyProtection="0"/>
    <xf numFmtId="167" fontId="10" fillId="47" borderId="120" applyNumberFormat="0" applyAlignment="0" applyProtection="0"/>
    <xf numFmtId="0" fontId="10" fillId="47" borderId="120" applyNumberFormat="0" applyAlignment="0" applyProtection="0"/>
    <xf numFmtId="0" fontId="10" fillId="47" borderId="120" applyNumberFormat="0" applyAlignment="0" applyProtection="0"/>
    <xf numFmtId="0" fontId="10" fillId="47" borderId="120" applyNumberFormat="0" applyAlignment="0" applyProtection="0"/>
    <xf numFmtId="0" fontId="10" fillId="47" borderId="120" applyNumberFormat="0" applyAlignment="0" applyProtection="0"/>
    <xf numFmtId="167" fontId="10" fillId="47" borderId="120" applyNumberFormat="0" applyAlignment="0" applyProtection="0"/>
    <xf numFmtId="0" fontId="47" fillId="13" borderId="119" applyNumberFormat="0" applyAlignment="0" applyProtection="0"/>
    <xf numFmtId="0" fontId="47" fillId="13" borderId="119" applyNumberFormat="0" applyAlignment="0" applyProtection="0"/>
    <xf numFmtId="0" fontId="47" fillId="13" borderId="119" applyNumberFormat="0" applyAlignment="0" applyProtection="0"/>
    <xf numFmtId="0" fontId="47" fillId="13" borderId="119" applyNumberFormat="0" applyAlignment="0" applyProtection="0"/>
    <xf numFmtId="167" fontId="47" fillId="13" borderId="119" applyNumberFormat="0" applyAlignment="0" applyProtection="0"/>
    <xf numFmtId="0" fontId="47" fillId="13" borderId="119" applyNumberFormat="0" applyAlignment="0" applyProtection="0"/>
    <xf numFmtId="0" fontId="47" fillId="13" borderId="119" applyNumberFormat="0" applyAlignment="0" applyProtection="0"/>
    <xf numFmtId="0" fontId="47" fillId="13" borderId="119" applyNumberFormat="0" applyAlignment="0" applyProtection="0"/>
    <xf numFmtId="0" fontId="47" fillId="13" borderId="119" applyNumberFormat="0" applyAlignment="0" applyProtection="0"/>
    <xf numFmtId="167" fontId="47" fillId="13" borderId="119" applyNumberFormat="0" applyAlignment="0" applyProtection="0"/>
    <xf numFmtId="0" fontId="37" fillId="0" borderId="118">
      <alignment horizontal="left" vertical="center"/>
    </xf>
    <xf numFmtId="0" fontId="37" fillId="0" borderId="118">
      <alignment horizontal="left" vertical="center"/>
    </xf>
    <xf numFmtId="202" fontId="37" fillId="0" borderId="118">
      <alignment horizontal="left" vertical="center"/>
    </xf>
    <xf numFmtId="202" fontId="37" fillId="0" borderId="118">
      <alignment horizontal="left" vertical="center"/>
    </xf>
    <xf numFmtId="201" fontId="37" fillId="0" borderId="118">
      <alignment horizontal="left" vertical="center"/>
    </xf>
    <xf numFmtId="0" fontId="37" fillId="0" borderId="118">
      <alignment horizontal="left" vertical="center"/>
    </xf>
    <xf numFmtId="0" fontId="20" fillId="39" borderId="119" applyNumberFormat="0" applyAlignment="0" applyProtection="0"/>
    <xf numFmtId="0" fontId="20" fillId="39" borderId="119" applyNumberFormat="0" applyAlignment="0" applyProtection="0"/>
    <xf numFmtId="0" fontId="20" fillId="39" borderId="119" applyNumberFormat="0" applyAlignment="0" applyProtection="0"/>
    <xf numFmtId="0" fontId="20" fillId="39" borderId="119" applyNumberFormat="0" applyAlignment="0" applyProtection="0"/>
    <xf numFmtId="167" fontId="20" fillId="39" borderId="119" applyNumberFormat="0" applyAlignment="0" applyProtection="0"/>
    <xf numFmtId="0" fontId="20" fillId="39" borderId="119" applyNumberFormat="0" applyAlignment="0" applyProtection="0"/>
    <xf numFmtId="0" fontId="20" fillId="39" borderId="119" applyNumberFormat="0" applyAlignment="0" applyProtection="0"/>
    <xf numFmtId="0" fontId="20" fillId="39" borderId="119" applyNumberFormat="0" applyAlignment="0" applyProtection="0"/>
    <xf numFmtId="0" fontId="20" fillId="39" borderId="119" applyNumberFormat="0" applyAlignment="0" applyProtection="0"/>
    <xf numFmtId="167" fontId="20" fillId="39" borderId="119" applyNumberFormat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7" fillId="0" borderId="123" applyNumberFormat="0" applyFill="0" applyAlignment="0" applyProtection="0">
      <alignment vertical="center"/>
    </xf>
    <xf numFmtId="0" fontId="78" fillId="12" borderId="119" applyNumberFormat="0" applyAlignment="0" applyProtection="0">
      <alignment vertical="center"/>
    </xf>
    <xf numFmtId="0" fontId="84" fillId="38" borderId="121" applyNumberFormat="0" applyAlignment="0" applyProtection="0">
      <alignment vertical="center"/>
    </xf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0" fontId="120" fillId="42" borderId="119" applyNumberFormat="0" applyAlignment="0" applyProtection="0"/>
    <xf numFmtId="0" fontId="120" fillId="42" borderId="119" applyNumberFormat="0" applyAlignment="0" applyProtection="0"/>
    <xf numFmtId="0" fontId="120" fillId="42" borderId="119" applyNumberFormat="0" applyAlignment="0" applyProtection="0"/>
    <xf numFmtId="0" fontId="120" fillId="42" borderId="119" applyNumberFormat="0" applyAlignment="0" applyProtection="0"/>
    <xf numFmtId="0" fontId="120" fillId="42" borderId="119" applyNumberFormat="0" applyAlignment="0" applyProtection="0"/>
    <xf numFmtId="0" fontId="120" fillId="42" borderId="119" applyNumberFormat="0" applyAlignment="0" applyProtection="0"/>
    <xf numFmtId="0" fontId="120" fillId="42" borderId="119" applyNumberFormat="0" applyAlignment="0" applyProtection="0"/>
    <xf numFmtId="0" fontId="120" fillId="42" borderId="119" applyNumberFormat="0" applyAlignment="0" applyProtection="0"/>
    <xf numFmtId="0" fontId="120" fillId="42" borderId="119" applyNumberFormat="0" applyAlignment="0" applyProtection="0"/>
    <xf numFmtId="0" fontId="120" fillId="42" borderId="119" applyNumberFormat="0" applyAlignment="0" applyProtection="0"/>
    <xf numFmtId="43" fontId="6" fillId="0" borderId="0" applyFill="0" applyBorder="0" applyAlignment="0" applyProtection="0"/>
    <xf numFmtId="179" fontId="9" fillId="0" borderId="0"/>
    <xf numFmtId="0" fontId="128" fillId="59" borderId="126" applyNumberFormat="0" applyAlignment="0" applyProtection="0"/>
    <xf numFmtId="0" fontId="128" fillId="59" borderId="126" applyNumberFormat="0" applyAlignment="0" applyProtection="0"/>
    <xf numFmtId="0" fontId="128" fillId="59" borderId="126" applyNumberFormat="0" applyAlignment="0" applyProtection="0"/>
    <xf numFmtId="0" fontId="128" fillId="59" borderId="126" applyNumberFormat="0" applyAlignment="0" applyProtection="0"/>
    <xf numFmtId="0" fontId="128" fillId="59" borderId="126" applyNumberFormat="0" applyAlignment="0" applyProtection="0"/>
    <xf numFmtId="0" fontId="128" fillId="59" borderId="126" applyNumberFormat="0" applyAlignment="0" applyProtection="0"/>
    <xf numFmtId="0" fontId="128" fillId="59" borderId="126" applyNumberFormat="0" applyAlignment="0" applyProtection="0"/>
    <xf numFmtId="0" fontId="128" fillId="59" borderId="126" applyNumberFormat="0" applyAlignment="0" applyProtection="0"/>
    <xf numFmtId="0" fontId="128" fillId="59" borderId="126" applyNumberFormat="0" applyAlignment="0" applyProtection="0"/>
    <xf numFmtId="0" fontId="128" fillId="59" borderId="126" applyNumberFormat="0" applyAlignment="0" applyProtection="0"/>
    <xf numFmtId="0" fontId="37" fillId="0" borderId="128">
      <alignment horizontal="left" vertical="center"/>
    </xf>
    <xf numFmtId="0" fontId="37" fillId="0" borderId="128">
      <alignment horizontal="left" vertical="center"/>
    </xf>
    <xf numFmtId="218" fontId="37" fillId="0" borderId="128">
      <alignment horizontal="left" vertical="center"/>
    </xf>
    <xf numFmtId="218" fontId="37" fillId="0" borderId="128">
      <alignment horizontal="left" vertical="center"/>
    </xf>
    <xf numFmtId="217" fontId="37" fillId="0" borderId="128">
      <alignment horizontal="left" vertical="center"/>
    </xf>
    <xf numFmtId="0" fontId="37" fillId="0" borderId="128">
      <alignment horizontal="left" vertical="center"/>
    </xf>
    <xf numFmtId="222" fontId="15" fillId="0" borderId="127"/>
    <xf numFmtId="221" fontId="6" fillId="0" borderId="127"/>
    <xf numFmtId="221" fontId="6" fillId="0" borderId="94"/>
    <xf numFmtId="222" fontId="15" fillId="0" borderId="94"/>
    <xf numFmtId="0" fontId="37" fillId="0" borderId="112">
      <alignment horizontal="left" vertical="center"/>
    </xf>
    <xf numFmtId="217" fontId="37" fillId="0" borderId="112">
      <alignment horizontal="left" vertical="center"/>
    </xf>
    <xf numFmtId="218" fontId="37" fillId="0" borderId="112">
      <alignment horizontal="left" vertical="center"/>
    </xf>
    <xf numFmtId="218" fontId="37" fillId="0" borderId="112">
      <alignment horizontal="left" vertical="center"/>
    </xf>
    <xf numFmtId="0" fontId="37" fillId="0" borderId="112">
      <alignment horizontal="left" vertical="center"/>
    </xf>
    <xf numFmtId="0" fontId="37" fillId="0" borderId="112">
      <alignment horizontal="left" vertical="center"/>
    </xf>
    <xf numFmtId="0" fontId="3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28" fillId="59" borderId="119" applyNumberFormat="0" applyAlignment="0" applyProtection="0"/>
    <xf numFmtId="0" fontId="128" fillId="59" borderId="119" applyNumberFormat="0" applyAlignment="0" applyProtection="0"/>
    <xf numFmtId="0" fontId="128" fillId="59" borderId="119" applyNumberFormat="0" applyAlignment="0" applyProtection="0"/>
    <xf numFmtId="0" fontId="128" fillId="59" borderId="119" applyNumberFormat="0" applyAlignment="0" applyProtection="0"/>
    <xf numFmtId="0" fontId="128" fillId="59" borderId="119" applyNumberFormat="0" applyAlignment="0" applyProtection="0"/>
    <xf numFmtId="0" fontId="128" fillId="59" borderId="119" applyNumberFormat="0" applyAlignment="0" applyProtection="0"/>
    <xf numFmtId="0" fontId="128" fillId="59" borderId="119" applyNumberFormat="0" applyAlignment="0" applyProtection="0"/>
    <xf numFmtId="0" fontId="128" fillId="59" borderId="119" applyNumberFormat="0" applyAlignment="0" applyProtection="0"/>
    <xf numFmtId="0" fontId="128" fillId="59" borderId="119" applyNumberFormat="0" applyAlignment="0" applyProtection="0"/>
    <xf numFmtId="0" fontId="128" fillId="59" borderId="119" applyNumberFormat="0" applyAlignment="0" applyProtection="0"/>
    <xf numFmtId="179" fontId="9" fillId="0" borderId="0"/>
    <xf numFmtId="43" fontId="6" fillId="0" borderId="0" applyFill="0" applyBorder="0" applyAlignment="0" applyProtection="0"/>
    <xf numFmtId="0" fontId="120" fillId="42" borderId="126" applyNumberFormat="0" applyAlignment="0" applyProtection="0"/>
    <xf numFmtId="0" fontId="120" fillId="42" borderId="126" applyNumberFormat="0" applyAlignment="0" applyProtection="0"/>
    <xf numFmtId="0" fontId="120" fillId="42" borderId="126" applyNumberFormat="0" applyAlignment="0" applyProtection="0"/>
    <xf numFmtId="0" fontId="120" fillId="42" borderId="126" applyNumberFormat="0" applyAlignment="0" applyProtection="0"/>
    <xf numFmtId="0" fontId="120" fillId="42" borderId="126" applyNumberFormat="0" applyAlignment="0" applyProtection="0"/>
    <xf numFmtId="0" fontId="120" fillId="42" borderId="126" applyNumberFormat="0" applyAlignment="0" applyProtection="0"/>
    <xf numFmtId="0" fontId="120" fillId="42" borderId="126" applyNumberFormat="0" applyAlignment="0" applyProtection="0"/>
    <xf numFmtId="0" fontId="120" fillId="42" borderId="126" applyNumberFormat="0" applyAlignment="0" applyProtection="0"/>
    <xf numFmtId="0" fontId="120" fillId="42" borderId="126" applyNumberFormat="0" applyAlignment="0" applyProtection="0"/>
    <xf numFmtId="0" fontId="120" fillId="42" borderId="126" applyNumberFormat="0" applyAlignment="0" applyProtection="0"/>
    <xf numFmtId="9" fontId="6" fillId="0" borderId="0" applyFill="0" applyBorder="0" applyAlignment="0" applyProtection="0"/>
    <xf numFmtId="0" fontId="137" fillId="0" borderId="0" applyNumberForma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</cellStyleXfs>
  <cellXfs count="365">
    <xf numFmtId="0" fontId="0" fillId="0" borderId="0" xfId="0"/>
    <xf numFmtId="0" fontId="87" fillId="0" borderId="0" xfId="0" applyFont="1" applyAlignment="1">
      <alignment vertical="center"/>
    </xf>
    <xf numFmtId="0" fontId="87" fillId="0" borderId="0" xfId="0" applyFont="1" applyAlignment="1">
      <alignment horizontal="center" vertical="center"/>
    </xf>
    <xf numFmtId="167" fontId="87" fillId="0" borderId="0" xfId="0" applyNumberFormat="1" applyFont="1" applyAlignment="1">
      <alignment vertical="center"/>
    </xf>
    <xf numFmtId="0" fontId="89" fillId="0" borderId="0" xfId="0" applyFont="1" applyAlignment="1">
      <alignment vertical="center"/>
    </xf>
    <xf numFmtId="167" fontId="89" fillId="0" borderId="0" xfId="0" applyNumberFormat="1" applyFont="1" applyAlignment="1">
      <alignment vertical="center"/>
    </xf>
    <xf numFmtId="0" fontId="90" fillId="0" borderId="4" xfId="0" applyFont="1" applyBorder="1" applyAlignment="1">
      <alignment horizontal="center" vertical="center"/>
    </xf>
    <xf numFmtId="0" fontId="89" fillId="0" borderId="4" xfId="0" applyFont="1" applyBorder="1" applyAlignment="1">
      <alignment horizontal="center" vertical="center"/>
    </xf>
    <xf numFmtId="0" fontId="90" fillId="48" borderId="4" xfId="0" applyFont="1" applyFill="1" applyBorder="1" applyAlignment="1">
      <alignment horizontal="center" vertical="center"/>
    </xf>
    <xf numFmtId="166" fontId="89" fillId="0" borderId="4" xfId="0" applyNumberFormat="1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89" fillId="0" borderId="0" xfId="1794" applyFont="1"/>
    <xf numFmtId="0" fontId="89" fillId="0" borderId="4" xfId="1794" applyFont="1" applyBorder="1" applyAlignment="1">
      <alignment horizontal="center"/>
    </xf>
    <xf numFmtId="0" fontId="89" fillId="0" borderId="4" xfId="1794" applyFont="1" applyBorder="1" applyAlignment="1">
      <alignment horizontal="center" vertical="center"/>
    </xf>
    <xf numFmtId="0" fontId="6" fillId="0" borderId="0" xfId="1794"/>
    <xf numFmtId="0" fontId="91" fillId="0" borderId="0" xfId="1793" applyFont="1"/>
    <xf numFmtId="0" fontId="89" fillId="0" borderId="0" xfId="0" applyFont="1" applyAlignment="1">
      <alignment horizontal="center" vertical="center"/>
    </xf>
    <xf numFmtId="0" fontId="89" fillId="0" borderId="0" xfId="1794" applyFont="1" applyAlignment="1">
      <alignment horizontal="center" vertical="center"/>
    </xf>
    <xf numFmtId="0" fontId="91" fillId="0" borderId="4" xfId="1793" applyFont="1" applyBorder="1" applyAlignment="1">
      <alignment horizontal="center" vertical="center"/>
    </xf>
    <xf numFmtId="0" fontId="91" fillId="0" borderId="0" xfId="1793" applyFont="1" applyAlignment="1">
      <alignment horizontal="center" vertical="center"/>
    </xf>
    <xf numFmtId="0" fontId="91" fillId="0" borderId="4" xfId="0" applyFont="1" applyBorder="1" applyAlignment="1">
      <alignment horizontal="center" vertical="center"/>
    </xf>
    <xf numFmtId="4" fontId="91" fillId="0" borderId="4" xfId="0" applyNumberFormat="1" applyFont="1" applyBorder="1" applyAlignment="1">
      <alignment horizontal="center" vertical="center"/>
    </xf>
    <xf numFmtId="0" fontId="92" fillId="0" borderId="0" xfId="1792" applyFont="1" applyProtection="1">
      <protection locked="0"/>
    </xf>
    <xf numFmtId="0" fontId="94" fillId="0" borderId="0" xfId="1792" applyFont="1" applyAlignment="1" applyProtection="1">
      <alignment horizontal="center" wrapText="1"/>
      <protection locked="0"/>
    </xf>
    <xf numFmtId="0" fontId="92" fillId="0" borderId="0" xfId="1792" applyFont="1" applyAlignment="1" applyProtection="1">
      <alignment vertical="center"/>
      <protection locked="0"/>
    </xf>
    <xf numFmtId="0" fontId="94" fillId="0" borderId="0" xfId="1792" applyFont="1" applyAlignment="1" applyProtection="1">
      <alignment horizontal="justify" vertical="center" wrapText="1"/>
      <protection locked="0"/>
    </xf>
    <xf numFmtId="0" fontId="96" fillId="0" borderId="0" xfId="1792" applyFont="1" applyAlignment="1" applyProtection="1">
      <alignment vertical="center"/>
      <protection locked="0"/>
    </xf>
    <xf numFmtId="0" fontId="97" fillId="0" borderId="0" xfId="1792" applyFont="1" applyAlignment="1" applyProtection="1">
      <alignment horizontal="justify" vertical="center"/>
      <protection locked="0"/>
    </xf>
    <xf numFmtId="0" fontId="98" fillId="0" borderId="0" xfId="1792" applyFont="1" applyAlignment="1" applyProtection="1">
      <alignment vertical="center"/>
      <protection locked="0"/>
    </xf>
    <xf numFmtId="0" fontId="99" fillId="0" borderId="0" xfId="1792" applyFont="1" applyAlignment="1" applyProtection="1">
      <alignment vertical="center"/>
      <protection locked="0"/>
    </xf>
    <xf numFmtId="0" fontId="94" fillId="0" borderId="0" xfId="1792" applyFont="1" applyAlignment="1" applyProtection="1">
      <alignment horizontal="justify" vertical="center"/>
      <protection locked="0"/>
    </xf>
    <xf numFmtId="0" fontId="100" fillId="0" borderId="0" xfId="1792" applyFont="1" applyAlignment="1" applyProtection="1">
      <alignment vertical="center"/>
      <protection locked="0"/>
    </xf>
    <xf numFmtId="0" fontId="92" fillId="0" borderId="0" xfId="1792" applyFont="1" applyAlignment="1" applyProtection="1">
      <alignment horizontal="center"/>
      <protection locked="0"/>
    </xf>
    <xf numFmtId="0" fontId="92" fillId="0" borderId="0" xfId="1792" applyFont="1" applyAlignment="1" applyProtection="1">
      <alignment horizontal="center" vertical="center"/>
      <protection locked="0"/>
    </xf>
    <xf numFmtId="0" fontId="89" fillId="49" borderId="4" xfId="0" applyFont="1" applyFill="1" applyBorder="1" applyAlignment="1">
      <alignment horizontal="center" vertical="center"/>
    </xf>
    <xf numFmtId="0" fontId="91" fillId="0" borderId="4" xfId="1795" applyFont="1" applyBorder="1" applyAlignment="1">
      <alignment horizontal="center"/>
    </xf>
    <xf numFmtId="15" fontId="89" fillId="0" borderId="0" xfId="1794" applyNumberFormat="1" applyFont="1"/>
    <xf numFmtId="0" fontId="89" fillId="0" borderId="0" xfId="1262" applyFont="1" applyAlignment="1">
      <alignment vertical="center" wrapText="1"/>
    </xf>
    <xf numFmtId="0" fontId="89" fillId="0" borderId="0" xfId="1262" applyFont="1" applyAlignment="1">
      <alignment horizontal="center" vertical="center" wrapText="1"/>
    </xf>
    <xf numFmtId="0" fontId="89" fillId="0" borderId="21" xfId="1262" applyFont="1" applyBorder="1" applyAlignment="1">
      <alignment vertical="center" wrapText="1"/>
    </xf>
    <xf numFmtId="0" fontId="89" fillId="0" borderId="21" xfId="1262" applyFont="1" applyBorder="1" applyAlignment="1">
      <alignment horizontal="center" vertical="center" wrapText="1"/>
    </xf>
    <xf numFmtId="0" fontId="89" fillId="0" borderId="22" xfId="1262" applyFont="1" applyBorder="1" applyAlignment="1">
      <alignment vertical="center" wrapText="1"/>
    </xf>
    <xf numFmtId="0" fontId="89" fillId="0" borderId="23" xfId="1262" applyFont="1" applyBorder="1" applyAlignment="1">
      <alignment vertical="center" wrapText="1"/>
    </xf>
    <xf numFmtId="0" fontId="89" fillId="0" borderId="23" xfId="1262" applyFont="1" applyBorder="1" applyAlignment="1">
      <alignment horizontal="center" vertical="center" wrapText="1"/>
    </xf>
    <xf numFmtId="0" fontId="89" fillId="0" borderId="24" xfId="1262" applyFont="1" applyBorder="1" applyAlignment="1">
      <alignment vertical="center" wrapText="1"/>
    </xf>
    <xf numFmtId="0" fontId="89" fillId="0" borderId="25" xfId="1262" applyFont="1" applyBorder="1" applyAlignment="1">
      <alignment vertical="center" wrapText="1"/>
    </xf>
    <xf numFmtId="0" fontId="89" fillId="0" borderId="25" xfId="1262" applyFont="1" applyBorder="1" applyAlignment="1">
      <alignment horizontal="center" vertical="center" wrapText="1"/>
    </xf>
    <xf numFmtId="0" fontId="89" fillId="0" borderId="26" xfId="1262" applyFont="1" applyBorder="1" applyAlignment="1">
      <alignment vertical="center" wrapText="1"/>
    </xf>
    <xf numFmtId="0" fontId="89" fillId="0" borderId="28" xfId="1262" applyFont="1" applyBorder="1" applyAlignment="1">
      <alignment vertical="center" wrapText="1"/>
    </xf>
    <xf numFmtId="0" fontId="89" fillId="0" borderId="29" xfId="1262" applyFont="1" applyBorder="1" applyAlignment="1">
      <alignment vertical="center" wrapText="1"/>
    </xf>
    <xf numFmtId="0" fontId="89" fillId="0" borderId="29" xfId="1262" applyFont="1" applyBorder="1" applyAlignment="1">
      <alignment horizontal="center" vertical="center" wrapText="1"/>
    </xf>
    <xf numFmtId="0" fontId="89" fillId="0" borderId="30" xfId="1262" applyFont="1" applyBorder="1" applyAlignment="1">
      <alignment vertical="center" wrapText="1"/>
    </xf>
    <xf numFmtId="0" fontId="0" fillId="0" borderId="0" xfId="0" applyAlignment="1">
      <alignment vertical="center"/>
    </xf>
    <xf numFmtId="49" fontId="104" fillId="0" borderId="44" xfId="0" applyNumberFormat="1" applyFont="1" applyBorder="1" applyAlignment="1">
      <alignment vertical="center"/>
    </xf>
    <xf numFmtId="0" fontId="104" fillId="0" borderId="44" xfId="0" applyFont="1" applyBorder="1" applyAlignment="1">
      <alignment vertical="center"/>
    </xf>
    <xf numFmtId="0" fontId="89" fillId="0" borderId="44" xfId="0" applyFont="1" applyBorder="1" applyAlignment="1">
      <alignment vertical="center"/>
    </xf>
    <xf numFmtId="0" fontId="89" fillId="0" borderId="45" xfId="0" applyFont="1" applyBorder="1" applyAlignment="1">
      <alignment vertical="center"/>
    </xf>
    <xf numFmtId="49" fontId="104" fillId="0" borderId="0" xfId="0" applyNumberFormat="1" applyFont="1" applyAlignment="1">
      <alignment vertical="center"/>
    </xf>
    <xf numFmtId="0" fontId="104" fillId="0" borderId="0" xfId="0" applyFont="1" applyAlignment="1">
      <alignment vertical="center"/>
    </xf>
    <xf numFmtId="0" fontId="89" fillId="0" borderId="46" xfId="0" applyFont="1" applyBorder="1" applyAlignment="1">
      <alignment vertical="center"/>
    </xf>
    <xf numFmtId="15" fontId="104" fillId="0" borderId="48" xfId="0" applyNumberFormat="1" applyFont="1" applyBorder="1" applyAlignment="1">
      <alignment horizontal="left" vertical="center"/>
    </xf>
    <xf numFmtId="0" fontId="89" fillId="0" borderId="48" xfId="0" applyFont="1" applyBorder="1" applyAlignment="1">
      <alignment vertical="center"/>
    </xf>
    <xf numFmtId="0" fontId="104" fillId="0" borderId="49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89" fillId="0" borderId="42" xfId="0" applyFont="1" applyBorder="1" applyAlignment="1">
      <alignment vertical="center"/>
    </xf>
    <xf numFmtId="0" fontId="90" fillId="0" borderId="42" xfId="0" applyFont="1" applyBorder="1" applyAlignment="1">
      <alignment horizontal="center" vertical="center"/>
    </xf>
    <xf numFmtId="0" fontId="90" fillId="0" borderId="0" xfId="0" applyFont="1" applyAlignment="1">
      <alignment vertical="center"/>
    </xf>
    <xf numFmtId="0" fontId="90" fillId="0" borderId="53" xfId="0" applyFont="1" applyBorder="1" applyAlignment="1">
      <alignment horizontal="center" vertical="center"/>
    </xf>
    <xf numFmtId="0" fontId="89" fillId="0" borderId="53" xfId="0" applyFont="1" applyBorder="1" applyAlignment="1">
      <alignment horizontal="center" vertical="center"/>
    </xf>
    <xf numFmtId="0" fontId="87" fillId="0" borderId="54" xfId="0" applyFont="1" applyBorder="1" applyAlignment="1">
      <alignment vertical="center"/>
    </xf>
    <xf numFmtId="0" fontId="90" fillId="48" borderId="58" xfId="0" applyFont="1" applyFill="1" applyBorder="1" applyAlignment="1">
      <alignment horizontal="center" vertical="center"/>
    </xf>
    <xf numFmtId="166" fontId="89" fillId="0" borderId="58" xfId="0" applyNumberFormat="1" applyFont="1" applyBorder="1" applyAlignment="1">
      <alignment horizontal="center" vertical="center"/>
    </xf>
    <xf numFmtId="0" fontId="89" fillId="0" borderId="58" xfId="0" applyFont="1" applyBorder="1" applyAlignment="1">
      <alignment horizontal="center" vertical="center"/>
    </xf>
    <xf numFmtId="0" fontId="91" fillId="0" borderId="53" xfId="1795" applyFont="1" applyBorder="1" applyAlignment="1">
      <alignment horizontal="center"/>
    </xf>
    <xf numFmtId="0" fontId="91" fillId="0" borderId="0" xfId="1795" applyFont="1"/>
    <xf numFmtId="0" fontId="89" fillId="0" borderId="42" xfId="1794" applyFont="1" applyBorder="1"/>
    <xf numFmtId="0" fontId="6" fillId="0" borderId="42" xfId="1794" applyBorder="1"/>
    <xf numFmtId="0" fontId="6" fillId="0" borderId="54" xfId="1794" applyBorder="1"/>
    <xf numFmtId="0" fontId="89" fillId="0" borderId="54" xfId="0" applyFont="1" applyBorder="1" applyAlignment="1">
      <alignment vertical="center"/>
    </xf>
    <xf numFmtId="0" fontId="91" fillId="0" borderId="42" xfId="1793" applyFont="1" applyBorder="1"/>
    <xf numFmtId="0" fontId="91" fillId="0" borderId="42" xfId="1793" applyFont="1" applyBorder="1" applyAlignment="1">
      <alignment horizontal="center" vertical="center"/>
    </xf>
    <xf numFmtId="211" fontId="90" fillId="0" borderId="42" xfId="0" applyNumberFormat="1" applyFont="1" applyBorder="1" applyAlignment="1">
      <alignment horizontal="left" vertical="center"/>
    </xf>
    <xf numFmtId="211" fontId="90" fillId="0" borderId="0" xfId="0" applyNumberFormat="1" applyFont="1" applyAlignment="1">
      <alignment horizontal="left" vertical="center"/>
    </xf>
    <xf numFmtId="0" fontId="90" fillId="0" borderId="41" xfId="0" applyFont="1" applyBorder="1" applyAlignment="1">
      <alignment horizontal="center" vertical="center"/>
    </xf>
    <xf numFmtId="0" fontId="104" fillId="0" borderId="48" xfId="0" applyFont="1" applyBorder="1" applyAlignment="1">
      <alignment horizontal="right" vertical="center"/>
    </xf>
    <xf numFmtId="2" fontId="89" fillId="0" borderId="4" xfId="0" applyNumberFormat="1" applyFont="1" applyBorder="1" applyAlignment="1">
      <alignment horizontal="center" vertical="center"/>
    </xf>
    <xf numFmtId="0" fontId="89" fillId="0" borderId="41" xfId="0" applyFont="1" applyBorder="1" applyAlignment="1">
      <alignment horizontal="center" vertical="center"/>
    </xf>
    <xf numFmtId="2" fontId="89" fillId="0" borderId="60" xfId="0" applyNumberFormat="1" applyFont="1" applyBorder="1" applyAlignment="1">
      <alignment horizontal="center" vertical="center"/>
    </xf>
    <xf numFmtId="2" fontId="89" fillId="0" borderId="61" xfId="0" applyNumberFormat="1" applyFont="1" applyBorder="1" applyAlignment="1">
      <alignment horizontal="center" vertical="center"/>
    </xf>
    <xf numFmtId="2" fontId="89" fillId="0" borderId="18" xfId="0" applyNumberFormat="1" applyFont="1" applyBorder="1" applyAlignment="1">
      <alignment horizontal="center" vertical="center"/>
    </xf>
    <xf numFmtId="2" fontId="89" fillId="0" borderId="62" xfId="0" applyNumberFormat="1" applyFont="1" applyBorder="1" applyAlignment="1">
      <alignment horizontal="center" vertical="center"/>
    </xf>
    <xf numFmtId="2" fontId="89" fillId="0" borderId="41" xfId="0" applyNumberFormat="1" applyFont="1" applyBorder="1" applyAlignment="1">
      <alignment horizontal="center" vertical="center"/>
    </xf>
    <xf numFmtId="0" fontId="87" fillId="0" borderId="4" xfId="0" applyFont="1" applyBorder="1" applyAlignment="1">
      <alignment vertical="center"/>
    </xf>
    <xf numFmtId="0" fontId="89" fillId="0" borderId="18" xfId="0" applyFont="1" applyBorder="1" applyAlignment="1">
      <alignment vertical="center"/>
    </xf>
    <xf numFmtId="0" fontId="87" fillId="0" borderId="60" xfId="0" applyFont="1" applyBorder="1" applyAlignment="1">
      <alignment vertical="center"/>
    </xf>
    <xf numFmtId="0" fontId="87" fillId="0" borderId="46" xfId="0" applyFont="1" applyBorder="1" applyAlignment="1">
      <alignment vertical="center"/>
    </xf>
    <xf numFmtId="0" fontId="87" fillId="0" borderId="11" xfId="0" applyFont="1" applyBorder="1" applyAlignment="1">
      <alignment vertical="center"/>
    </xf>
    <xf numFmtId="0" fontId="87" fillId="0" borderId="59" xfId="0" applyFont="1" applyBorder="1" applyAlignment="1">
      <alignment vertical="center"/>
    </xf>
    <xf numFmtId="0" fontId="9" fillId="0" borderId="4" xfId="1795" applyBorder="1"/>
    <xf numFmtId="0" fontId="9" fillId="0" borderId="60" xfId="1795" applyBorder="1"/>
    <xf numFmtId="0" fontId="9" fillId="0" borderId="0" xfId="1795"/>
    <xf numFmtId="0" fontId="9" fillId="0" borderId="53" xfId="1795" applyBorder="1"/>
    <xf numFmtId="0" fontId="9" fillId="0" borderId="46" xfId="1795" applyBorder="1"/>
    <xf numFmtId="0" fontId="9" fillId="0" borderId="61" xfId="1795" applyBorder="1"/>
    <xf numFmtId="0" fontId="89" fillId="0" borderId="60" xfId="0" applyFont="1" applyBorder="1" applyAlignment="1">
      <alignment horizontal="center" vertical="center"/>
    </xf>
    <xf numFmtId="0" fontId="89" fillId="0" borderId="61" xfId="0" applyFont="1" applyBorder="1" applyAlignment="1">
      <alignment horizontal="center" vertical="center"/>
    </xf>
    <xf numFmtId="0" fontId="89" fillId="0" borderId="18" xfId="0" applyFont="1" applyBorder="1" applyAlignment="1">
      <alignment horizontal="center" vertical="center"/>
    </xf>
    <xf numFmtId="0" fontId="89" fillId="0" borderId="62" xfId="0" applyFont="1" applyBorder="1" applyAlignment="1">
      <alignment horizontal="center" vertical="center"/>
    </xf>
    <xf numFmtId="0" fontId="9" fillId="0" borderId="0" xfId="1793" applyAlignment="1">
      <alignment vertical="center"/>
    </xf>
    <xf numFmtId="0" fontId="91" fillId="0" borderId="41" xfId="1793" applyFont="1" applyBorder="1" applyAlignment="1">
      <alignment horizontal="center" vertical="center"/>
    </xf>
    <xf numFmtId="0" fontId="9" fillId="0" borderId="4" xfId="1793" applyBorder="1" applyAlignment="1">
      <alignment vertical="center"/>
    </xf>
    <xf numFmtId="0" fontId="9" fillId="0" borderId="60" xfId="1793" applyBorder="1" applyAlignment="1">
      <alignment vertical="center"/>
    </xf>
    <xf numFmtId="0" fontId="9" fillId="0" borderId="46" xfId="1793" applyBorder="1" applyAlignment="1">
      <alignment vertical="center"/>
    </xf>
    <xf numFmtId="0" fontId="89" fillId="0" borderId="11" xfId="0" applyFont="1" applyBorder="1" applyAlignment="1">
      <alignment horizontal="center" vertical="center"/>
    </xf>
    <xf numFmtId="3" fontId="89" fillId="0" borderId="53" xfId="2057" applyNumberFormat="1" applyFont="1" applyFill="1" applyBorder="1" applyAlignment="1">
      <alignment horizontal="center" vertical="center"/>
    </xf>
    <xf numFmtId="3" fontId="91" fillId="0" borderId="41" xfId="691" applyNumberFormat="1" applyFont="1" applyBorder="1" applyAlignment="1">
      <alignment horizontal="center"/>
    </xf>
    <xf numFmtId="3" fontId="89" fillId="0" borderId="4" xfId="0" applyNumberFormat="1" applyFont="1" applyBorder="1" applyAlignment="1">
      <alignment horizontal="center" vertical="center"/>
    </xf>
    <xf numFmtId="3" fontId="89" fillId="0" borderId="53" xfId="691" applyNumberFormat="1" applyFont="1" applyFill="1" applyBorder="1" applyAlignment="1">
      <alignment horizontal="center" vertical="center"/>
    </xf>
    <xf numFmtId="0" fontId="89" fillId="0" borderId="64" xfId="1262" applyFont="1" applyBorder="1" applyAlignment="1">
      <alignment vertical="center" wrapText="1"/>
    </xf>
    <xf numFmtId="0" fontId="89" fillId="0" borderId="64" xfId="1262" applyFont="1" applyBorder="1" applyAlignment="1">
      <alignment horizontal="center" vertical="center" wrapText="1"/>
    </xf>
    <xf numFmtId="0" fontId="89" fillId="0" borderId="65" xfId="1262" applyFont="1" applyBorder="1" applyAlignment="1">
      <alignment vertical="center" wrapText="1"/>
    </xf>
    <xf numFmtId="0" fontId="89" fillId="0" borderId="0" xfId="1262" applyFont="1" applyAlignment="1">
      <alignment vertical="center"/>
    </xf>
    <xf numFmtId="0" fontId="90" fillId="50" borderId="27" xfId="1262" applyFont="1" applyFill="1" applyBorder="1" applyAlignment="1">
      <alignment horizontal="center" vertical="center" wrapText="1"/>
    </xf>
    <xf numFmtId="0" fontId="89" fillId="0" borderId="0" xfId="1262" applyFont="1" applyAlignment="1">
      <alignment horizontal="right" vertical="center"/>
    </xf>
    <xf numFmtId="0" fontId="89" fillId="0" borderId="29" xfId="1262" applyFont="1" applyBorder="1" applyAlignment="1">
      <alignment vertical="center"/>
    </xf>
    <xf numFmtId="0" fontId="89" fillId="0" borderId="73" xfId="1262" applyFont="1" applyBorder="1" applyAlignment="1">
      <alignment vertical="center" wrapText="1"/>
    </xf>
    <xf numFmtId="0" fontId="89" fillId="0" borderId="73" xfId="1262" applyFont="1" applyBorder="1" applyAlignment="1">
      <alignment horizontal="center" vertical="center" wrapText="1"/>
    </xf>
    <xf numFmtId="0" fontId="89" fillId="0" borderId="74" xfId="1262" applyFont="1" applyBorder="1" applyAlignment="1">
      <alignment vertical="center" wrapText="1"/>
    </xf>
    <xf numFmtId="0" fontId="90" fillId="0" borderId="20" xfId="1262" applyFont="1" applyBorder="1" applyAlignment="1">
      <alignment horizontal="center" vertical="center" wrapText="1"/>
    </xf>
    <xf numFmtId="9" fontId="89" fillId="0" borderId="4" xfId="691" applyNumberFormat="1" applyFont="1" applyFill="1" applyBorder="1" applyAlignment="1">
      <alignment horizontal="center" vertical="center"/>
    </xf>
    <xf numFmtId="37" fontId="89" fillId="0" borderId="53" xfId="691" applyNumberFormat="1" applyFont="1" applyFill="1" applyBorder="1" applyAlignment="1">
      <alignment horizontal="center" vertical="center"/>
    </xf>
    <xf numFmtId="37" fontId="89" fillId="0" borderId="4" xfId="691" applyNumberFormat="1" applyFont="1" applyFill="1" applyBorder="1" applyAlignment="1">
      <alignment horizontal="center" vertical="center"/>
    </xf>
    <xf numFmtId="0" fontId="89" fillId="0" borderId="67" xfId="1262" applyFont="1" applyBorder="1" applyAlignment="1">
      <alignment vertical="center" wrapText="1"/>
    </xf>
    <xf numFmtId="0" fontId="89" fillId="0" borderId="75" xfId="1262" applyFont="1" applyBorder="1" applyAlignment="1">
      <alignment vertical="center" wrapText="1"/>
    </xf>
    <xf numFmtId="37" fontId="91" fillId="0" borderId="41" xfId="691" applyNumberFormat="1" applyFont="1" applyBorder="1" applyAlignment="1">
      <alignment horizontal="center" vertical="center"/>
    </xf>
    <xf numFmtId="3" fontId="91" fillId="0" borderId="41" xfId="691" applyNumberFormat="1" applyFont="1" applyBorder="1" applyAlignment="1">
      <alignment horizontal="center" vertical="center"/>
    </xf>
    <xf numFmtId="3" fontId="89" fillId="0" borderId="4" xfId="1794" applyNumberFormat="1" applyFont="1" applyBorder="1" applyAlignment="1">
      <alignment horizontal="center" vertical="center"/>
    </xf>
    <xf numFmtId="0" fontId="91" fillId="0" borderId="4" xfId="1795" applyFont="1" applyBorder="1" applyAlignment="1">
      <alignment horizontal="center" vertical="center"/>
    </xf>
    <xf numFmtId="0" fontId="91" fillId="0" borderId="41" xfId="1795" applyFont="1" applyBorder="1" applyAlignment="1">
      <alignment horizontal="center" vertical="center"/>
    </xf>
    <xf numFmtId="0" fontId="91" fillId="0" borderId="42" xfId="1795" applyFont="1" applyBorder="1" applyAlignment="1">
      <alignment vertical="center"/>
    </xf>
    <xf numFmtId="0" fontId="91" fillId="0" borderId="0" xfId="1795" applyFont="1" applyAlignment="1">
      <alignment vertical="center"/>
    </xf>
    <xf numFmtId="0" fontId="9" fillId="0" borderId="4" xfId="1795" applyBorder="1" applyAlignment="1">
      <alignment vertical="center"/>
    </xf>
    <xf numFmtId="0" fontId="9" fillId="0" borderId="53" xfId="1795" applyBorder="1" applyAlignment="1">
      <alignment vertical="center"/>
    </xf>
    <xf numFmtId="0" fontId="9" fillId="0" borderId="60" xfId="1795" applyBorder="1" applyAlignment="1">
      <alignment vertical="center"/>
    </xf>
    <xf numFmtId="0" fontId="9" fillId="0" borderId="0" xfId="1795" applyAlignment="1">
      <alignment vertical="center"/>
    </xf>
    <xf numFmtId="0" fontId="9" fillId="0" borderId="46" xfId="1795" applyBorder="1" applyAlignment="1">
      <alignment vertical="center"/>
    </xf>
    <xf numFmtId="0" fontId="101" fillId="0" borderId="42" xfId="1795" applyFont="1" applyBorder="1" applyAlignment="1">
      <alignment horizontal="center" vertical="center"/>
    </xf>
    <xf numFmtId="0" fontId="91" fillId="0" borderId="4" xfId="1795" quotePrefix="1" applyFont="1" applyBorder="1" applyAlignment="1">
      <alignment horizontal="center" vertical="center"/>
    </xf>
    <xf numFmtId="0" fontId="91" fillId="0" borderId="0" xfId="1795" applyFont="1" applyAlignment="1">
      <alignment horizontal="center" vertical="center"/>
    </xf>
    <xf numFmtId="0" fontId="9" fillId="0" borderId="0" xfId="1795" applyAlignment="1">
      <alignment horizontal="center" vertical="center"/>
    </xf>
    <xf numFmtId="166" fontId="91" fillId="0" borderId="4" xfId="1795" applyNumberFormat="1" applyFont="1" applyBorder="1" applyAlignment="1">
      <alignment horizontal="center" vertical="center"/>
    </xf>
    <xf numFmtId="37" fontId="91" fillId="0" borderId="41" xfId="691" applyNumberFormat="1" applyFont="1" applyFill="1" applyBorder="1" applyAlignment="1">
      <alignment horizontal="center" vertical="center"/>
    </xf>
    <xf numFmtId="0" fontId="91" fillId="0" borderId="0" xfId="1793" applyFont="1" applyAlignment="1">
      <alignment vertical="center"/>
    </xf>
    <xf numFmtId="0" fontId="91" fillId="0" borderId="42" xfId="1793" applyFont="1" applyBorder="1" applyAlignment="1">
      <alignment vertical="center"/>
    </xf>
    <xf numFmtId="1" fontId="91" fillId="0" borderId="4" xfId="1793" applyNumberFormat="1" applyFont="1" applyBorder="1" applyAlignment="1">
      <alignment horizontal="center" vertical="center"/>
    </xf>
    <xf numFmtId="15" fontId="91" fillId="0" borderId="0" xfId="1793" applyNumberFormat="1" applyFont="1" applyAlignment="1">
      <alignment vertical="center"/>
    </xf>
    <xf numFmtId="0" fontId="89" fillId="0" borderId="60" xfId="1794" applyFont="1" applyBorder="1" applyAlignment="1">
      <alignment vertical="center"/>
    </xf>
    <xf numFmtId="0" fontId="89" fillId="0" borderId="61" xfId="1794" applyFont="1" applyBorder="1" applyAlignment="1">
      <alignment vertical="center"/>
    </xf>
    <xf numFmtId="0" fontId="89" fillId="0" borderId="42" xfId="1794" applyFont="1" applyBorder="1" applyAlignment="1">
      <alignment vertical="center"/>
    </xf>
    <xf numFmtId="0" fontId="89" fillId="0" borderId="0" xfId="1794" applyFont="1" applyAlignment="1">
      <alignment vertical="center"/>
    </xf>
    <xf numFmtId="0" fontId="102" fillId="0" borderId="0" xfId="1793" applyFont="1" applyAlignment="1">
      <alignment vertical="center"/>
    </xf>
    <xf numFmtId="211" fontId="90" fillId="0" borderId="51" xfId="1262" applyNumberFormat="1" applyFont="1" applyBorder="1" applyAlignment="1">
      <alignment vertical="center" wrapText="1"/>
    </xf>
    <xf numFmtId="213" fontId="90" fillId="0" borderId="52" xfId="1262" applyNumberFormat="1" applyFont="1" applyBorder="1" applyAlignment="1">
      <alignment vertical="center" wrapText="1"/>
    </xf>
    <xf numFmtId="211" fontId="90" fillId="0" borderId="0" xfId="1262" applyNumberFormat="1" applyFont="1" applyAlignment="1">
      <alignment vertical="center" wrapText="1"/>
    </xf>
    <xf numFmtId="213" fontId="90" fillId="0" borderId="46" xfId="1262" applyNumberFormat="1" applyFont="1" applyBorder="1" applyAlignment="1">
      <alignment vertical="center" wrapText="1"/>
    </xf>
    <xf numFmtId="211" fontId="90" fillId="0" borderId="11" xfId="0" applyNumberFormat="1" applyFont="1" applyBorder="1" applyAlignment="1">
      <alignment vertical="center" wrapText="1"/>
    </xf>
    <xf numFmtId="201" fontId="89" fillId="0" borderId="4" xfId="1796" applyNumberFormat="1" applyFont="1" applyBorder="1" applyAlignment="1">
      <alignment horizontal="center" vertical="center"/>
    </xf>
    <xf numFmtId="0" fontId="91" fillId="0" borderId="19" xfId="1793" applyFont="1" applyBorder="1" applyAlignment="1">
      <alignment horizontal="center" vertical="center"/>
    </xf>
    <xf numFmtId="0" fontId="102" fillId="0" borderId="4" xfId="1793" applyFont="1" applyBorder="1" applyAlignment="1">
      <alignment vertical="center"/>
    </xf>
    <xf numFmtId="0" fontId="102" fillId="0" borderId="60" xfId="1793" applyFont="1" applyBorder="1" applyAlignment="1">
      <alignment vertical="center"/>
    </xf>
    <xf numFmtId="0" fontId="102" fillId="0" borderId="46" xfId="1793" applyFont="1" applyBorder="1" applyAlignment="1">
      <alignment vertical="center"/>
    </xf>
    <xf numFmtId="0" fontId="89" fillId="51" borderId="4" xfId="0" applyFont="1" applyFill="1" applyBorder="1" applyAlignment="1">
      <alignment horizontal="center" vertical="center"/>
    </xf>
    <xf numFmtId="0" fontId="91" fillId="51" borderId="41" xfId="1795" applyFont="1" applyFill="1" applyBorder="1" applyAlignment="1">
      <alignment horizontal="center"/>
    </xf>
    <xf numFmtId="0" fontId="91" fillId="51" borderId="4" xfId="1795" quotePrefix="1" applyFont="1" applyFill="1" applyBorder="1" applyAlignment="1">
      <alignment horizontal="center" vertical="center"/>
    </xf>
    <xf numFmtId="0" fontId="91" fillId="51" borderId="4" xfId="1795" applyFont="1" applyFill="1" applyBorder="1" applyAlignment="1">
      <alignment horizontal="center" vertical="center"/>
    </xf>
    <xf numFmtId="0" fontId="89" fillId="52" borderId="4" xfId="0" applyFont="1" applyFill="1" applyBorder="1" applyAlignment="1">
      <alignment horizontal="center" vertical="center"/>
    </xf>
    <xf numFmtId="166" fontId="91" fillId="51" borderId="4" xfId="1795" applyNumberFormat="1" applyFont="1" applyFill="1" applyBorder="1" applyAlignment="1">
      <alignment horizontal="center"/>
    </xf>
    <xf numFmtId="0" fontId="89" fillId="0" borderId="76" xfId="0" applyFont="1" applyBorder="1" applyAlignment="1">
      <alignment horizontal="center" vertical="center"/>
    </xf>
    <xf numFmtId="0" fontId="91" fillId="0" borderId="4" xfId="1793" applyFont="1" applyBorder="1" applyAlignment="1">
      <alignment horizontal="center"/>
    </xf>
    <xf numFmtId="0" fontId="90" fillId="48" borderId="20" xfId="0" applyFont="1" applyFill="1" applyBorder="1" applyAlignment="1">
      <alignment horizontal="center" vertical="center"/>
    </xf>
    <xf numFmtId="166" fontId="89" fillId="0" borderId="20" xfId="0" applyNumberFormat="1" applyFont="1" applyBorder="1" applyAlignment="1">
      <alignment horizontal="center" vertical="center"/>
    </xf>
    <xf numFmtId="0" fontId="89" fillId="0" borderId="20" xfId="0" applyFont="1" applyBorder="1" applyAlignment="1">
      <alignment horizontal="center" vertical="center"/>
    </xf>
    <xf numFmtId="0" fontId="90" fillId="0" borderId="78" xfId="0" applyFont="1" applyBorder="1" applyAlignment="1">
      <alignment horizontal="center" vertical="center"/>
    </xf>
    <xf numFmtId="0" fontId="90" fillId="0" borderId="76" xfId="0" applyFont="1" applyBorder="1" applyAlignment="1">
      <alignment horizontal="center" vertical="center"/>
    </xf>
    <xf numFmtId="0" fontId="90" fillId="0" borderId="79" xfId="0" applyFont="1" applyBorder="1" applyAlignment="1">
      <alignment horizontal="center" vertical="center"/>
    </xf>
    <xf numFmtId="0" fontId="89" fillId="0" borderId="67" xfId="1262" applyFont="1" applyBorder="1" applyAlignment="1">
      <alignment horizontal="center" vertical="center" wrapText="1"/>
    </xf>
    <xf numFmtId="9" fontId="89" fillId="0" borderId="0" xfId="691" applyNumberFormat="1" applyFont="1" applyFill="1" applyBorder="1" applyAlignment="1">
      <alignment horizontal="center" vertical="center"/>
    </xf>
    <xf numFmtId="166" fontId="112" fillId="0" borderId="4" xfId="1795" applyNumberFormat="1" applyFont="1" applyBorder="1" applyAlignment="1">
      <alignment horizontal="center" vertical="center"/>
    </xf>
    <xf numFmtId="0" fontId="91" fillId="0" borderId="4" xfId="1793" applyFont="1" applyBorder="1" applyAlignment="1">
      <alignment horizontal="center" wrapText="1"/>
    </xf>
    <xf numFmtId="0" fontId="91" fillId="53" borderId="4" xfId="1793" applyFont="1" applyFill="1" applyBorder="1" applyAlignment="1">
      <alignment horizontal="center" vertical="center"/>
    </xf>
    <xf numFmtId="1" fontId="91" fillId="53" borderId="4" xfId="1793" applyNumberFormat="1" applyFont="1" applyFill="1" applyBorder="1" applyAlignment="1">
      <alignment horizontal="center" vertical="center"/>
    </xf>
    <xf numFmtId="0" fontId="91" fillId="53" borderId="41" xfId="1793" applyFont="1" applyFill="1" applyBorder="1" applyAlignment="1">
      <alignment horizontal="center" vertical="center"/>
    </xf>
    <xf numFmtId="37" fontId="91" fillId="53" borderId="41" xfId="691" applyNumberFormat="1" applyFont="1" applyFill="1" applyBorder="1" applyAlignment="1">
      <alignment horizontal="center" vertical="center"/>
    </xf>
    <xf numFmtId="9" fontId="89" fillId="53" borderId="4" xfId="691" applyNumberFormat="1" applyFont="1" applyFill="1" applyBorder="1" applyAlignment="1">
      <alignment horizontal="center" vertical="center"/>
    </xf>
    <xf numFmtId="3" fontId="89" fillId="53" borderId="53" xfId="691" applyNumberFormat="1" applyFont="1" applyFill="1" applyBorder="1" applyAlignment="1">
      <alignment horizontal="center" vertical="center"/>
    </xf>
    <xf numFmtId="0" fontId="89" fillId="0" borderId="80" xfId="1262" applyFont="1" applyBorder="1" applyAlignment="1">
      <alignment horizontal="center" vertical="center" wrapText="1"/>
    </xf>
    <xf numFmtId="0" fontId="90" fillId="0" borderId="69" xfId="1262" applyFont="1" applyBorder="1" applyAlignment="1">
      <alignment horizontal="center" vertical="center" wrapText="1"/>
    </xf>
    <xf numFmtId="0" fontId="89" fillId="0" borderId="81" xfId="1262" applyFont="1" applyBorder="1" applyAlignment="1">
      <alignment vertical="center" wrapText="1"/>
    </xf>
    <xf numFmtId="0" fontId="90" fillId="50" borderId="67" xfId="1262" applyFont="1" applyFill="1" applyBorder="1" applyAlignment="1">
      <alignment horizontal="center" vertical="center" wrapText="1"/>
    </xf>
    <xf numFmtId="0" fontId="89" fillId="0" borderId="88" xfId="0" applyFont="1" applyBorder="1" applyAlignment="1">
      <alignment horizontal="center" vertical="center"/>
    </xf>
    <xf numFmtId="3" fontId="89" fillId="0" borderId="0" xfId="691" applyNumberFormat="1" applyFont="1" applyFill="1" applyBorder="1" applyAlignment="1">
      <alignment horizontal="center" vertical="center"/>
    </xf>
    <xf numFmtId="4" fontId="91" fillId="0" borderId="93" xfId="0" applyNumberFormat="1" applyFont="1" applyBorder="1" applyAlignment="1">
      <alignment horizontal="center" vertical="center"/>
    </xf>
    <xf numFmtId="0" fontId="89" fillId="0" borderId="91" xfId="0" applyFont="1" applyBorder="1" applyAlignment="1">
      <alignment horizontal="center" vertical="center"/>
    </xf>
    <xf numFmtId="0" fontId="91" fillId="0" borderId="93" xfId="1793" applyFont="1" applyBorder="1" applyAlignment="1">
      <alignment horizontal="center"/>
    </xf>
    <xf numFmtId="201" fontId="89" fillId="0" borderId="93" xfId="1796" applyNumberFormat="1" applyFont="1" applyBorder="1" applyAlignment="1">
      <alignment horizontal="center" vertical="center"/>
    </xf>
    <xf numFmtId="3" fontId="89" fillId="0" borderId="90" xfId="691" applyNumberFormat="1" applyFont="1" applyFill="1" applyBorder="1" applyAlignment="1">
      <alignment horizontal="center" vertical="center"/>
    </xf>
    <xf numFmtId="9" fontId="89" fillId="0" borderId="93" xfId="691" applyNumberFormat="1" applyFont="1" applyFill="1" applyBorder="1" applyAlignment="1">
      <alignment horizontal="center" vertical="center"/>
    </xf>
    <xf numFmtId="3" fontId="89" fillId="0" borderId="93" xfId="0" applyNumberFormat="1" applyFont="1" applyBorder="1" applyAlignment="1">
      <alignment horizontal="center" vertical="center"/>
    </xf>
    <xf numFmtId="3" fontId="91" fillId="0" borderId="91" xfId="691" applyNumberFormat="1" applyFont="1" applyBorder="1" applyAlignment="1">
      <alignment horizontal="center" vertical="center"/>
    </xf>
    <xf numFmtId="0" fontId="91" fillId="0" borderId="93" xfId="1793" applyFont="1" applyBorder="1" applyAlignment="1">
      <alignment horizontal="center" vertical="center"/>
    </xf>
    <xf numFmtId="0" fontId="89" fillId="0" borderId="93" xfId="0" applyFont="1" applyBorder="1" applyAlignment="1">
      <alignment horizontal="center" vertical="center"/>
    </xf>
    <xf numFmtId="0" fontId="89" fillId="0" borderId="94" xfId="0" applyFont="1" applyBorder="1" applyAlignment="1">
      <alignment horizontal="center" vertical="center"/>
    </xf>
    <xf numFmtId="49" fontId="104" fillId="0" borderId="86" xfId="0" applyNumberFormat="1" applyFont="1" applyBorder="1" applyAlignment="1">
      <alignment vertical="center"/>
    </xf>
    <xf numFmtId="0" fontId="104" fillId="0" borderId="86" xfId="0" applyFont="1" applyBorder="1" applyAlignment="1">
      <alignment vertical="center"/>
    </xf>
    <xf numFmtId="0" fontId="89" fillId="0" borderId="86" xfId="0" applyFont="1" applyBorder="1" applyAlignment="1">
      <alignment vertical="center"/>
    </xf>
    <xf numFmtId="0" fontId="89" fillId="0" borderId="96" xfId="0" applyFont="1" applyBorder="1" applyAlignment="1">
      <alignment vertical="center"/>
    </xf>
    <xf numFmtId="0" fontId="90" fillId="0" borderId="93" xfId="0" applyFont="1" applyBorder="1" applyAlignment="1">
      <alignment horizontal="center" vertical="center"/>
    </xf>
    <xf numFmtId="0" fontId="90" fillId="0" borderId="91" xfId="0" applyFont="1" applyBorder="1" applyAlignment="1">
      <alignment horizontal="center" vertical="center"/>
    </xf>
    <xf numFmtId="0" fontId="90" fillId="0" borderId="90" xfId="0" applyFont="1" applyBorder="1" applyAlignment="1">
      <alignment horizontal="center" vertical="center"/>
    </xf>
    <xf numFmtId="1" fontId="91" fillId="0" borderId="93" xfId="1793" applyNumberFormat="1" applyFont="1" applyBorder="1" applyAlignment="1">
      <alignment horizontal="center" vertical="center"/>
    </xf>
    <xf numFmtId="0" fontId="91" fillId="0" borderId="91" xfId="1793" applyFont="1" applyBorder="1" applyAlignment="1">
      <alignment horizontal="center" vertical="center"/>
    </xf>
    <xf numFmtId="37" fontId="91" fillId="0" borderId="91" xfId="691" applyNumberFormat="1" applyFont="1" applyBorder="1" applyAlignment="1">
      <alignment horizontal="center" vertical="center"/>
    </xf>
    <xf numFmtId="37" fontId="91" fillId="0" borderId="91" xfId="691" applyNumberFormat="1" applyFont="1" applyFill="1" applyBorder="1" applyAlignment="1">
      <alignment horizontal="center" vertical="center"/>
    </xf>
    <xf numFmtId="0" fontId="90" fillId="48" borderId="93" xfId="0" applyFont="1" applyFill="1" applyBorder="1" applyAlignment="1">
      <alignment horizontal="center" vertical="center"/>
    </xf>
    <xf numFmtId="166" fontId="89" fillId="0" borderId="93" xfId="0" applyNumberFormat="1" applyFont="1" applyBorder="1" applyAlignment="1">
      <alignment horizontal="center" vertical="center"/>
    </xf>
    <xf numFmtId="0" fontId="89" fillId="0" borderId="99" xfId="1794" applyFont="1" applyBorder="1" applyAlignment="1">
      <alignment vertical="center"/>
    </xf>
    <xf numFmtId="0" fontId="89" fillId="0" borderId="100" xfId="1794" applyFont="1" applyBorder="1" applyAlignment="1">
      <alignment vertical="center"/>
    </xf>
    <xf numFmtId="0" fontId="91" fillId="0" borderId="93" xfId="0" applyFont="1" applyBorder="1" applyAlignment="1">
      <alignment horizontal="center" vertical="center"/>
    </xf>
    <xf numFmtId="0" fontId="9" fillId="0" borderId="93" xfId="1793" applyBorder="1" applyAlignment="1">
      <alignment vertical="center"/>
    </xf>
    <xf numFmtId="0" fontId="9" fillId="0" borderId="90" xfId="1793" applyBorder="1" applyAlignment="1">
      <alignment vertical="center"/>
    </xf>
    <xf numFmtId="0" fontId="9" fillId="0" borderId="99" xfId="1793" applyBorder="1" applyAlignment="1">
      <alignment vertical="center"/>
    </xf>
    <xf numFmtId="3" fontId="89" fillId="0" borderId="0" xfId="0" applyNumberFormat="1" applyFont="1" applyAlignment="1">
      <alignment horizontal="center" vertical="center"/>
    </xf>
    <xf numFmtId="206" fontId="91" fillId="0" borderId="101" xfId="691" applyNumberFormat="1" applyFont="1" applyBorder="1" applyAlignment="1">
      <alignment horizontal="center" vertical="center"/>
    </xf>
    <xf numFmtId="3" fontId="91" fillId="0" borderId="41" xfId="691" applyNumberFormat="1" applyFont="1" applyFill="1" applyBorder="1" applyAlignment="1">
      <alignment horizontal="center" vertical="center"/>
    </xf>
    <xf numFmtId="3" fontId="91" fillId="0" borderId="91" xfId="691" applyNumberFormat="1" applyFont="1" applyFill="1" applyBorder="1" applyAlignment="1">
      <alignment horizontal="center" vertical="center"/>
    </xf>
    <xf numFmtId="0" fontId="89" fillId="0" borderId="26" xfId="1262" applyFont="1" applyBorder="1" applyAlignment="1">
      <alignment vertical="center"/>
    </xf>
    <xf numFmtId="1" fontId="89" fillId="0" borderId="93" xfId="1794" applyNumberFormat="1" applyFont="1" applyBorder="1" applyAlignment="1">
      <alignment horizontal="center" vertical="center"/>
    </xf>
    <xf numFmtId="230" fontId="91" fillId="0" borderId="101" xfId="3720" applyNumberFormat="1" applyFont="1" applyBorder="1" applyAlignment="1">
      <alignment horizontal="center" vertical="center"/>
    </xf>
    <xf numFmtId="1" fontId="89" fillId="0" borderId="4" xfId="1794" applyNumberFormat="1" applyFont="1" applyBorder="1" applyAlignment="1">
      <alignment horizontal="center" vertical="center"/>
    </xf>
    <xf numFmtId="231" fontId="6" fillId="0" borderId="111" xfId="2468" applyNumberFormat="1" applyFill="1" applyBorder="1" applyAlignment="1">
      <alignment horizontal="center" vertical="center"/>
    </xf>
    <xf numFmtId="37" fontId="6" fillId="0" borderId="111" xfId="2468" applyNumberFormat="1" applyFill="1" applyBorder="1" applyAlignment="1">
      <alignment horizontal="center" vertical="center"/>
    </xf>
    <xf numFmtId="43" fontId="6" fillId="0" borderId="111" xfId="2468" applyFill="1" applyBorder="1" applyAlignment="1">
      <alignment horizontal="center" vertical="center"/>
    </xf>
    <xf numFmtId="0" fontId="89" fillId="51" borderId="76" xfId="0" applyFont="1" applyFill="1" applyBorder="1" applyAlignment="1">
      <alignment horizontal="center" vertical="center"/>
    </xf>
    <xf numFmtId="206" fontId="6" fillId="0" borderId="111" xfId="2468" applyNumberFormat="1" applyFill="1" applyBorder="1" applyAlignment="1">
      <alignment horizontal="center" vertical="center"/>
    </xf>
    <xf numFmtId="166" fontId="89" fillId="0" borderId="94" xfId="0" applyNumberFormat="1" applyFont="1" applyBorder="1" applyAlignment="1">
      <alignment horizontal="center" vertical="center"/>
    </xf>
    <xf numFmtId="0" fontId="91" fillId="0" borderId="101" xfId="1793" applyFont="1" applyBorder="1" applyAlignment="1">
      <alignment horizontal="center" vertical="center"/>
    </xf>
    <xf numFmtId="37" fontId="91" fillId="0" borderId="101" xfId="691" applyNumberFormat="1" applyFont="1" applyBorder="1" applyAlignment="1">
      <alignment horizontal="center" vertical="center"/>
    </xf>
    <xf numFmtId="3" fontId="91" fillId="0" borderId="101" xfId="691" applyNumberFormat="1" applyFont="1" applyBorder="1" applyAlignment="1">
      <alignment horizontal="center" vertical="center"/>
    </xf>
    <xf numFmtId="3" fontId="89" fillId="0" borderId="93" xfId="1794" applyNumberFormat="1" applyFont="1" applyBorder="1" applyAlignment="1">
      <alignment horizontal="center" vertical="center"/>
    </xf>
    <xf numFmtId="0" fontId="89" fillId="51" borderId="41" xfId="0" applyFont="1" applyFill="1" applyBorder="1" applyAlignment="1">
      <alignment horizontal="center" vertical="center"/>
    </xf>
    <xf numFmtId="3" fontId="91" fillId="51" borderId="41" xfId="691" applyNumberFormat="1" applyFont="1" applyFill="1" applyBorder="1" applyAlignment="1">
      <alignment horizontal="center"/>
    </xf>
    <xf numFmtId="3" fontId="89" fillId="51" borderId="4" xfId="0" applyNumberFormat="1" applyFont="1" applyFill="1" applyBorder="1" applyAlignment="1">
      <alignment horizontal="center" vertical="center"/>
    </xf>
    <xf numFmtId="37" fontId="6" fillId="0" borderId="0" xfId="2468" applyNumberFormat="1" applyFill="1" applyBorder="1" applyAlignment="1">
      <alignment horizontal="center" vertical="center"/>
    </xf>
    <xf numFmtId="231" fontId="6" fillId="0" borderId="0" xfId="2468" applyNumberFormat="1" applyFill="1" applyBorder="1" applyAlignment="1">
      <alignment horizontal="center" vertical="center"/>
    </xf>
    <xf numFmtId="0" fontId="89" fillId="0" borderId="24" xfId="1262" applyFont="1" applyBorder="1" applyAlignment="1">
      <alignment horizontal="center" vertical="center" wrapText="1"/>
    </xf>
    <xf numFmtId="3" fontId="89" fillId="0" borderId="0" xfId="2057" applyNumberFormat="1" applyFont="1" applyFill="1" applyBorder="1" applyAlignment="1">
      <alignment horizontal="center" vertical="center"/>
    </xf>
    <xf numFmtId="2" fontId="89" fillId="0" borderId="94" xfId="0" applyNumberFormat="1" applyFont="1" applyBorder="1" applyAlignment="1">
      <alignment horizontal="center" vertical="center"/>
    </xf>
    <xf numFmtId="9" fontId="89" fillId="0" borderId="53" xfId="3878" applyFont="1" applyFill="1" applyBorder="1" applyAlignment="1">
      <alignment horizontal="center" vertical="center"/>
    </xf>
    <xf numFmtId="2" fontId="89" fillId="0" borderId="4" xfId="691" applyNumberFormat="1" applyFont="1" applyFill="1" applyBorder="1" applyAlignment="1">
      <alignment horizontal="center" vertical="center"/>
    </xf>
    <xf numFmtId="3" fontId="91" fillId="0" borderId="41" xfId="691" applyNumberFormat="1" applyFont="1" applyFill="1" applyBorder="1" applyAlignment="1">
      <alignment horizontal="center"/>
    </xf>
    <xf numFmtId="43" fontId="6" fillId="0" borderId="111" xfId="3965" applyFill="1" applyBorder="1" applyAlignment="1">
      <alignment horizontal="center" vertical="center"/>
    </xf>
    <xf numFmtId="206" fontId="6" fillId="0" borderId="111" xfId="3965" applyNumberFormat="1" applyFill="1" applyBorder="1" applyAlignment="1">
      <alignment horizontal="center" vertical="center"/>
    </xf>
    <xf numFmtId="0" fontId="89" fillId="0" borderId="112" xfId="0" applyFont="1" applyBorder="1" applyAlignment="1">
      <alignment horizontal="center" vertical="center"/>
    </xf>
    <xf numFmtId="0" fontId="89" fillId="0" borderId="127" xfId="0" applyFont="1" applyBorder="1" applyAlignment="1">
      <alignment horizontal="center" vertical="center"/>
    </xf>
    <xf numFmtId="166" fontId="89" fillId="0" borderId="127" xfId="0" applyNumberFormat="1" applyFont="1" applyBorder="1" applyAlignment="1">
      <alignment horizontal="center" vertical="center"/>
    </xf>
    <xf numFmtId="43" fontId="6" fillId="0" borderId="129" xfId="4006" applyFill="1" applyBorder="1" applyAlignment="1">
      <alignment horizontal="center" vertical="center"/>
    </xf>
    <xf numFmtId="206" fontId="6" fillId="0" borderId="129" xfId="4006" applyNumberFormat="1" applyFill="1" applyBorder="1" applyAlignment="1">
      <alignment horizontal="center" vertical="center"/>
    </xf>
    <xf numFmtId="0" fontId="89" fillId="0" borderId="127" xfId="0" applyFont="1" applyBorder="1" applyAlignment="1">
      <alignment vertical="center"/>
    </xf>
    <xf numFmtId="232" fontId="6" fillId="0" borderId="129" xfId="3549" applyNumberFormat="1" applyFill="1" applyBorder="1" applyAlignment="1">
      <alignment horizontal="center" vertical="center"/>
    </xf>
    <xf numFmtId="232" fontId="6" fillId="0" borderId="127" xfId="3549" applyNumberFormat="1" applyFill="1" applyBorder="1" applyAlignment="1">
      <alignment horizontal="center" vertical="center"/>
    </xf>
    <xf numFmtId="1" fontId="6" fillId="0" borderId="129" xfId="2468" applyNumberFormat="1" applyFill="1" applyBorder="1" applyAlignment="1">
      <alignment horizontal="center" vertical="center"/>
    </xf>
    <xf numFmtId="37" fontId="6" fillId="43" borderId="127" xfId="2468" applyNumberFormat="1" applyFill="1" applyBorder="1" applyAlignment="1">
      <alignment horizontal="center" vertical="center"/>
    </xf>
    <xf numFmtId="37" fontId="6" fillId="43" borderId="93" xfId="2468" applyNumberFormat="1" applyFill="1" applyBorder="1" applyAlignment="1">
      <alignment horizontal="center" vertical="center"/>
    </xf>
    <xf numFmtId="0" fontId="136" fillId="0" borderId="42" xfId="0" applyFont="1" applyBorder="1" applyAlignment="1">
      <alignment vertical="center"/>
    </xf>
    <xf numFmtId="0" fontId="89" fillId="0" borderId="124" xfId="0" applyFont="1" applyBorder="1" applyAlignment="1">
      <alignment vertical="center"/>
    </xf>
    <xf numFmtId="0" fontId="90" fillId="0" borderId="127" xfId="0" applyFont="1" applyBorder="1" applyAlignment="1">
      <alignment horizontal="center" vertical="center"/>
    </xf>
    <xf numFmtId="0" fontId="90" fillId="0" borderId="129" xfId="0" applyFont="1" applyBorder="1" applyAlignment="1">
      <alignment horizontal="center" vertical="center"/>
    </xf>
    <xf numFmtId="0" fontId="89" fillId="43" borderId="93" xfId="0" applyFont="1" applyFill="1" applyBorder="1" applyAlignment="1">
      <alignment horizontal="center" vertical="center"/>
    </xf>
    <xf numFmtId="0" fontId="90" fillId="0" borderId="130" xfId="0" applyFont="1" applyBorder="1" applyAlignment="1">
      <alignment horizontal="center" vertical="center"/>
    </xf>
    <xf numFmtId="0" fontId="89" fillId="43" borderId="127" xfId="0" applyFont="1" applyFill="1" applyBorder="1" applyAlignment="1">
      <alignment horizontal="center" vertical="center"/>
    </xf>
    <xf numFmtId="0" fontId="90" fillId="0" borderId="46" xfId="1262" applyFont="1" applyBorder="1" applyAlignment="1">
      <alignment horizontal="left" vertical="center" wrapText="1"/>
    </xf>
    <xf numFmtId="0" fontId="90" fillId="0" borderId="59" xfId="0" applyFont="1" applyBorder="1" applyAlignment="1">
      <alignment horizontal="left" vertical="center" wrapText="1"/>
    </xf>
    <xf numFmtId="0" fontId="91" fillId="0" borderId="93" xfId="1793" applyFont="1" applyBorder="1"/>
    <xf numFmtId="0" fontId="91" fillId="0" borderId="93" xfId="1793" applyFont="1" applyBorder="1" applyAlignment="1">
      <alignment vertical="center"/>
    </xf>
    <xf numFmtId="0" fontId="90" fillId="0" borderId="0" xfId="0" applyFont="1" applyAlignment="1">
      <alignment horizontal="center" vertical="center"/>
    </xf>
    <xf numFmtId="0" fontId="93" fillId="0" borderId="31" xfId="1792" applyFont="1" applyBorder="1" applyAlignment="1" applyProtection="1">
      <alignment horizontal="center" vertical="center" wrapText="1"/>
      <protection locked="0"/>
    </xf>
    <xf numFmtId="214" fontId="88" fillId="0" borderId="0" xfId="1792" applyNumberFormat="1" applyFont="1" applyAlignment="1" applyProtection="1">
      <alignment horizontal="center" vertical="center" wrapText="1"/>
      <protection locked="0"/>
    </xf>
    <xf numFmtId="0" fontId="95" fillId="0" borderId="0" xfId="1792" applyFont="1" applyAlignment="1" applyProtection="1">
      <alignment horizontal="center" vertical="center"/>
      <protection locked="0"/>
    </xf>
    <xf numFmtId="0" fontId="88" fillId="0" borderId="0" xfId="1792" applyFont="1" applyAlignment="1" applyProtection="1">
      <alignment horizontal="center" vertical="center"/>
      <protection locked="0"/>
    </xf>
    <xf numFmtId="0" fontId="106" fillId="0" borderId="50" xfId="0" applyFont="1" applyBorder="1" applyAlignment="1">
      <alignment horizontal="center" wrapText="1"/>
    </xf>
    <xf numFmtId="0" fontId="106" fillId="0" borderId="42" xfId="0" applyFont="1" applyBorder="1" applyAlignment="1">
      <alignment horizontal="center" wrapText="1"/>
    </xf>
    <xf numFmtId="0" fontId="106" fillId="0" borderId="54" xfId="0" applyFont="1" applyBorder="1" applyAlignment="1">
      <alignment horizontal="center" wrapText="1"/>
    </xf>
    <xf numFmtId="213" fontId="88" fillId="0" borderId="50" xfId="1262" applyNumberFormat="1" applyFont="1" applyBorder="1" applyAlignment="1">
      <alignment horizontal="center" vertical="center" wrapText="1"/>
    </xf>
    <xf numFmtId="213" fontId="88" fillId="0" borderId="51" xfId="1262" applyNumberFormat="1" applyFont="1" applyBorder="1" applyAlignment="1">
      <alignment horizontal="center" vertical="center" wrapText="1"/>
    </xf>
    <xf numFmtId="213" fontId="88" fillId="0" borderId="52" xfId="1262" applyNumberFormat="1" applyFont="1" applyBorder="1" applyAlignment="1">
      <alignment horizontal="center" vertical="center" wrapText="1"/>
    </xf>
    <xf numFmtId="213" fontId="88" fillId="0" borderId="42" xfId="1262" applyNumberFormat="1" applyFont="1" applyBorder="1" applyAlignment="1">
      <alignment horizontal="center" vertical="center" wrapText="1"/>
    </xf>
    <xf numFmtId="213" fontId="88" fillId="0" borderId="0" xfId="1262" applyNumberFormat="1" applyFont="1" applyAlignment="1">
      <alignment horizontal="center" vertical="center" wrapText="1"/>
    </xf>
    <xf numFmtId="213" fontId="88" fillId="0" borderId="46" xfId="1262" applyNumberFormat="1" applyFont="1" applyBorder="1" applyAlignment="1">
      <alignment horizontal="center" vertical="center" wrapText="1"/>
    </xf>
    <xf numFmtId="215" fontId="90" fillId="0" borderId="54" xfId="0" applyNumberFormat="1" applyFont="1" applyBorder="1" applyAlignment="1">
      <alignment horizontal="center" vertical="center" wrapText="1"/>
    </xf>
    <xf numFmtId="215" fontId="90" fillId="0" borderId="11" xfId="0" applyNumberFormat="1" applyFont="1" applyBorder="1" applyAlignment="1">
      <alignment horizontal="center" vertical="center" wrapText="1"/>
    </xf>
    <xf numFmtId="215" fontId="90" fillId="0" borderId="59" xfId="0" applyNumberFormat="1" applyFont="1" applyBorder="1" applyAlignment="1">
      <alignment horizontal="center" vertical="center" wrapText="1"/>
    </xf>
    <xf numFmtId="0" fontId="89" fillId="0" borderId="4" xfId="1262" applyFont="1" applyBorder="1" applyAlignment="1">
      <alignment horizontal="center" vertical="center" wrapText="1"/>
    </xf>
    <xf numFmtId="0" fontId="90" fillId="0" borderId="32" xfId="1262" applyFont="1" applyBorder="1" applyAlignment="1">
      <alignment horizontal="center" vertical="center" wrapText="1"/>
    </xf>
    <xf numFmtId="0" fontId="90" fillId="0" borderId="37" xfId="1262" applyFont="1" applyBorder="1" applyAlignment="1">
      <alignment horizontal="center" vertical="center" wrapText="1"/>
    </xf>
    <xf numFmtId="0" fontId="90" fillId="0" borderId="33" xfId="1262" applyFont="1" applyBorder="1" applyAlignment="1">
      <alignment horizontal="center" vertical="center" wrapText="1"/>
    </xf>
    <xf numFmtId="0" fontId="90" fillId="0" borderId="20" xfId="1262" applyFont="1" applyBorder="1" applyAlignment="1">
      <alignment horizontal="center" vertical="center" wrapText="1"/>
    </xf>
    <xf numFmtId="0" fontId="90" fillId="0" borderId="34" xfId="1262" applyFont="1" applyBorder="1" applyAlignment="1">
      <alignment horizontal="center" vertical="center" wrapText="1"/>
    </xf>
    <xf numFmtId="0" fontId="90" fillId="0" borderId="63" xfId="1262" applyFont="1" applyBorder="1" applyAlignment="1">
      <alignment horizontal="center" vertical="center" wrapText="1"/>
    </xf>
    <xf numFmtId="0" fontId="90" fillId="0" borderId="68" xfId="1262" applyFont="1" applyBorder="1" applyAlignment="1">
      <alignment horizontal="center" vertical="center" wrapText="1"/>
    </xf>
    <xf numFmtId="0" fontId="90" fillId="0" borderId="69" xfId="1262" applyFont="1" applyBorder="1" applyAlignment="1">
      <alignment horizontal="center" vertical="center" wrapText="1"/>
    </xf>
    <xf numFmtId="0" fontId="89" fillId="0" borderId="66" xfId="1262" applyFont="1" applyBorder="1" applyAlignment="1">
      <alignment horizontal="center" vertical="center" wrapText="1"/>
    </xf>
    <xf numFmtId="0" fontId="89" fillId="0" borderId="67" xfId="1262" applyFont="1" applyBorder="1" applyAlignment="1">
      <alignment horizontal="center" vertical="center" wrapText="1"/>
    </xf>
    <xf numFmtId="0" fontId="89" fillId="0" borderId="38" xfId="1262" applyFont="1" applyBorder="1" applyAlignment="1">
      <alignment horizontal="center" vertical="center" wrapText="1"/>
    </xf>
    <xf numFmtId="0" fontId="90" fillId="0" borderId="70" xfId="1262" applyFont="1" applyBorder="1" applyAlignment="1">
      <alignment horizontal="center" vertical="center" wrapText="1"/>
    </xf>
    <xf numFmtId="0" fontId="89" fillId="0" borderId="20" xfId="1262" applyFont="1" applyBorder="1" applyAlignment="1">
      <alignment horizontal="center" vertical="center" wrapText="1"/>
    </xf>
    <xf numFmtId="0" fontId="89" fillId="0" borderId="71" xfId="1262" applyFont="1" applyBorder="1" applyAlignment="1">
      <alignment horizontal="center" vertical="center" wrapText="1"/>
    </xf>
    <xf numFmtId="0" fontId="89" fillId="0" borderId="40" xfId="1262" applyFont="1" applyBorder="1" applyAlignment="1">
      <alignment horizontal="center" vertical="center" wrapText="1"/>
    </xf>
    <xf numFmtId="0" fontId="89" fillId="0" borderId="93" xfId="1262" applyFont="1" applyBorder="1" applyAlignment="1">
      <alignment horizontal="center" vertical="center" wrapText="1"/>
    </xf>
    <xf numFmtId="0" fontId="90" fillId="0" borderId="39" xfId="1262" applyFont="1" applyBorder="1" applyAlignment="1">
      <alignment horizontal="center" vertical="center" wrapText="1"/>
    </xf>
    <xf numFmtId="0" fontId="90" fillId="0" borderId="36" xfId="1262" applyFont="1" applyBorder="1" applyAlignment="1">
      <alignment horizontal="center" vertical="center" wrapText="1"/>
    </xf>
    <xf numFmtId="0" fontId="90" fillId="0" borderId="92" xfId="1262" applyFont="1" applyBorder="1" applyAlignment="1">
      <alignment horizontal="center" vertical="center" wrapText="1"/>
    </xf>
    <xf numFmtId="0" fontId="90" fillId="0" borderId="72" xfId="1262" applyFont="1" applyBorder="1" applyAlignment="1">
      <alignment horizontal="center" vertical="center" wrapText="1"/>
    </xf>
    <xf numFmtId="0" fontId="89" fillId="0" borderId="58" xfId="1262" applyFont="1" applyBorder="1" applyAlignment="1">
      <alignment horizontal="center" vertical="center" wrapText="1"/>
    </xf>
    <xf numFmtId="0" fontId="90" fillId="0" borderId="35" xfId="1262" applyFont="1" applyBorder="1" applyAlignment="1">
      <alignment horizontal="center" vertical="center" wrapText="1"/>
    </xf>
    <xf numFmtId="0" fontId="90" fillId="0" borderId="55" xfId="0" applyFont="1" applyBorder="1" applyAlignment="1">
      <alignment horizontal="center" vertical="center"/>
    </xf>
    <xf numFmtId="0" fontId="90" fillId="0" borderId="56" xfId="0" applyFont="1" applyBorder="1" applyAlignment="1">
      <alignment horizontal="center" vertical="center"/>
    </xf>
    <xf numFmtId="0" fontId="90" fillId="0" borderId="57" xfId="0" applyFont="1" applyBorder="1" applyAlignment="1">
      <alignment horizontal="center" vertical="center"/>
    </xf>
    <xf numFmtId="0" fontId="90" fillId="0" borderId="114" xfId="0" applyFont="1" applyBorder="1" applyAlignment="1">
      <alignment horizontal="center" vertical="center"/>
    </xf>
    <xf numFmtId="0" fontId="90" fillId="0" borderId="99" xfId="0" applyFont="1" applyBorder="1" applyAlignment="1">
      <alignment horizontal="center" vertical="center"/>
    </xf>
    <xf numFmtId="0" fontId="90" fillId="0" borderId="100" xfId="0" applyFont="1" applyBorder="1" applyAlignment="1">
      <alignment horizontal="center" vertical="center"/>
    </xf>
    <xf numFmtId="0" fontId="90" fillId="0" borderId="116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117" xfId="0" applyFont="1" applyBorder="1" applyAlignment="1">
      <alignment horizontal="center" vertical="center"/>
    </xf>
    <xf numFmtId="0" fontId="90" fillId="0" borderId="131" xfId="0" applyFont="1" applyBorder="1" applyAlignment="1">
      <alignment horizontal="center" vertical="center"/>
    </xf>
    <xf numFmtId="0" fontId="90" fillId="0" borderId="125" xfId="0" applyFont="1" applyBorder="1" applyAlignment="1">
      <alignment horizontal="center" vertical="center"/>
    </xf>
    <xf numFmtId="0" fontId="90" fillId="0" borderId="132" xfId="0" applyFont="1" applyBorder="1" applyAlignment="1">
      <alignment horizontal="center" vertical="center"/>
    </xf>
    <xf numFmtId="0" fontId="90" fillId="0" borderId="41" xfId="0" applyFont="1" applyBorder="1" applyAlignment="1">
      <alignment horizontal="center" vertical="center"/>
    </xf>
    <xf numFmtId="0" fontId="90" fillId="0" borderId="6" xfId="0" applyFont="1" applyBorder="1" applyAlignment="1">
      <alignment horizontal="center" vertical="center"/>
    </xf>
    <xf numFmtId="0" fontId="90" fillId="0" borderId="19" xfId="0" applyFont="1" applyBorder="1" applyAlignment="1">
      <alignment horizontal="center" vertical="center"/>
    </xf>
    <xf numFmtId="0" fontId="103" fillId="50" borderId="50" xfId="0" applyFont="1" applyFill="1" applyBorder="1" applyAlignment="1">
      <alignment horizontal="center" vertical="center"/>
    </xf>
    <xf numFmtId="0" fontId="103" fillId="50" borderId="51" xfId="0" applyFont="1" applyFill="1" applyBorder="1" applyAlignment="1">
      <alignment horizontal="center" vertical="center"/>
    </xf>
    <xf numFmtId="0" fontId="103" fillId="50" borderId="52" xfId="0" applyFont="1" applyFill="1" applyBorder="1" applyAlignment="1">
      <alignment horizontal="center" vertical="center"/>
    </xf>
    <xf numFmtId="0" fontId="104" fillId="0" borderId="47" xfId="0" applyFont="1" applyBorder="1" applyAlignment="1">
      <alignment horizontal="center" vertical="center"/>
    </xf>
    <xf numFmtId="0" fontId="104" fillId="0" borderId="48" xfId="0" applyFont="1" applyBorder="1" applyAlignment="1">
      <alignment horizontal="center" vertical="center"/>
    </xf>
    <xf numFmtId="0" fontId="104" fillId="0" borderId="49" xfId="0" applyFont="1" applyBorder="1" applyAlignment="1">
      <alignment horizontal="center" vertical="center"/>
    </xf>
    <xf numFmtId="211" fontId="90" fillId="0" borderId="43" xfId="0" applyNumberFormat="1" applyFont="1" applyBorder="1" applyAlignment="1">
      <alignment horizontal="left" vertical="center"/>
    </xf>
    <xf numFmtId="211" fontId="90" fillId="0" borderId="44" xfId="0" applyNumberFormat="1" applyFont="1" applyBorder="1" applyAlignment="1">
      <alignment horizontal="left" vertical="center"/>
    </xf>
    <xf numFmtId="211" fontId="90" fillId="0" borderId="42" xfId="0" applyNumberFormat="1" applyFont="1" applyBorder="1" applyAlignment="1">
      <alignment horizontal="left" vertical="center"/>
    </xf>
    <xf numFmtId="211" fontId="90" fillId="0" borderId="0" xfId="0" applyNumberFormat="1" applyFont="1" applyAlignment="1">
      <alignment horizontal="left" vertical="center"/>
    </xf>
    <xf numFmtId="211" fontId="90" fillId="0" borderId="47" xfId="0" applyNumberFormat="1" applyFont="1" applyBorder="1" applyAlignment="1">
      <alignment horizontal="left" vertical="center"/>
    </xf>
    <xf numFmtId="211" fontId="90" fillId="0" borderId="48" xfId="0" applyNumberFormat="1" applyFont="1" applyBorder="1" applyAlignment="1">
      <alignment horizontal="left" vertical="center"/>
    </xf>
    <xf numFmtId="212" fontId="104" fillId="0" borderId="48" xfId="0" applyNumberFormat="1" applyFont="1" applyBorder="1" applyAlignment="1">
      <alignment horizontal="left" vertical="center"/>
    </xf>
    <xf numFmtId="0" fontId="90" fillId="0" borderId="58" xfId="0" applyFont="1" applyBorder="1" applyAlignment="1">
      <alignment horizontal="center" vertical="center"/>
    </xf>
    <xf numFmtId="0" fontId="90" fillId="0" borderId="4" xfId="0" applyFont="1" applyBorder="1" applyAlignment="1">
      <alignment horizontal="center" vertical="center"/>
    </xf>
    <xf numFmtId="0" fontId="90" fillId="0" borderId="115" xfId="0" applyFont="1" applyBorder="1" applyAlignment="1">
      <alignment horizontal="center" vertical="center"/>
    </xf>
    <xf numFmtId="0" fontId="90" fillId="0" borderId="101" xfId="0" applyFont="1" applyBorder="1" applyAlignment="1">
      <alignment horizontal="center" vertical="center"/>
    </xf>
    <xf numFmtId="0" fontId="90" fillId="0" borderId="105" xfId="0" applyFont="1" applyBorder="1" applyAlignment="1">
      <alignment horizontal="center" vertical="center"/>
    </xf>
    <xf numFmtId="0" fontId="90" fillId="0" borderId="113" xfId="0" applyFont="1" applyBorder="1" applyAlignment="1">
      <alignment horizontal="center" vertical="center"/>
    </xf>
    <xf numFmtId="0" fontId="90" fillId="0" borderId="98" xfId="0" applyFont="1" applyBorder="1" applyAlignment="1">
      <alignment horizontal="center" vertical="center"/>
    </xf>
    <xf numFmtId="0" fontId="90" fillId="0" borderId="91" xfId="0" applyFont="1" applyBorder="1" applyAlignment="1">
      <alignment horizontal="center" vertical="center"/>
    </xf>
    <xf numFmtId="0" fontId="90" fillId="0" borderId="97" xfId="0" applyFont="1" applyBorder="1" applyAlignment="1">
      <alignment horizontal="center" vertical="center"/>
    </xf>
    <xf numFmtId="0" fontId="104" fillId="0" borderId="95" xfId="0" applyFont="1" applyBorder="1" applyAlignment="1">
      <alignment horizontal="center" vertical="center"/>
    </xf>
    <xf numFmtId="211" fontId="90" fillId="0" borderId="86" xfId="0" applyNumberFormat="1" applyFont="1" applyBorder="1" applyAlignment="1">
      <alignment horizontal="left" vertical="center"/>
    </xf>
    <xf numFmtId="211" fontId="90" fillId="0" borderId="95" xfId="0" applyNumberFormat="1" applyFont="1" applyBorder="1" applyAlignment="1">
      <alignment horizontal="left" vertical="center"/>
    </xf>
    <xf numFmtId="0" fontId="90" fillId="0" borderId="20" xfId="0" applyFont="1" applyBorder="1" applyAlignment="1">
      <alignment horizontal="center" vertical="center"/>
    </xf>
  </cellXfs>
  <cellStyles count="4021">
    <cellStyle name=" 1" xfId="1" xr:uid="{00000000-0005-0000-0000-000000000000}"/>
    <cellStyle name="_prx" xfId="3627" xr:uid="{AAA70B8C-5467-4D4D-B540-419F2B8A619A}"/>
    <cellStyle name="_Sheet1" xfId="3628" xr:uid="{121D010D-F29F-4E3A-AFA0-9B917357AD1F}"/>
    <cellStyle name="_Sheet1_Projection_Prod_SAMO_2008_180607" xfId="3629" xr:uid="{2B2F4CFB-7750-4900-B2C4-FEF9AFCC2516}"/>
    <cellStyle name="_Sheet1_Summary of_Projection_Prod_All Site_2008_180607" xfId="3630" xr:uid="{71E94FE3-D755-4569-9BD7-599651EA65E1}"/>
    <cellStyle name="_Sheet10" xfId="3631" xr:uid="{74819613-21BF-494D-9DAE-7AE037D5A572}"/>
    <cellStyle name="_Sheet10_Projection_Prod_SAMO_2008_180607" xfId="3632" xr:uid="{7AA84EC5-CC3F-4687-8AAC-4005F28B2885}"/>
    <cellStyle name="_Sheet10_Summary of_Projection_Prod_All Site_2008_180607" xfId="3633" xr:uid="{D516B7F9-EC7F-4B6A-8930-AC8755878929}"/>
    <cellStyle name="_Sheet11" xfId="3634" xr:uid="{FD4CCCFC-6E5B-4CAF-A177-B787A09029FE}"/>
    <cellStyle name="_Sheet11_Projection_Prod_SAMO_2008_180607" xfId="3635" xr:uid="{000892E6-ED31-464C-AEBA-E21954BC125A}"/>
    <cellStyle name="_Sheet11_Summary of_Projection_Prod_All Site_2008_180607" xfId="3636" xr:uid="{07BD9AE6-05AE-415E-847F-8930C7CC5901}"/>
    <cellStyle name="_Sheet12" xfId="3637" xr:uid="{4A3F9FA8-2D21-4B42-96CD-1CCC924B5F72}"/>
    <cellStyle name="_Sheet12_Projection_Prod_SAMO_2008_180607" xfId="3638" xr:uid="{D5C0F16D-9095-4CF8-BD3F-B5021A86540D}"/>
    <cellStyle name="_Sheet12_Summary of_Projection_Prod_All Site_2008_180607" xfId="3639" xr:uid="{CE7EFA37-2D37-48A4-9D1C-386E19AA1064}"/>
    <cellStyle name="_Sheet2" xfId="3640" xr:uid="{9C262128-5FB5-4593-85BA-350E9218F8BF}"/>
    <cellStyle name="_Sheet2_Projection_Prod_SAMO_2008_180607" xfId="3641" xr:uid="{F953EDD0-4E4B-4368-9986-4C234E19DE6E}"/>
    <cellStyle name="_Sheet2_Summary of_Projection_Prod_All Site_2008_180607" xfId="3642" xr:uid="{5417BC1E-165D-43F1-99A3-083C292F2D81}"/>
    <cellStyle name="_Sheet3" xfId="3643" xr:uid="{4C9508FE-A7E1-4876-BBF9-DF15304D6DDC}"/>
    <cellStyle name="_Sheet3_Projection_Prod_SAMO_2008_180607" xfId="3644" xr:uid="{071D8CA3-92EA-4115-9C1C-BC1026CD1E07}"/>
    <cellStyle name="_Sheet3_Summary of_Projection_Prod_All Site_2008_180607" xfId="3645" xr:uid="{73684BCF-0BC9-495D-AEAA-59EC9A7C5699}"/>
    <cellStyle name="_Sheet4" xfId="3646" xr:uid="{C0ACE60C-883F-4B18-9B89-21943E65FA76}"/>
    <cellStyle name="_Sheet4_Projection_Prod_SAMO_2008_180607" xfId="3647" xr:uid="{CA538759-4D4A-425A-BA6C-9C9376B6ADA0}"/>
    <cellStyle name="_Sheet4_Summary of_Projection_Prod_All Site_2008_180607" xfId="3648" xr:uid="{CA99BEDB-4D32-43DD-86DA-7C5EDD5770AA}"/>
    <cellStyle name="_Sheet5" xfId="3649" xr:uid="{02E345E5-8F84-4285-9A0D-93852E9AC810}"/>
    <cellStyle name="_Sheet5_Projection_Prod_SAMO_2008_180607" xfId="3650" xr:uid="{B6E5E69B-B6AF-43CB-9DF3-A10D2A407043}"/>
    <cellStyle name="_Sheet5_Summary of_Projection_Prod_All Site_2008_180607" xfId="3651" xr:uid="{437485E2-2185-4585-85DD-CEF7293DB6D5}"/>
    <cellStyle name="_Sheet6" xfId="3652" xr:uid="{A8D5AAB3-EAF4-4B09-913C-70910734430D}"/>
    <cellStyle name="_Sheet6_Projection_Prod_SAMO_2008_180607" xfId="3653" xr:uid="{96C7E6C4-F197-4E46-8A3F-F54CE12599E8}"/>
    <cellStyle name="_Sheet6_Summary of_Projection_Prod_All Site_2008_180607" xfId="3654" xr:uid="{BD57E057-1A23-455A-88C6-8DC1D001D8FB}"/>
    <cellStyle name="_Sheet7" xfId="3655" xr:uid="{FE7B1E88-0B81-4E39-B784-7FB38CA7AB96}"/>
    <cellStyle name="_Sheet7_Projection_Prod_SAMO_2008_180607" xfId="3656" xr:uid="{CD0CF753-A783-4972-968B-9FB5AB82F84B}"/>
    <cellStyle name="_Sheet7_Summary of_Projection_Prod_All Site_2008_180607" xfId="3657" xr:uid="{99AA43B3-41A7-40FD-8B24-3E0F8D468D8B}"/>
    <cellStyle name="_Sheet8" xfId="3658" xr:uid="{8931A3FC-7E47-49A3-B4D6-402EFDF5E99F}"/>
    <cellStyle name="_Sheet8_Projection_Prod_SAMO_2008_180607" xfId="3659" xr:uid="{4B3709A2-AF2C-44B8-B541-16CB04AA32C8}"/>
    <cellStyle name="_Sheet8_Summary of_Projection_Prod_All Site_2008_180607" xfId="3660" xr:uid="{E64DF620-1109-4090-A157-87453BA43560}"/>
    <cellStyle name="_Sheet9" xfId="3661" xr:uid="{EA4CE967-3BD0-4424-8F35-B1722252A84A}"/>
    <cellStyle name="_Sheet9_Projection_Prod_SAMO_2008_180607" xfId="3662" xr:uid="{8224DE99-D4E6-482E-B338-BF2B7C32D501}"/>
    <cellStyle name="_Sheet9_Summary of_Projection_Prod_All Site_2008_180607" xfId="3663" xr:uid="{B6801814-2241-4516-80CE-329337559E62}"/>
    <cellStyle name="‡" xfId="2" xr:uid="{00000000-0005-0000-0000-000001000000}"/>
    <cellStyle name="‡ 2" xfId="2174" xr:uid="{1C68C00A-90A1-460A-B24D-1123605A549C}"/>
    <cellStyle name="‡_0.0. Operation Director Policy 2008" xfId="3664" xr:uid="{BDD0980B-AF40-430A-80F6-8063007589C2}"/>
    <cellStyle name="‡_3667C Sanga PMR Mar 07 Rev2" xfId="3" xr:uid="{00000000-0005-0000-0000-000002000000}"/>
    <cellStyle name="‡_3667C Sanga PMR Mar 07 Rev2_DailyPerformance-0409 ( 5 fleets)" xfId="4" xr:uid="{00000000-0005-0000-0000-000003000000}"/>
    <cellStyle name="‡_3667C Sanga PMR Mar 07 Rev2_DailyPerformance-0509" xfId="5" xr:uid="{00000000-0005-0000-0000-000004000000}"/>
    <cellStyle name="‡_3667C Sanga PMR Mar 07 Rev2_DailyPerformance-0609" xfId="6" xr:uid="{00000000-0005-0000-0000-000005000000}"/>
    <cellStyle name="‡_3667C Sanga PMR Mar 07 Rev2_DailyPerformance-0709" xfId="7" xr:uid="{00000000-0005-0000-0000-000006000000}"/>
    <cellStyle name="‡_3667C Sanga PMR Mar 07 Rev2_DailyPerformance-0709-rev" xfId="8" xr:uid="{00000000-0005-0000-0000-000007000000}"/>
    <cellStyle name="‡_3667C Sanga PMR Mar 07 Rev2_DailyPerformance-0809" xfId="9" xr:uid="{00000000-0005-0000-0000-000008000000}"/>
    <cellStyle name="‡_3667C Sanga PMR Mar 07 Rev2_DailyPerformance-0809R" xfId="10" xr:uid="{00000000-0005-0000-0000-000009000000}"/>
    <cellStyle name="‡_3667C Sanga PMR Mar 07 Rev2_Sanga MIS Target Aug09 4 fleets" xfId="11" xr:uid="{00000000-0005-0000-0000-00000A000000}"/>
    <cellStyle name="‡_3667C Sanga PMR Mar 07 Rev2_Sanga MIS Target May'09 5 fleets R2" xfId="12" xr:uid="{00000000-0005-0000-0000-00000B000000}"/>
    <cellStyle name="‡_3667C Sanga PMR Mar 07 Rev2_Sanga MIS Targets - Aug 2009-4 fleet" xfId="13" xr:uid="{00000000-0005-0000-0000-00000C000000}"/>
    <cellStyle name="‡_3667C Sanga PMR May 07 Rev 1" xfId="14" xr:uid="{00000000-0005-0000-0000-00000D000000}"/>
    <cellStyle name="‡_3667C Sanga PMR May 07 Rev 1_DailyPerformance-0409 ( 5 fleets)" xfId="15" xr:uid="{00000000-0005-0000-0000-00000E000000}"/>
    <cellStyle name="‡_3667C Sanga PMR May 07 Rev 1_DailyPerformance-0509" xfId="16" xr:uid="{00000000-0005-0000-0000-00000F000000}"/>
    <cellStyle name="‡_3667C Sanga PMR May 07 Rev 1_DailyPerformance-0609" xfId="17" xr:uid="{00000000-0005-0000-0000-000010000000}"/>
    <cellStyle name="‡_3667C Sanga PMR May 07 Rev 1_DailyPerformance-0709" xfId="18" xr:uid="{00000000-0005-0000-0000-000011000000}"/>
    <cellStyle name="‡_3667C Sanga PMR May 07 Rev 1_DailyPerformance-0709-rev" xfId="19" xr:uid="{00000000-0005-0000-0000-000012000000}"/>
    <cellStyle name="‡_3667C Sanga PMR May 07 Rev 1_DailyPerformance-0809" xfId="20" xr:uid="{00000000-0005-0000-0000-000013000000}"/>
    <cellStyle name="‡_3667C Sanga PMR May 07 Rev 1_DailyPerformance-0809R" xfId="21" xr:uid="{00000000-0005-0000-0000-000014000000}"/>
    <cellStyle name="‡_3667C Sanga PMR May 07 Rev 1_Sanga MIS Target Aug09 4 fleets" xfId="22" xr:uid="{00000000-0005-0000-0000-000015000000}"/>
    <cellStyle name="‡_3667C Sanga PMR May 07 Rev 1_Sanga MIS Target May'09 5 fleets R2" xfId="23" xr:uid="{00000000-0005-0000-0000-000016000000}"/>
    <cellStyle name="‡_3667C Sanga PMR May 07 Rev 1_Sanga MIS Targets - Aug 2009-4 fleet" xfId="24" xr:uid="{00000000-0005-0000-0000-000017000000}"/>
    <cellStyle name="‡_BOOK1" xfId="25" xr:uid="{00000000-0005-0000-0000-000018000000}"/>
    <cellStyle name="‡_BOOK1_3667C Sanga PMR Mar 07 Rev2" xfId="26" xr:uid="{00000000-0005-0000-0000-000019000000}"/>
    <cellStyle name="‡_BOOK1_3667C Sanga PMR May 07 Rev 1" xfId="27" xr:uid="{00000000-0005-0000-0000-00001A000000}"/>
    <cellStyle name="‡_BOOK1_Claim Summary" xfId="28" xr:uid="{00000000-0005-0000-0000-00001B000000}"/>
    <cellStyle name="‡_BOOK1_Claim Summary_3667C Sanga PMR Mar 07 Rev2" xfId="29" xr:uid="{00000000-0005-0000-0000-00001C000000}"/>
    <cellStyle name="‡_BOOK1_Claim Summary_3667C Sanga PMR Mar 07 Rev2_DailyPerformance-0409 ( 5 fleets)" xfId="30" xr:uid="{00000000-0005-0000-0000-00001D000000}"/>
    <cellStyle name="‡_BOOK1_Claim Summary_3667C Sanga PMR Mar 07 Rev2_DailyPerformance-0509" xfId="31" xr:uid="{00000000-0005-0000-0000-00001E000000}"/>
    <cellStyle name="‡_BOOK1_Claim Summary_3667C Sanga PMR Mar 07 Rev2_DailyPerformance-0609" xfId="32" xr:uid="{00000000-0005-0000-0000-00001F000000}"/>
    <cellStyle name="‡_BOOK1_Claim Summary_3667C Sanga PMR Mar 07 Rev2_DailyPerformance-0709" xfId="33" xr:uid="{00000000-0005-0000-0000-000020000000}"/>
    <cellStyle name="‡_BOOK1_Claim Summary_3667C Sanga PMR Mar 07 Rev2_DailyPerformance-0709-rev" xfId="34" xr:uid="{00000000-0005-0000-0000-000021000000}"/>
    <cellStyle name="‡_BOOK1_Claim Summary_3667C Sanga PMR Mar 07 Rev2_DailyPerformance-0809" xfId="35" xr:uid="{00000000-0005-0000-0000-000022000000}"/>
    <cellStyle name="‡_BOOK1_Claim Summary_3667C Sanga PMR Mar 07 Rev2_DailyPerformance-0809R" xfId="36" xr:uid="{00000000-0005-0000-0000-000023000000}"/>
    <cellStyle name="‡_BOOK1_Claim Summary_3667C Sanga PMR Mar 07 Rev2_Sanga MIS Target Aug09 4 fleets" xfId="37" xr:uid="{00000000-0005-0000-0000-000024000000}"/>
    <cellStyle name="‡_BOOK1_Claim Summary_3667C Sanga PMR Mar 07 Rev2_Sanga MIS Target May'09 5 fleets R2" xfId="38" xr:uid="{00000000-0005-0000-0000-000025000000}"/>
    <cellStyle name="‡_BOOK1_Claim Summary_3667C Sanga PMR Mar 07 Rev2_Sanga MIS Targets - Aug 2009-4 fleet" xfId="39" xr:uid="{00000000-0005-0000-0000-000026000000}"/>
    <cellStyle name="‡_BOOK1_Claim Summary_3667C Sanga PMR May 07 Rev 1" xfId="40" xr:uid="{00000000-0005-0000-0000-000027000000}"/>
    <cellStyle name="‡_BOOK1_Claim Summary_3667C Sanga PMR May 07 Rev 1_DailyPerformance-0409 ( 5 fleets)" xfId="41" xr:uid="{00000000-0005-0000-0000-000028000000}"/>
    <cellStyle name="‡_BOOK1_Claim Summary_3667C Sanga PMR May 07 Rev 1_DailyPerformance-0509" xfId="42" xr:uid="{00000000-0005-0000-0000-000029000000}"/>
    <cellStyle name="‡_BOOK1_Claim Summary_3667C Sanga PMR May 07 Rev 1_DailyPerformance-0609" xfId="43" xr:uid="{00000000-0005-0000-0000-00002A000000}"/>
    <cellStyle name="‡_BOOK1_Claim Summary_3667C Sanga PMR May 07 Rev 1_DailyPerformance-0709" xfId="44" xr:uid="{00000000-0005-0000-0000-00002B000000}"/>
    <cellStyle name="‡_BOOK1_Claim Summary_3667C Sanga PMR May 07 Rev 1_DailyPerformance-0709-rev" xfId="45" xr:uid="{00000000-0005-0000-0000-00002C000000}"/>
    <cellStyle name="‡_BOOK1_Claim Summary_3667C Sanga PMR May 07 Rev 1_DailyPerformance-0809" xfId="46" xr:uid="{00000000-0005-0000-0000-00002D000000}"/>
    <cellStyle name="‡_BOOK1_Claim Summary_3667C Sanga PMR May 07 Rev 1_DailyPerformance-0809R" xfId="47" xr:uid="{00000000-0005-0000-0000-00002E000000}"/>
    <cellStyle name="‡_BOOK1_Claim Summary_3667C Sanga PMR May 07 Rev 1_Sanga MIS Target Aug09 4 fleets" xfId="48" xr:uid="{00000000-0005-0000-0000-00002F000000}"/>
    <cellStyle name="‡_BOOK1_Claim Summary_3667C Sanga PMR May 07 Rev 1_Sanga MIS Target May'09 5 fleets R2" xfId="49" xr:uid="{00000000-0005-0000-0000-000030000000}"/>
    <cellStyle name="‡_BOOK1_Claim Summary_3667C Sanga PMR May 07 Rev 1_Sanga MIS Targets - Aug 2009-4 fleet" xfId="50" xr:uid="{00000000-0005-0000-0000-000031000000}"/>
    <cellStyle name="‡_BOOK1_Claim Summary_DailyPerformance-0409 ( 5 fleets)" xfId="51" xr:uid="{00000000-0005-0000-0000-000032000000}"/>
    <cellStyle name="‡_BOOK1_Claim Summary_DailyPerformance-0509" xfId="52" xr:uid="{00000000-0005-0000-0000-000033000000}"/>
    <cellStyle name="‡_BOOK1_Claim Summary_DailyPerformance-0609" xfId="53" xr:uid="{00000000-0005-0000-0000-000034000000}"/>
    <cellStyle name="‡_BOOK1_Claim Summary_DailyPerformance-0709" xfId="54" xr:uid="{00000000-0005-0000-0000-000035000000}"/>
    <cellStyle name="‡_BOOK1_Claim Summary_DailyPerformance-0709-rev" xfId="55" xr:uid="{00000000-0005-0000-0000-000036000000}"/>
    <cellStyle name="‡_BOOK1_Claim Summary_DailyPerformance-0809" xfId="56" xr:uid="{00000000-0005-0000-0000-000037000000}"/>
    <cellStyle name="‡_BOOK1_Claim Summary_DailyPerformance-0809R" xfId="57" xr:uid="{00000000-0005-0000-0000-000038000000}"/>
    <cellStyle name="‡_BOOK1_Claim Summary_Sanga MIS Target Aug09 4 fleets" xfId="58" xr:uid="{00000000-0005-0000-0000-000039000000}"/>
    <cellStyle name="‡_BOOK1_Claim Summary_Sanga MIS Target May'09 5 fleets R2" xfId="59" xr:uid="{00000000-0005-0000-0000-00003A000000}"/>
    <cellStyle name="‡_BOOK1_Claim Summary_Sanga MIS Targets - Aug 2009-4 fleet" xfId="60" xr:uid="{00000000-0005-0000-0000-00003B000000}"/>
    <cellStyle name="‡_BOOK1_Projection_Prod_SAMO_2008_180607" xfId="3665" xr:uid="{9E9363DC-6FB7-4139-8874-C6D22FB48578}"/>
    <cellStyle name="‡_BOOK1_Rep-3323c(0901)" xfId="61" xr:uid="{00000000-0005-0000-0000-00003C000000}"/>
    <cellStyle name="‡_BOOK1_Rep-3323c(0901)_3667C Sanga PMR Mar 07 Rev2" xfId="62" xr:uid="{00000000-0005-0000-0000-00003D000000}"/>
    <cellStyle name="‡_BOOK1_Rep-3323c(0901)_3667C Sanga PMR Mar 07 Rev2_DailyPerformance-0409 ( 5 fleets)" xfId="63" xr:uid="{00000000-0005-0000-0000-00003E000000}"/>
    <cellStyle name="‡_BOOK1_Rep-3323c(0901)_3667C Sanga PMR Mar 07 Rev2_DailyPerformance-0509" xfId="64" xr:uid="{00000000-0005-0000-0000-00003F000000}"/>
    <cellStyle name="‡_BOOK1_Rep-3323c(0901)_3667C Sanga PMR Mar 07 Rev2_DailyPerformance-0609" xfId="65" xr:uid="{00000000-0005-0000-0000-000040000000}"/>
    <cellStyle name="‡_BOOK1_Rep-3323c(0901)_3667C Sanga PMR Mar 07 Rev2_DailyPerformance-0709" xfId="66" xr:uid="{00000000-0005-0000-0000-000041000000}"/>
    <cellStyle name="‡_BOOK1_Rep-3323c(0901)_3667C Sanga PMR Mar 07 Rev2_DailyPerformance-0709-rev" xfId="67" xr:uid="{00000000-0005-0000-0000-000042000000}"/>
    <cellStyle name="‡_BOOK1_Rep-3323c(0901)_3667C Sanga PMR Mar 07 Rev2_DailyPerformance-0809" xfId="68" xr:uid="{00000000-0005-0000-0000-000043000000}"/>
    <cellStyle name="‡_BOOK1_Rep-3323c(0901)_3667C Sanga PMR Mar 07 Rev2_DailyPerformance-0809R" xfId="69" xr:uid="{00000000-0005-0000-0000-000044000000}"/>
    <cellStyle name="‡_BOOK1_Rep-3323c(0901)_3667C Sanga PMR Mar 07 Rev2_Sanga MIS Target Aug09 4 fleets" xfId="70" xr:uid="{00000000-0005-0000-0000-000045000000}"/>
    <cellStyle name="‡_BOOK1_Rep-3323c(0901)_3667C Sanga PMR Mar 07 Rev2_Sanga MIS Target May'09 5 fleets R2" xfId="71" xr:uid="{00000000-0005-0000-0000-000046000000}"/>
    <cellStyle name="‡_BOOK1_Rep-3323c(0901)_3667C Sanga PMR Mar 07 Rev2_Sanga MIS Targets - Aug 2009-4 fleet" xfId="72" xr:uid="{00000000-0005-0000-0000-000047000000}"/>
    <cellStyle name="‡_BOOK1_Rep-3323c(0901)_3667C Sanga PMR May 07 Rev 1" xfId="73" xr:uid="{00000000-0005-0000-0000-000048000000}"/>
    <cellStyle name="‡_BOOK1_Rep-3323c(0901)_3667C Sanga PMR May 07 Rev 1_DailyPerformance-0409 ( 5 fleets)" xfId="74" xr:uid="{00000000-0005-0000-0000-000049000000}"/>
    <cellStyle name="‡_BOOK1_Rep-3323c(0901)_3667C Sanga PMR May 07 Rev 1_DailyPerformance-0509" xfId="75" xr:uid="{00000000-0005-0000-0000-00004A000000}"/>
    <cellStyle name="‡_BOOK1_Rep-3323c(0901)_3667C Sanga PMR May 07 Rev 1_DailyPerformance-0609" xfId="76" xr:uid="{00000000-0005-0000-0000-00004B000000}"/>
    <cellStyle name="‡_BOOK1_Rep-3323c(0901)_3667C Sanga PMR May 07 Rev 1_DailyPerformance-0709" xfId="77" xr:uid="{00000000-0005-0000-0000-00004C000000}"/>
    <cellStyle name="‡_BOOK1_Rep-3323c(0901)_3667C Sanga PMR May 07 Rev 1_DailyPerformance-0709-rev" xfId="78" xr:uid="{00000000-0005-0000-0000-00004D000000}"/>
    <cellStyle name="‡_BOOK1_Rep-3323c(0901)_3667C Sanga PMR May 07 Rev 1_DailyPerformance-0809" xfId="79" xr:uid="{00000000-0005-0000-0000-00004E000000}"/>
    <cellStyle name="‡_BOOK1_Rep-3323c(0901)_3667C Sanga PMR May 07 Rev 1_DailyPerformance-0809R" xfId="80" xr:uid="{00000000-0005-0000-0000-00004F000000}"/>
    <cellStyle name="‡_BOOK1_Rep-3323c(0901)_3667C Sanga PMR May 07 Rev 1_Sanga MIS Target Aug09 4 fleets" xfId="81" xr:uid="{00000000-0005-0000-0000-000050000000}"/>
    <cellStyle name="‡_BOOK1_Rep-3323c(0901)_3667C Sanga PMR May 07 Rev 1_Sanga MIS Target May'09 5 fleets R2" xfId="82" xr:uid="{00000000-0005-0000-0000-000051000000}"/>
    <cellStyle name="‡_BOOK1_Rep-3323c(0901)_3667C Sanga PMR May 07 Rev 1_Sanga MIS Targets - Aug 2009-4 fleet" xfId="83" xr:uid="{00000000-0005-0000-0000-000052000000}"/>
    <cellStyle name="‡_BOOK1_Rep-3323c(0901)_DailyPerformance-0409 ( 5 fleets)" xfId="84" xr:uid="{00000000-0005-0000-0000-000053000000}"/>
    <cellStyle name="‡_BOOK1_Rep-3323c(0901)_DailyPerformance-0509" xfId="85" xr:uid="{00000000-0005-0000-0000-000054000000}"/>
    <cellStyle name="‡_BOOK1_Rep-3323c(0901)_DailyPerformance-0609" xfId="86" xr:uid="{00000000-0005-0000-0000-000055000000}"/>
    <cellStyle name="‡_BOOK1_Rep-3323c(0901)_DailyPerformance-0709" xfId="87" xr:uid="{00000000-0005-0000-0000-000056000000}"/>
    <cellStyle name="‡_BOOK1_Rep-3323c(0901)_DailyPerformance-0709-rev" xfId="88" xr:uid="{00000000-0005-0000-0000-000057000000}"/>
    <cellStyle name="‡_BOOK1_Rep-3323c(0901)_DailyPerformance-0809" xfId="89" xr:uid="{00000000-0005-0000-0000-000058000000}"/>
    <cellStyle name="‡_BOOK1_Rep-3323c(0901)_DailyPerformance-0809R" xfId="90" xr:uid="{00000000-0005-0000-0000-000059000000}"/>
    <cellStyle name="‡_BOOK1_Rep-3323c(0901)_Sanga MIS Target Aug09 4 fleets" xfId="91" xr:uid="{00000000-0005-0000-0000-00005A000000}"/>
    <cellStyle name="‡_BOOK1_Rep-3323c(0901)_Sanga MIS Target May'09 5 fleets R2" xfId="92" xr:uid="{00000000-0005-0000-0000-00005B000000}"/>
    <cellStyle name="‡_BOOK1_Rep-3323c(0901)_Sanga MIS Targets - Aug 2009-4 fleet" xfId="93" xr:uid="{00000000-0005-0000-0000-00005C000000}"/>
    <cellStyle name="‡_BOOK1_Summary of_Projection_Prod_All Site_2008_180607" xfId="3666" xr:uid="{64C55F94-104C-4032-ABB8-D9916CFE034C}"/>
    <cellStyle name="‡_DailyPerformance-0409 ( 5 fleets)" xfId="94" xr:uid="{00000000-0005-0000-0000-00005D000000}"/>
    <cellStyle name="‡_DailyPerformance-0509" xfId="95" xr:uid="{00000000-0005-0000-0000-00005E000000}"/>
    <cellStyle name="‡_DailyPerformance-0609" xfId="96" xr:uid="{00000000-0005-0000-0000-00005F000000}"/>
    <cellStyle name="‡_DailyPerformance-0709" xfId="97" xr:uid="{00000000-0005-0000-0000-000060000000}"/>
    <cellStyle name="‡_DailyPerformance-0709-rev" xfId="98" xr:uid="{00000000-0005-0000-0000-000061000000}"/>
    <cellStyle name="‡_DailyPerformance-0809" xfId="99" xr:uid="{00000000-0005-0000-0000-000062000000}"/>
    <cellStyle name="‡_DailyPerformance-0809R" xfId="100" xr:uid="{00000000-0005-0000-0000-000063000000}"/>
    <cellStyle name="‡_Outlook Production Schedule 2008 ADMO_Rev05_Q1" xfId="3667" xr:uid="{52F480CB-437E-46DA-9C6F-C044C055E82F}"/>
    <cellStyle name="‡_Production Schedule 2008 ADMO_Q2" xfId="3668" xr:uid="{A91F596B-67FA-4B33-AB43-D274062CAFFD}"/>
    <cellStyle name="‡_Projection_Prod_SAMO_2008_180607" xfId="3669" xr:uid="{F0C54BC2-BD6D-4CA3-8AAC-AAB29E3B5BB7}"/>
    <cellStyle name="‡_Sanga MIS Target Aug09 4 fleets" xfId="101" xr:uid="{00000000-0005-0000-0000-000064000000}"/>
    <cellStyle name="‡_Sanga MIS Target May'09 5 fleets R2" xfId="102" xr:uid="{00000000-0005-0000-0000-000065000000}"/>
    <cellStyle name="‡_Sanga MIS Targets - Aug 2009-4 fleet" xfId="103" xr:uid="{00000000-0005-0000-0000-000066000000}"/>
    <cellStyle name="‡_STA-DRP" xfId="104" xr:uid="{00000000-0005-0000-0000-000067000000}"/>
    <cellStyle name="‡_STA-DRP_0.0. Operation Director Policy 2008" xfId="3670" xr:uid="{128489FF-67F0-4313-A83F-755342FEBFA4}"/>
    <cellStyle name="‡_STA-DRP_3667C Sanga PMR Mar 07 Rev2" xfId="105" xr:uid="{00000000-0005-0000-0000-000068000000}"/>
    <cellStyle name="‡_STA-DRP_3667C Sanga PMR Mar 07 Rev2_DailyPerformance-0409 ( 5 fleets)" xfId="106" xr:uid="{00000000-0005-0000-0000-000069000000}"/>
    <cellStyle name="‡_STA-DRP_3667C Sanga PMR Mar 07 Rev2_DailyPerformance-0509" xfId="107" xr:uid="{00000000-0005-0000-0000-00006A000000}"/>
    <cellStyle name="‡_STA-DRP_3667C Sanga PMR Mar 07 Rev2_DailyPerformance-0609" xfId="108" xr:uid="{00000000-0005-0000-0000-00006B000000}"/>
    <cellStyle name="‡_STA-DRP_3667C Sanga PMR Mar 07 Rev2_DailyPerformance-0709" xfId="109" xr:uid="{00000000-0005-0000-0000-00006C000000}"/>
    <cellStyle name="‡_STA-DRP_3667C Sanga PMR Mar 07 Rev2_DailyPerformance-0709-rev" xfId="110" xr:uid="{00000000-0005-0000-0000-00006D000000}"/>
    <cellStyle name="‡_STA-DRP_3667C Sanga PMR Mar 07 Rev2_DailyPerformance-0809" xfId="111" xr:uid="{00000000-0005-0000-0000-00006E000000}"/>
    <cellStyle name="‡_STA-DRP_3667C Sanga PMR Mar 07 Rev2_DailyPerformance-0809R" xfId="112" xr:uid="{00000000-0005-0000-0000-00006F000000}"/>
    <cellStyle name="‡_STA-DRP_3667C Sanga PMR Mar 07 Rev2_Sanga MIS Target Aug09 4 fleets" xfId="113" xr:uid="{00000000-0005-0000-0000-000070000000}"/>
    <cellStyle name="‡_STA-DRP_3667C Sanga PMR Mar 07 Rev2_Sanga MIS Target May'09 5 fleets R2" xfId="114" xr:uid="{00000000-0005-0000-0000-000071000000}"/>
    <cellStyle name="‡_STA-DRP_3667C Sanga PMR Mar 07 Rev2_Sanga MIS Targets - Aug 2009-4 fleet" xfId="115" xr:uid="{00000000-0005-0000-0000-000072000000}"/>
    <cellStyle name="‡_STA-DRP_3667C Sanga PMR May 07 Rev 1" xfId="116" xr:uid="{00000000-0005-0000-0000-000073000000}"/>
    <cellStyle name="‡_STA-DRP_3667C Sanga PMR May 07 Rev 1_DailyPerformance-0409 ( 5 fleets)" xfId="117" xr:uid="{00000000-0005-0000-0000-000074000000}"/>
    <cellStyle name="‡_STA-DRP_3667C Sanga PMR May 07 Rev 1_DailyPerformance-0509" xfId="118" xr:uid="{00000000-0005-0000-0000-000075000000}"/>
    <cellStyle name="‡_STA-DRP_3667C Sanga PMR May 07 Rev 1_DailyPerformance-0609" xfId="119" xr:uid="{00000000-0005-0000-0000-000076000000}"/>
    <cellStyle name="‡_STA-DRP_3667C Sanga PMR May 07 Rev 1_DailyPerformance-0709" xfId="120" xr:uid="{00000000-0005-0000-0000-000077000000}"/>
    <cellStyle name="‡_STA-DRP_3667C Sanga PMR May 07 Rev 1_DailyPerformance-0709-rev" xfId="121" xr:uid="{00000000-0005-0000-0000-000078000000}"/>
    <cellStyle name="‡_STA-DRP_3667C Sanga PMR May 07 Rev 1_DailyPerformance-0809" xfId="122" xr:uid="{00000000-0005-0000-0000-000079000000}"/>
    <cellStyle name="‡_STA-DRP_3667C Sanga PMR May 07 Rev 1_DailyPerformance-0809R" xfId="123" xr:uid="{00000000-0005-0000-0000-00007A000000}"/>
    <cellStyle name="‡_STA-DRP_3667C Sanga PMR May 07 Rev 1_Sanga MIS Target Aug09 4 fleets" xfId="124" xr:uid="{00000000-0005-0000-0000-00007B000000}"/>
    <cellStyle name="‡_STA-DRP_3667C Sanga PMR May 07 Rev 1_Sanga MIS Target May'09 5 fleets R2" xfId="125" xr:uid="{00000000-0005-0000-0000-00007C000000}"/>
    <cellStyle name="‡_STA-DRP_3667C Sanga PMR May 07 Rev 1_Sanga MIS Targets - Aug 2009-4 fleet" xfId="126" xr:uid="{00000000-0005-0000-0000-00007D000000}"/>
    <cellStyle name="‡_STA-DRP_BOOK1" xfId="127" xr:uid="{00000000-0005-0000-0000-00007E000000}"/>
    <cellStyle name="‡_STA-DRP_BOOK1_3667C Sanga PMR Mar 07 Rev2" xfId="128" xr:uid="{00000000-0005-0000-0000-00007F000000}"/>
    <cellStyle name="‡_STA-DRP_BOOK1_3667C Sanga PMR May 07 Rev 1" xfId="129" xr:uid="{00000000-0005-0000-0000-000080000000}"/>
    <cellStyle name="‡_STA-DRP_BOOK1_Claim Summary" xfId="130" xr:uid="{00000000-0005-0000-0000-000081000000}"/>
    <cellStyle name="‡_STA-DRP_BOOK1_Claim Summary_3667C Sanga PMR Mar 07 Rev2" xfId="131" xr:uid="{00000000-0005-0000-0000-000082000000}"/>
    <cellStyle name="‡_STA-DRP_BOOK1_Claim Summary_3667C Sanga PMR Mar 07 Rev2_DailyPerformance-0409 ( 5 fleets)" xfId="132" xr:uid="{00000000-0005-0000-0000-000083000000}"/>
    <cellStyle name="‡_STA-DRP_BOOK1_Claim Summary_3667C Sanga PMR Mar 07 Rev2_DailyPerformance-0509" xfId="133" xr:uid="{00000000-0005-0000-0000-000084000000}"/>
    <cellStyle name="‡_STA-DRP_BOOK1_Claim Summary_3667C Sanga PMR Mar 07 Rev2_DailyPerformance-0609" xfId="134" xr:uid="{00000000-0005-0000-0000-000085000000}"/>
    <cellStyle name="‡_STA-DRP_BOOK1_Claim Summary_3667C Sanga PMR Mar 07 Rev2_DailyPerformance-0709" xfId="135" xr:uid="{00000000-0005-0000-0000-000086000000}"/>
    <cellStyle name="‡_STA-DRP_BOOK1_Claim Summary_3667C Sanga PMR Mar 07 Rev2_DailyPerformance-0709-rev" xfId="136" xr:uid="{00000000-0005-0000-0000-000087000000}"/>
    <cellStyle name="‡_STA-DRP_BOOK1_Claim Summary_3667C Sanga PMR Mar 07 Rev2_DailyPerformance-0809" xfId="137" xr:uid="{00000000-0005-0000-0000-000088000000}"/>
    <cellStyle name="‡_STA-DRP_BOOK1_Claim Summary_3667C Sanga PMR Mar 07 Rev2_DailyPerformance-0809R" xfId="138" xr:uid="{00000000-0005-0000-0000-000089000000}"/>
    <cellStyle name="‡_STA-DRP_BOOK1_Claim Summary_3667C Sanga PMR Mar 07 Rev2_Sanga MIS Target Aug09 4 fleets" xfId="139" xr:uid="{00000000-0005-0000-0000-00008A000000}"/>
    <cellStyle name="‡_STA-DRP_BOOK1_Claim Summary_3667C Sanga PMR Mar 07 Rev2_Sanga MIS Target May'09 5 fleets R2" xfId="140" xr:uid="{00000000-0005-0000-0000-00008B000000}"/>
    <cellStyle name="‡_STA-DRP_BOOK1_Claim Summary_3667C Sanga PMR Mar 07 Rev2_Sanga MIS Targets - Aug 2009-4 fleet" xfId="141" xr:uid="{00000000-0005-0000-0000-00008C000000}"/>
    <cellStyle name="‡_STA-DRP_BOOK1_Claim Summary_3667C Sanga PMR May 07 Rev 1" xfId="142" xr:uid="{00000000-0005-0000-0000-00008D000000}"/>
    <cellStyle name="‡_STA-DRP_BOOK1_Claim Summary_3667C Sanga PMR May 07 Rev 1_DailyPerformance-0409 ( 5 fleets)" xfId="143" xr:uid="{00000000-0005-0000-0000-00008E000000}"/>
    <cellStyle name="‡_STA-DRP_BOOK1_Claim Summary_3667C Sanga PMR May 07 Rev 1_DailyPerformance-0509" xfId="144" xr:uid="{00000000-0005-0000-0000-00008F000000}"/>
    <cellStyle name="‡_STA-DRP_BOOK1_Claim Summary_3667C Sanga PMR May 07 Rev 1_DailyPerformance-0609" xfId="145" xr:uid="{00000000-0005-0000-0000-000090000000}"/>
    <cellStyle name="‡_STA-DRP_BOOK1_Claim Summary_3667C Sanga PMR May 07 Rev 1_DailyPerformance-0709" xfId="146" xr:uid="{00000000-0005-0000-0000-000091000000}"/>
    <cellStyle name="‡_STA-DRP_BOOK1_Claim Summary_3667C Sanga PMR May 07 Rev 1_DailyPerformance-0709-rev" xfId="147" xr:uid="{00000000-0005-0000-0000-000092000000}"/>
    <cellStyle name="‡_STA-DRP_BOOK1_Claim Summary_3667C Sanga PMR May 07 Rev 1_DailyPerformance-0809" xfId="148" xr:uid="{00000000-0005-0000-0000-000093000000}"/>
    <cellStyle name="‡_STA-DRP_BOOK1_Claim Summary_3667C Sanga PMR May 07 Rev 1_DailyPerformance-0809R" xfId="149" xr:uid="{00000000-0005-0000-0000-000094000000}"/>
    <cellStyle name="‡_STA-DRP_BOOK1_Claim Summary_3667C Sanga PMR May 07 Rev 1_Sanga MIS Target Aug09 4 fleets" xfId="150" xr:uid="{00000000-0005-0000-0000-000095000000}"/>
    <cellStyle name="‡_STA-DRP_BOOK1_Claim Summary_3667C Sanga PMR May 07 Rev 1_Sanga MIS Target May'09 5 fleets R2" xfId="151" xr:uid="{00000000-0005-0000-0000-000096000000}"/>
    <cellStyle name="‡_STA-DRP_BOOK1_Claim Summary_3667C Sanga PMR May 07 Rev 1_Sanga MIS Targets - Aug 2009-4 fleet" xfId="152" xr:uid="{00000000-0005-0000-0000-000097000000}"/>
    <cellStyle name="‡_STA-DRP_BOOK1_Claim Summary_DailyPerformance-0409 ( 5 fleets)" xfId="153" xr:uid="{00000000-0005-0000-0000-000098000000}"/>
    <cellStyle name="‡_STA-DRP_BOOK1_Claim Summary_DailyPerformance-0509" xfId="154" xr:uid="{00000000-0005-0000-0000-000099000000}"/>
    <cellStyle name="‡_STA-DRP_BOOK1_Claim Summary_DailyPerformance-0609" xfId="155" xr:uid="{00000000-0005-0000-0000-00009A000000}"/>
    <cellStyle name="‡_STA-DRP_BOOK1_Claim Summary_DailyPerformance-0709" xfId="156" xr:uid="{00000000-0005-0000-0000-00009B000000}"/>
    <cellStyle name="‡_STA-DRP_BOOK1_Claim Summary_DailyPerformance-0709-rev" xfId="157" xr:uid="{00000000-0005-0000-0000-00009C000000}"/>
    <cellStyle name="‡_STA-DRP_BOOK1_Claim Summary_DailyPerformance-0809" xfId="158" xr:uid="{00000000-0005-0000-0000-00009D000000}"/>
    <cellStyle name="‡_STA-DRP_BOOK1_Claim Summary_DailyPerformance-0809R" xfId="159" xr:uid="{00000000-0005-0000-0000-00009E000000}"/>
    <cellStyle name="‡_STA-DRP_BOOK1_Claim Summary_Sanga MIS Target Aug09 4 fleets" xfId="160" xr:uid="{00000000-0005-0000-0000-00009F000000}"/>
    <cellStyle name="‡_STA-DRP_BOOK1_Claim Summary_Sanga MIS Target May'09 5 fleets R2" xfId="161" xr:uid="{00000000-0005-0000-0000-0000A0000000}"/>
    <cellStyle name="‡_STA-DRP_BOOK1_Claim Summary_Sanga MIS Targets - Aug 2009-4 fleet" xfId="162" xr:uid="{00000000-0005-0000-0000-0000A1000000}"/>
    <cellStyle name="‡_STA-DRP_BOOK1_Projection_Prod_SAMO_2008_180607" xfId="3671" xr:uid="{00E170A7-2513-4414-8A0D-D997452C9974}"/>
    <cellStyle name="‡_STA-DRP_BOOK1_Rep-3323c(0901)" xfId="163" xr:uid="{00000000-0005-0000-0000-0000A2000000}"/>
    <cellStyle name="‡_STA-DRP_BOOK1_Rep-3323c(0901)_3667C Sanga PMR Mar 07 Rev2" xfId="164" xr:uid="{00000000-0005-0000-0000-0000A3000000}"/>
    <cellStyle name="‡_STA-DRP_BOOK1_Rep-3323c(0901)_3667C Sanga PMR Mar 07 Rev2_DailyPerformance-0409 ( 5 fleets)" xfId="165" xr:uid="{00000000-0005-0000-0000-0000A4000000}"/>
    <cellStyle name="‡_STA-DRP_BOOK1_Rep-3323c(0901)_3667C Sanga PMR Mar 07 Rev2_DailyPerformance-0509" xfId="166" xr:uid="{00000000-0005-0000-0000-0000A5000000}"/>
    <cellStyle name="‡_STA-DRP_BOOK1_Rep-3323c(0901)_3667C Sanga PMR Mar 07 Rev2_DailyPerformance-0609" xfId="167" xr:uid="{00000000-0005-0000-0000-0000A6000000}"/>
    <cellStyle name="‡_STA-DRP_BOOK1_Rep-3323c(0901)_3667C Sanga PMR Mar 07 Rev2_DailyPerformance-0709" xfId="168" xr:uid="{00000000-0005-0000-0000-0000A7000000}"/>
    <cellStyle name="‡_STA-DRP_BOOK1_Rep-3323c(0901)_3667C Sanga PMR Mar 07 Rev2_DailyPerformance-0709-rev" xfId="169" xr:uid="{00000000-0005-0000-0000-0000A8000000}"/>
    <cellStyle name="‡_STA-DRP_BOOK1_Rep-3323c(0901)_3667C Sanga PMR Mar 07 Rev2_DailyPerformance-0809" xfId="170" xr:uid="{00000000-0005-0000-0000-0000A9000000}"/>
    <cellStyle name="‡_STA-DRP_BOOK1_Rep-3323c(0901)_3667C Sanga PMR Mar 07 Rev2_DailyPerformance-0809R" xfId="171" xr:uid="{00000000-0005-0000-0000-0000AA000000}"/>
    <cellStyle name="‡_STA-DRP_BOOK1_Rep-3323c(0901)_3667C Sanga PMR Mar 07 Rev2_Sanga MIS Target Aug09 4 fleets" xfId="172" xr:uid="{00000000-0005-0000-0000-0000AB000000}"/>
    <cellStyle name="‡_STA-DRP_BOOK1_Rep-3323c(0901)_3667C Sanga PMR Mar 07 Rev2_Sanga MIS Target May'09 5 fleets R2" xfId="173" xr:uid="{00000000-0005-0000-0000-0000AC000000}"/>
    <cellStyle name="‡_STA-DRP_BOOK1_Rep-3323c(0901)_3667C Sanga PMR Mar 07 Rev2_Sanga MIS Targets - Aug 2009-4 fleet" xfId="174" xr:uid="{00000000-0005-0000-0000-0000AD000000}"/>
    <cellStyle name="‡_STA-DRP_BOOK1_Rep-3323c(0901)_3667C Sanga PMR May 07 Rev 1" xfId="175" xr:uid="{00000000-0005-0000-0000-0000AE000000}"/>
    <cellStyle name="‡_STA-DRP_BOOK1_Rep-3323c(0901)_3667C Sanga PMR May 07 Rev 1_DailyPerformance-0409 ( 5 fleets)" xfId="176" xr:uid="{00000000-0005-0000-0000-0000AF000000}"/>
    <cellStyle name="‡_STA-DRP_BOOK1_Rep-3323c(0901)_3667C Sanga PMR May 07 Rev 1_DailyPerformance-0509" xfId="177" xr:uid="{00000000-0005-0000-0000-0000B0000000}"/>
    <cellStyle name="‡_STA-DRP_BOOK1_Rep-3323c(0901)_3667C Sanga PMR May 07 Rev 1_DailyPerformance-0609" xfId="178" xr:uid="{00000000-0005-0000-0000-0000B1000000}"/>
    <cellStyle name="‡_STA-DRP_BOOK1_Rep-3323c(0901)_3667C Sanga PMR May 07 Rev 1_DailyPerformance-0709" xfId="179" xr:uid="{00000000-0005-0000-0000-0000B2000000}"/>
    <cellStyle name="‡_STA-DRP_BOOK1_Rep-3323c(0901)_3667C Sanga PMR May 07 Rev 1_DailyPerformance-0709-rev" xfId="180" xr:uid="{00000000-0005-0000-0000-0000B3000000}"/>
    <cellStyle name="‡_STA-DRP_BOOK1_Rep-3323c(0901)_3667C Sanga PMR May 07 Rev 1_DailyPerformance-0809" xfId="181" xr:uid="{00000000-0005-0000-0000-0000B4000000}"/>
    <cellStyle name="‡_STA-DRP_BOOK1_Rep-3323c(0901)_3667C Sanga PMR May 07 Rev 1_DailyPerformance-0809R" xfId="182" xr:uid="{00000000-0005-0000-0000-0000B5000000}"/>
    <cellStyle name="‡_STA-DRP_BOOK1_Rep-3323c(0901)_3667C Sanga PMR May 07 Rev 1_Sanga MIS Target Aug09 4 fleets" xfId="183" xr:uid="{00000000-0005-0000-0000-0000B6000000}"/>
    <cellStyle name="‡_STA-DRP_BOOK1_Rep-3323c(0901)_3667C Sanga PMR May 07 Rev 1_Sanga MIS Target May'09 5 fleets R2" xfId="184" xr:uid="{00000000-0005-0000-0000-0000B7000000}"/>
    <cellStyle name="‡_STA-DRP_BOOK1_Rep-3323c(0901)_3667C Sanga PMR May 07 Rev 1_Sanga MIS Targets - Aug 2009-4 fleet" xfId="185" xr:uid="{00000000-0005-0000-0000-0000B8000000}"/>
    <cellStyle name="‡_STA-DRP_BOOK1_Rep-3323c(0901)_DailyPerformance-0409 ( 5 fleets)" xfId="186" xr:uid="{00000000-0005-0000-0000-0000B9000000}"/>
    <cellStyle name="‡_STA-DRP_BOOK1_Rep-3323c(0901)_DailyPerformance-0509" xfId="187" xr:uid="{00000000-0005-0000-0000-0000BA000000}"/>
    <cellStyle name="‡_STA-DRP_BOOK1_Rep-3323c(0901)_DailyPerformance-0609" xfId="188" xr:uid="{00000000-0005-0000-0000-0000BB000000}"/>
    <cellStyle name="‡_STA-DRP_BOOK1_Rep-3323c(0901)_DailyPerformance-0709" xfId="189" xr:uid="{00000000-0005-0000-0000-0000BC000000}"/>
    <cellStyle name="‡_STA-DRP_BOOK1_Rep-3323c(0901)_DailyPerformance-0709-rev" xfId="190" xr:uid="{00000000-0005-0000-0000-0000BD000000}"/>
    <cellStyle name="‡_STA-DRP_BOOK1_Rep-3323c(0901)_DailyPerformance-0809" xfId="191" xr:uid="{00000000-0005-0000-0000-0000BE000000}"/>
    <cellStyle name="‡_STA-DRP_BOOK1_Rep-3323c(0901)_DailyPerformance-0809R" xfId="192" xr:uid="{00000000-0005-0000-0000-0000BF000000}"/>
    <cellStyle name="‡_STA-DRP_BOOK1_Rep-3323c(0901)_Sanga MIS Target Aug09 4 fleets" xfId="193" xr:uid="{00000000-0005-0000-0000-0000C0000000}"/>
    <cellStyle name="‡_STA-DRP_BOOK1_Rep-3323c(0901)_Sanga MIS Target May'09 5 fleets R2" xfId="194" xr:uid="{00000000-0005-0000-0000-0000C1000000}"/>
    <cellStyle name="‡_STA-DRP_BOOK1_Rep-3323c(0901)_Sanga MIS Targets - Aug 2009-4 fleet" xfId="195" xr:uid="{00000000-0005-0000-0000-0000C2000000}"/>
    <cellStyle name="‡_STA-DRP_BOOK1_Summary of_Projection_Prod_All Site_2008_180607" xfId="3672" xr:uid="{60A05B5D-1EB1-4485-9B13-A4F17A713182}"/>
    <cellStyle name="‡_STA-DRP_DailyPerformance-0409 ( 5 fleets)" xfId="196" xr:uid="{00000000-0005-0000-0000-0000C3000000}"/>
    <cellStyle name="‡_STA-DRP_DailyPerformance-0509" xfId="197" xr:uid="{00000000-0005-0000-0000-0000C4000000}"/>
    <cellStyle name="‡_STA-DRP_DailyPerformance-0609" xfId="198" xr:uid="{00000000-0005-0000-0000-0000C5000000}"/>
    <cellStyle name="‡_STA-DRP_DailyPerformance-0709" xfId="199" xr:uid="{00000000-0005-0000-0000-0000C6000000}"/>
    <cellStyle name="‡_STA-DRP_DailyPerformance-0709-rev" xfId="200" xr:uid="{00000000-0005-0000-0000-0000C7000000}"/>
    <cellStyle name="‡_STA-DRP_DailyPerformance-0809" xfId="201" xr:uid="{00000000-0005-0000-0000-0000C8000000}"/>
    <cellStyle name="‡_STA-DRP_DailyPerformance-0809R" xfId="202" xr:uid="{00000000-0005-0000-0000-0000C9000000}"/>
    <cellStyle name="‡_STA-DRP_Outlook Production Schedule 2008 ADMO_Rev05_Q1" xfId="3673" xr:uid="{12BD4CE5-12D3-4EA5-8060-1E9B55AC5334}"/>
    <cellStyle name="‡_STA-DRP_Production Schedule 2008 ADMO_Q2" xfId="3674" xr:uid="{32A9347E-C130-49D9-8572-C555324D510C}"/>
    <cellStyle name="‡_STA-DRP_Projection_Prod_SAMO_2008_180607" xfId="3675" xr:uid="{AB57009E-CF08-4D12-9CAE-07778B17F49E}"/>
    <cellStyle name="‡_STA-DRP_Sanga MIS Target Aug09 4 fleets" xfId="203" xr:uid="{00000000-0005-0000-0000-0000CA000000}"/>
    <cellStyle name="‡_STA-DRP_Sanga MIS Target May'09 5 fleets R2" xfId="204" xr:uid="{00000000-0005-0000-0000-0000CB000000}"/>
    <cellStyle name="‡_STA-DRP_Sanga MIS Targets - Aug 2009-4 fleet" xfId="205" xr:uid="{00000000-0005-0000-0000-0000CC000000}"/>
    <cellStyle name="‡_STA-DRP_Summary of_Projection_Prod_All Site_2008_180607" xfId="3676" xr:uid="{0567A83B-490C-44CE-A459-6DCC99D2B4B5}"/>
    <cellStyle name="‡_Summary of_Projection_Prod_All Site_2008_180607" xfId="3677" xr:uid="{C882AB28-D3E7-4941-A8FF-8CA57B397BC6}"/>
    <cellStyle name="W_repair-duri" xfId="206" xr:uid="{00000000-0005-0000-0000-0000CD000000}"/>
    <cellStyle name="¹éºÐÀ²_±âÅ¸" xfId="207" xr:uid="{00000000-0005-0000-0000-0000CE000000}"/>
    <cellStyle name="20% - Accent1" xfId="208" builtinId="30" customBuiltin="1"/>
    <cellStyle name="20% - Accent1 2" xfId="209" xr:uid="{00000000-0005-0000-0000-0000D0000000}"/>
    <cellStyle name="20% - Accent1 2 2" xfId="210" xr:uid="{00000000-0005-0000-0000-0000D1000000}"/>
    <cellStyle name="20% - Accent1 2 2 2" xfId="2176" xr:uid="{84ED6F75-C3D6-4A06-BC42-903BBD6B80BE}"/>
    <cellStyle name="20% - Accent1 2 3" xfId="211" xr:uid="{00000000-0005-0000-0000-0000D2000000}"/>
    <cellStyle name="20% - Accent1 2 3 2" xfId="2177" xr:uid="{A17116FA-31D7-45D1-B304-C8FA2FF9482E}"/>
    <cellStyle name="20% - Accent1 2 4" xfId="212" xr:uid="{00000000-0005-0000-0000-0000D3000000}"/>
    <cellStyle name="20% - Accent1 2 4 2" xfId="2178" xr:uid="{E7697062-BD56-4B83-A08B-AA77CBDB9B13}"/>
    <cellStyle name="20% - Accent1 2 5" xfId="213" xr:uid="{00000000-0005-0000-0000-0000D4000000}"/>
    <cellStyle name="20% - Accent1 2 5 2" xfId="2179" xr:uid="{A1A91C55-C74F-4119-A13A-7958AD2A95D4}"/>
    <cellStyle name="20% - Accent1 2 6" xfId="214" xr:uid="{00000000-0005-0000-0000-0000D5000000}"/>
    <cellStyle name="20% - Accent1 2 6 2" xfId="2180" xr:uid="{16D83E0B-4789-4B2E-8091-A6151C62E939}"/>
    <cellStyle name="20% - Accent1 2 7" xfId="2175" xr:uid="{47029C3F-B99C-4A93-958B-2A61E6F3E47E}"/>
    <cellStyle name="20% - Accent1 3" xfId="215" xr:uid="{00000000-0005-0000-0000-0000D6000000}"/>
    <cellStyle name="20% - Accent1 3 2" xfId="216" xr:uid="{00000000-0005-0000-0000-0000D7000000}"/>
    <cellStyle name="20% - Accent1 3 2 2" xfId="2182" xr:uid="{8A2C46B0-99BE-435D-B4F7-758D20DAF6D9}"/>
    <cellStyle name="20% - Accent1 3 3" xfId="2181" xr:uid="{153849CC-7B0C-46F8-9F40-93B95B568A30}"/>
    <cellStyle name="20% - Accent1 4" xfId="217" xr:uid="{00000000-0005-0000-0000-0000D8000000}"/>
    <cellStyle name="20% - Accent1 4 2" xfId="218" xr:uid="{00000000-0005-0000-0000-0000D9000000}"/>
    <cellStyle name="20% - Accent1 4 2 2" xfId="2184" xr:uid="{DD17B1B8-1515-41D9-893B-1E2C3C5F4DD9}"/>
    <cellStyle name="20% - Accent1 4 3" xfId="2183" xr:uid="{BDD562F4-431A-422C-9A8E-E3FD382732A2}"/>
    <cellStyle name="20% - Accent2" xfId="219" builtinId="34" customBuiltin="1"/>
    <cellStyle name="20% - Accent2 2" xfId="220" xr:uid="{00000000-0005-0000-0000-0000DB000000}"/>
    <cellStyle name="20% - Accent2 2 2" xfId="221" xr:uid="{00000000-0005-0000-0000-0000DC000000}"/>
    <cellStyle name="20% - Accent2 2 2 2" xfId="2186" xr:uid="{B13B5AD6-1647-40DE-9795-3AC32952694D}"/>
    <cellStyle name="20% - Accent2 2 3" xfId="222" xr:uid="{00000000-0005-0000-0000-0000DD000000}"/>
    <cellStyle name="20% - Accent2 2 3 2" xfId="2187" xr:uid="{9994B89A-C584-4B47-AF0A-9AB908997E00}"/>
    <cellStyle name="20% - Accent2 2 4" xfId="223" xr:uid="{00000000-0005-0000-0000-0000DE000000}"/>
    <cellStyle name="20% - Accent2 2 4 2" xfId="2188" xr:uid="{2A098509-D1B4-45EB-8977-0C2009482752}"/>
    <cellStyle name="20% - Accent2 2 5" xfId="224" xr:uid="{00000000-0005-0000-0000-0000DF000000}"/>
    <cellStyle name="20% - Accent2 2 5 2" xfId="2189" xr:uid="{77799307-C607-4185-BA02-21D98950E52B}"/>
    <cellStyle name="20% - Accent2 2 6" xfId="225" xr:uid="{00000000-0005-0000-0000-0000E0000000}"/>
    <cellStyle name="20% - Accent2 2 6 2" xfId="2190" xr:uid="{EF02E3AD-5AC2-4200-A0FB-3D209CA2C532}"/>
    <cellStyle name="20% - Accent2 2 7" xfId="2185" xr:uid="{ACA372CC-4D8C-4C20-BBEA-BE8C90F8337F}"/>
    <cellStyle name="20% - Accent2 3" xfId="226" xr:uid="{00000000-0005-0000-0000-0000E1000000}"/>
    <cellStyle name="20% - Accent2 3 2" xfId="227" xr:uid="{00000000-0005-0000-0000-0000E2000000}"/>
    <cellStyle name="20% - Accent2 3 2 2" xfId="2192" xr:uid="{9D32C7D5-04C2-4666-8479-C56E9DFCB44A}"/>
    <cellStyle name="20% - Accent2 3 3" xfId="2191" xr:uid="{94A5DE10-1F47-4951-9D6A-D5BBF959BBA2}"/>
    <cellStyle name="20% - Accent2 4" xfId="228" xr:uid="{00000000-0005-0000-0000-0000E3000000}"/>
    <cellStyle name="20% - Accent2 4 2" xfId="229" xr:uid="{00000000-0005-0000-0000-0000E4000000}"/>
    <cellStyle name="20% - Accent2 4 2 2" xfId="2194" xr:uid="{FC6ED369-6B2A-4FA5-AEF2-96704069F240}"/>
    <cellStyle name="20% - Accent2 4 3" xfId="2193" xr:uid="{5B6DB9D2-F170-4E5E-A62B-6E9CEF365873}"/>
    <cellStyle name="20% - Accent3" xfId="230" builtinId="38" customBuiltin="1"/>
    <cellStyle name="20% - Accent3 2" xfId="231" xr:uid="{00000000-0005-0000-0000-0000E6000000}"/>
    <cellStyle name="20% - Accent3 2 2" xfId="232" xr:uid="{00000000-0005-0000-0000-0000E7000000}"/>
    <cellStyle name="20% - Accent3 2 2 2" xfId="2196" xr:uid="{07F9E736-B4C3-4F0C-BD53-F813EE69DD0D}"/>
    <cellStyle name="20% - Accent3 2 3" xfId="233" xr:uid="{00000000-0005-0000-0000-0000E8000000}"/>
    <cellStyle name="20% - Accent3 2 3 2" xfId="2197" xr:uid="{D09B0AF4-D09B-4042-8601-C501ED41E75E}"/>
    <cellStyle name="20% - Accent3 2 4" xfId="234" xr:uid="{00000000-0005-0000-0000-0000E9000000}"/>
    <cellStyle name="20% - Accent3 2 4 2" xfId="2198" xr:uid="{8D26C436-8E54-4D12-B7DF-B8467CA5FB0F}"/>
    <cellStyle name="20% - Accent3 2 5" xfId="235" xr:uid="{00000000-0005-0000-0000-0000EA000000}"/>
    <cellStyle name="20% - Accent3 2 5 2" xfId="2199" xr:uid="{474CCADC-18BA-4C52-B2E7-52FD591C2C48}"/>
    <cellStyle name="20% - Accent3 2 6" xfId="236" xr:uid="{00000000-0005-0000-0000-0000EB000000}"/>
    <cellStyle name="20% - Accent3 2 6 2" xfId="2200" xr:uid="{9B1622A2-DE43-48F3-A106-3815FAFE4711}"/>
    <cellStyle name="20% - Accent3 2 7" xfId="2195" xr:uid="{252EE1E7-CF1E-450E-83E0-F066BAAADADB}"/>
    <cellStyle name="20% - Accent3 3" xfId="237" xr:uid="{00000000-0005-0000-0000-0000EC000000}"/>
    <cellStyle name="20% - Accent3 3 2" xfId="238" xr:uid="{00000000-0005-0000-0000-0000ED000000}"/>
    <cellStyle name="20% - Accent3 3 2 2" xfId="2202" xr:uid="{3FC08D26-A5B8-4999-BCF0-8C928D490754}"/>
    <cellStyle name="20% - Accent3 3 3" xfId="2201" xr:uid="{B2EDD0BF-2DCA-44A3-8F9B-B972C7B8E476}"/>
    <cellStyle name="20% - Accent3 4" xfId="239" xr:uid="{00000000-0005-0000-0000-0000EE000000}"/>
    <cellStyle name="20% - Accent3 4 2" xfId="240" xr:uid="{00000000-0005-0000-0000-0000EF000000}"/>
    <cellStyle name="20% - Accent3 4 2 2" xfId="2204" xr:uid="{83C77389-646A-43BB-8B63-71533759E491}"/>
    <cellStyle name="20% - Accent3 4 3" xfId="2203" xr:uid="{8FE49AC1-43F0-40F8-B154-51ACFEE05008}"/>
    <cellStyle name="20% - Accent4" xfId="241" builtinId="42" customBuiltin="1"/>
    <cellStyle name="20% - Accent4 2" xfId="242" xr:uid="{00000000-0005-0000-0000-0000F1000000}"/>
    <cellStyle name="20% - Accent4 2 2" xfId="243" xr:uid="{00000000-0005-0000-0000-0000F2000000}"/>
    <cellStyle name="20% - Accent4 2 2 2" xfId="2206" xr:uid="{320A4E83-E1C1-4B7E-B5E6-2B3C0E7CD164}"/>
    <cellStyle name="20% - Accent4 2 3" xfId="244" xr:uid="{00000000-0005-0000-0000-0000F3000000}"/>
    <cellStyle name="20% - Accent4 2 3 2" xfId="2207" xr:uid="{1A9E5BEC-30C3-4899-A6DB-42FC6D22761E}"/>
    <cellStyle name="20% - Accent4 2 4" xfId="245" xr:uid="{00000000-0005-0000-0000-0000F4000000}"/>
    <cellStyle name="20% - Accent4 2 4 2" xfId="2208" xr:uid="{37E2764D-A8BC-4398-82CD-79EE17EED92E}"/>
    <cellStyle name="20% - Accent4 2 5" xfId="246" xr:uid="{00000000-0005-0000-0000-0000F5000000}"/>
    <cellStyle name="20% - Accent4 2 5 2" xfId="2209" xr:uid="{0C8197B1-4CCB-4771-BBB0-A269A76C801F}"/>
    <cellStyle name="20% - Accent4 2 6" xfId="247" xr:uid="{00000000-0005-0000-0000-0000F6000000}"/>
    <cellStyle name="20% - Accent4 2 6 2" xfId="2210" xr:uid="{888843F9-FA1E-4D20-A37D-0ECFF7A8E74E}"/>
    <cellStyle name="20% - Accent4 2 7" xfId="2205" xr:uid="{91BFD616-ECCF-4539-AB1B-918786E0B7A9}"/>
    <cellStyle name="20% - Accent4 3" xfId="248" xr:uid="{00000000-0005-0000-0000-0000F7000000}"/>
    <cellStyle name="20% - Accent4 3 2" xfId="249" xr:uid="{00000000-0005-0000-0000-0000F8000000}"/>
    <cellStyle name="20% - Accent4 3 2 2" xfId="2212" xr:uid="{A5635275-6C3B-4E4F-B385-962F7F886DF8}"/>
    <cellStyle name="20% - Accent4 3 3" xfId="2211" xr:uid="{612903F7-9FE2-46AE-B47E-E1F42223AB4E}"/>
    <cellStyle name="20% - Accent4 4" xfId="250" xr:uid="{00000000-0005-0000-0000-0000F9000000}"/>
    <cellStyle name="20% - Accent4 4 2" xfId="251" xr:uid="{00000000-0005-0000-0000-0000FA000000}"/>
    <cellStyle name="20% - Accent4 4 2 2" xfId="2214" xr:uid="{3FEEA478-7A51-4C2F-B8B8-F6716C8B8BD4}"/>
    <cellStyle name="20% - Accent4 4 3" xfId="2213" xr:uid="{6D8F0E94-C3D6-430A-912C-6BFCCE238B9D}"/>
    <cellStyle name="20% - Accent5" xfId="252" builtinId="46" customBuiltin="1"/>
    <cellStyle name="20% - Accent5 2" xfId="253" xr:uid="{00000000-0005-0000-0000-0000FC000000}"/>
    <cellStyle name="20% - Accent5 2 2" xfId="254" xr:uid="{00000000-0005-0000-0000-0000FD000000}"/>
    <cellStyle name="20% - Accent5 2 2 2" xfId="2216" xr:uid="{058ADF56-49E9-4181-BDAA-6F504D08B2E4}"/>
    <cellStyle name="20% - Accent5 2 3" xfId="255" xr:uid="{00000000-0005-0000-0000-0000FE000000}"/>
    <cellStyle name="20% - Accent5 2 3 2" xfId="2217" xr:uid="{3A8EE9FF-4414-4622-A17E-F47863BC169E}"/>
    <cellStyle name="20% - Accent5 2 4" xfId="256" xr:uid="{00000000-0005-0000-0000-0000FF000000}"/>
    <cellStyle name="20% - Accent5 2 4 2" xfId="2218" xr:uid="{61468526-9DA1-461A-86EB-67D6739C91CF}"/>
    <cellStyle name="20% - Accent5 2 5" xfId="257" xr:uid="{00000000-0005-0000-0000-000000010000}"/>
    <cellStyle name="20% - Accent5 2 5 2" xfId="2219" xr:uid="{A7189D85-1AC2-4AF4-BD4C-BB5C6C1A2B52}"/>
    <cellStyle name="20% - Accent5 2 6" xfId="258" xr:uid="{00000000-0005-0000-0000-000001010000}"/>
    <cellStyle name="20% - Accent5 2 6 2" xfId="2220" xr:uid="{B01553EF-49EF-4459-91AD-3479B1333DCA}"/>
    <cellStyle name="20% - Accent5 2 7" xfId="2215" xr:uid="{A8298EFD-78A0-4653-8BD4-BE0B0596A0C1}"/>
    <cellStyle name="20% - Accent5 3" xfId="259" xr:uid="{00000000-0005-0000-0000-000002010000}"/>
    <cellStyle name="20% - Accent5 3 2" xfId="260" xr:uid="{00000000-0005-0000-0000-000003010000}"/>
    <cellStyle name="20% - Accent5 3 2 2" xfId="2222" xr:uid="{EBEBE104-3D68-4A64-B5DB-CC436C39F3C9}"/>
    <cellStyle name="20% - Accent5 3 3" xfId="2221" xr:uid="{2E3E51BC-D6E2-47AF-B6B3-F66D40D81C96}"/>
    <cellStyle name="20% - Accent5 4" xfId="261" xr:uid="{00000000-0005-0000-0000-000004010000}"/>
    <cellStyle name="20% - Accent5 4 2" xfId="262" xr:uid="{00000000-0005-0000-0000-000005010000}"/>
    <cellStyle name="20% - Accent5 4 2 2" xfId="2224" xr:uid="{009B1E3B-02C4-400B-8C78-3BB68D1EEF75}"/>
    <cellStyle name="20% - Accent5 4 3" xfId="2223" xr:uid="{BF6A477F-96F6-4276-BE11-D9C0556E451C}"/>
    <cellStyle name="20% - Accent6" xfId="263" builtinId="50" customBuiltin="1"/>
    <cellStyle name="20% - Accent6 2" xfId="264" xr:uid="{00000000-0005-0000-0000-000007010000}"/>
    <cellStyle name="20% - Accent6 2 2" xfId="265" xr:uid="{00000000-0005-0000-0000-000008010000}"/>
    <cellStyle name="20% - Accent6 2 2 2" xfId="2226" xr:uid="{3EB0D575-7A02-4557-822D-2720F9F32093}"/>
    <cellStyle name="20% - Accent6 2 3" xfId="266" xr:uid="{00000000-0005-0000-0000-000009010000}"/>
    <cellStyle name="20% - Accent6 2 3 2" xfId="2227" xr:uid="{D5A25113-F17F-48FB-A227-D76DCA488352}"/>
    <cellStyle name="20% - Accent6 2 4" xfId="267" xr:uid="{00000000-0005-0000-0000-00000A010000}"/>
    <cellStyle name="20% - Accent6 2 4 2" xfId="2228" xr:uid="{B89B3594-C1E1-4CED-B774-27CD21B2D953}"/>
    <cellStyle name="20% - Accent6 2 5" xfId="268" xr:uid="{00000000-0005-0000-0000-00000B010000}"/>
    <cellStyle name="20% - Accent6 2 5 2" xfId="2229" xr:uid="{3B5ECBC4-FD71-42FA-B00A-5593D131B6E5}"/>
    <cellStyle name="20% - Accent6 2 6" xfId="269" xr:uid="{00000000-0005-0000-0000-00000C010000}"/>
    <cellStyle name="20% - Accent6 2 6 2" xfId="2230" xr:uid="{81F4834A-DF2D-4273-A66E-1F492903A752}"/>
    <cellStyle name="20% - Accent6 2 7" xfId="2225" xr:uid="{6E8D8A41-508B-4E20-8D91-BBB8A2024607}"/>
    <cellStyle name="20% - Accent6 3" xfId="270" xr:uid="{00000000-0005-0000-0000-00000D010000}"/>
    <cellStyle name="20% - Accent6 3 2" xfId="271" xr:uid="{00000000-0005-0000-0000-00000E010000}"/>
    <cellStyle name="20% - Accent6 3 2 2" xfId="2232" xr:uid="{A46886BA-67CE-4876-9D55-AEB356736DCD}"/>
    <cellStyle name="20% - Accent6 3 3" xfId="2231" xr:uid="{267F2CB8-7826-438D-B646-E794E6E6740E}"/>
    <cellStyle name="20% - Accent6 4" xfId="272" xr:uid="{00000000-0005-0000-0000-00000F010000}"/>
    <cellStyle name="20% - Accent6 4 2" xfId="273" xr:uid="{00000000-0005-0000-0000-000010010000}"/>
    <cellStyle name="20% - Accent6 4 2 2" xfId="2234" xr:uid="{54563697-F666-436F-9E94-D34408F0499D}"/>
    <cellStyle name="20% - Accent6 4 3" xfId="2233" xr:uid="{029BECEF-841F-484F-BE7F-776D735AE08F}"/>
    <cellStyle name="20% - 강조색1" xfId="274" xr:uid="{00000000-0005-0000-0000-000011010000}"/>
    <cellStyle name="20% - 강조색1 2" xfId="2235" xr:uid="{3F9AFC18-AD41-443C-9593-8938EDA31BC6}"/>
    <cellStyle name="20% - 강조색2" xfId="275" xr:uid="{00000000-0005-0000-0000-000012010000}"/>
    <cellStyle name="20% - 강조색2 2" xfId="2236" xr:uid="{83C27EC2-C15A-4808-A27B-68C4AA91469A}"/>
    <cellStyle name="20% - 강조색3" xfId="276" xr:uid="{00000000-0005-0000-0000-000013010000}"/>
    <cellStyle name="20% - 강조색3 2" xfId="2237" xr:uid="{F0921170-B428-4775-A87B-8670AF35367E}"/>
    <cellStyle name="20% - 강조색4" xfId="277" xr:uid="{00000000-0005-0000-0000-000014010000}"/>
    <cellStyle name="20% - 강조색4 2" xfId="2238" xr:uid="{9FBD21C7-BC9D-483D-8359-AACB37BD6F7D}"/>
    <cellStyle name="20% - 강조색5" xfId="278" xr:uid="{00000000-0005-0000-0000-000015010000}"/>
    <cellStyle name="20% - 강조색5 2" xfId="2239" xr:uid="{9A10E4FF-75AC-435E-8E09-0E582D9A6FCA}"/>
    <cellStyle name="20% - 강조색6" xfId="279" xr:uid="{00000000-0005-0000-0000-000016010000}"/>
    <cellStyle name="20% - 강조색6 2" xfId="2240" xr:uid="{443F5251-DBB0-4260-BA92-BDD25D402F8F}"/>
    <cellStyle name="40% - Accent1" xfId="280" builtinId="31" customBuiltin="1"/>
    <cellStyle name="40% - Accent1 2" xfId="281" xr:uid="{00000000-0005-0000-0000-000018010000}"/>
    <cellStyle name="40% - Accent1 2 2" xfId="282" xr:uid="{00000000-0005-0000-0000-000019010000}"/>
    <cellStyle name="40% - Accent1 2 2 2" xfId="2242" xr:uid="{DDD076F2-BEBD-47C4-86BA-FFEF9D11D1DB}"/>
    <cellStyle name="40% - Accent1 2 3" xfId="283" xr:uid="{00000000-0005-0000-0000-00001A010000}"/>
    <cellStyle name="40% - Accent1 2 3 2" xfId="2243" xr:uid="{E5F44457-A130-4B53-908D-8D9687D4769B}"/>
    <cellStyle name="40% - Accent1 2 4" xfId="284" xr:uid="{00000000-0005-0000-0000-00001B010000}"/>
    <cellStyle name="40% - Accent1 2 4 2" xfId="2244" xr:uid="{2F9A74E0-D56A-4ED2-BA2D-0BF53A1B579E}"/>
    <cellStyle name="40% - Accent1 2 5" xfId="285" xr:uid="{00000000-0005-0000-0000-00001C010000}"/>
    <cellStyle name="40% - Accent1 2 5 2" xfId="2245" xr:uid="{DBDF057C-08F2-4A65-B17E-0BFA4CF8B86A}"/>
    <cellStyle name="40% - Accent1 2 6" xfId="286" xr:uid="{00000000-0005-0000-0000-00001D010000}"/>
    <cellStyle name="40% - Accent1 2 6 2" xfId="2246" xr:uid="{75AAB1DC-9146-4AA6-940D-C6C879A2B81B}"/>
    <cellStyle name="40% - Accent1 2 7" xfId="2241" xr:uid="{2E9F7CF5-4987-4ED6-A383-57D0C6F4EA27}"/>
    <cellStyle name="40% - Accent1 3" xfId="287" xr:uid="{00000000-0005-0000-0000-00001E010000}"/>
    <cellStyle name="40% - Accent1 3 2" xfId="288" xr:uid="{00000000-0005-0000-0000-00001F010000}"/>
    <cellStyle name="40% - Accent1 3 2 2" xfId="2248" xr:uid="{75910A08-9C59-41C2-8DB7-4173A85D0F77}"/>
    <cellStyle name="40% - Accent1 3 3" xfId="2247" xr:uid="{D707F2FF-B6F1-4C5D-9A10-9E08E51FA60D}"/>
    <cellStyle name="40% - Accent1 4" xfId="289" xr:uid="{00000000-0005-0000-0000-000020010000}"/>
    <cellStyle name="40% - Accent1 4 2" xfId="290" xr:uid="{00000000-0005-0000-0000-000021010000}"/>
    <cellStyle name="40% - Accent1 4 2 2" xfId="2250" xr:uid="{90030454-AA58-41E1-9465-C8EA5BD9B135}"/>
    <cellStyle name="40% - Accent1 4 3" xfId="2249" xr:uid="{CD643CEE-C5C6-4544-AF7F-DAB0D1F3B23F}"/>
    <cellStyle name="40% - Accent2" xfId="291" builtinId="35" customBuiltin="1"/>
    <cellStyle name="40% - Accent2 2" xfId="292" xr:uid="{00000000-0005-0000-0000-000023010000}"/>
    <cellStyle name="40% - Accent2 2 2" xfId="293" xr:uid="{00000000-0005-0000-0000-000024010000}"/>
    <cellStyle name="40% - Accent2 2 2 2" xfId="2252" xr:uid="{D34E55CB-5D18-40A8-871E-F38E1F96D268}"/>
    <cellStyle name="40% - Accent2 2 3" xfId="294" xr:uid="{00000000-0005-0000-0000-000025010000}"/>
    <cellStyle name="40% - Accent2 2 3 2" xfId="2253" xr:uid="{D47BCD21-6626-453B-A08F-98D16E980DEE}"/>
    <cellStyle name="40% - Accent2 2 4" xfId="295" xr:uid="{00000000-0005-0000-0000-000026010000}"/>
    <cellStyle name="40% - Accent2 2 4 2" xfId="2254" xr:uid="{94DA40B9-F7A1-47E2-A25F-4B243C02A717}"/>
    <cellStyle name="40% - Accent2 2 5" xfId="296" xr:uid="{00000000-0005-0000-0000-000027010000}"/>
    <cellStyle name="40% - Accent2 2 5 2" xfId="2255" xr:uid="{4E33C2F3-BDAD-4C80-A23E-3F6A32CDBED6}"/>
    <cellStyle name="40% - Accent2 2 6" xfId="297" xr:uid="{00000000-0005-0000-0000-000028010000}"/>
    <cellStyle name="40% - Accent2 2 6 2" xfId="2256" xr:uid="{B52230D7-A519-4E42-92FA-655E28B87DDA}"/>
    <cellStyle name="40% - Accent2 2 7" xfId="2251" xr:uid="{52623DE7-FA49-4BE2-A308-9587B5DCFE98}"/>
    <cellStyle name="40% - Accent2 3" xfId="298" xr:uid="{00000000-0005-0000-0000-000029010000}"/>
    <cellStyle name="40% - Accent2 3 2" xfId="299" xr:uid="{00000000-0005-0000-0000-00002A010000}"/>
    <cellStyle name="40% - Accent2 3 2 2" xfId="2258" xr:uid="{25683024-60D0-479A-A670-A6697B34BE4A}"/>
    <cellStyle name="40% - Accent2 3 3" xfId="2257" xr:uid="{2DDBCC95-3628-4940-AA1D-00ABB3B1E066}"/>
    <cellStyle name="40% - Accent2 4" xfId="300" xr:uid="{00000000-0005-0000-0000-00002B010000}"/>
    <cellStyle name="40% - Accent2 4 2" xfId="301" xr:uid="{00000000-0005-0000-0000-00002C010000}"/>
    <cellStyle name="40% - Accent2 4 2 2" xfId="2260" xr:uid="{7AB4B360-E556-4067-AC86-18644B15BD9F}"/>
    <cellStyle name="40% - Accent2 4 3" xfId="2259" xr:uid="{2E0E38BC-FEC6-4D66-A3B2-BAFF20F889E9}"/>
    <cellStyle name="40% - Accent3" xfId="302" builtinId="39" customBuiltin="1"/>
    <cellStyle name="40% - Accent3 2" xfId="303" xr:uid="{00000000-0005-0000-0000-00002E010000}"/>
    <cellStyle name="40% - Accent3 2 2" xfId="304" xr:uid="{00000000-0005-0000-0000-00002F010000}"/>
    <cellStyle name="40% - Accent3 2 2 2" xfId="2262" xr:uid="{66565A7D-DAAC-440C-BB89-F99438718992}"/>
    <cellStyle name="40% - Accent3 2 3" xfId="305" xr:uid="{00000000-0005-0000-0000-000030010000}"/>
    <cellStyle name="40% - Accent3 2 3 2" xfId="2263" xr:uid="{5326C462-E4F8-44BE-94B9-2D61FE5A9CE3}"/>
    <cellStyle name="40% - Accent3 2 4" xfId="306" xr:uid="{00000000-0005-0000-0000-000031010000}"/>
    <cellStyle name="40% - Accent3 2 4 2" xfId="2264" xr:uid="{18701914-3C09-4489-81BA-C2AE9C4C48DF}"/>
    <cellStyle name="40% - Accent3 2 5" xfId="307" xr:uid="{00000000-0005-0000-0000-000032010000}"/>
    <cellStyle name="40% - Accent3 2 5 2" xfId="2265" xr:uid="{BFC1DBAC-F3A8-4263-A5E4-AD1540D185E5}"/>
    <cellStyle name="40% - Accent3 2 6" xfId="308" xr:uid="{00000000-0005-0000-0000-000033010000}"/>
    <cellStyle name="40% - Accent3 2 6 2" xfId="2266" xr:uid="{583A5DDA-321F-4FA4-B408-B31001A097D1}"/>
    <cellStyle name="40% - Accent3 2 7" xfId="2261" xr:uid="{2BF79A86-CBFE-43E5-A42A-48D1A1F4E2BD}"/>
    <cellStyle name="40% - Accent3 3" xfId="309" xr:uid="{00000000-0005-0000-0000-000034010000}"/>
    <cellStyle name="40% - Accent3 3 2" xfId="310" xr:uid="{00000000-0005-0000-0000-000035010000}"/>
    <cellStyle name="40% - Accent3 3 2 2" xfId="2268" xr:uid="{376FF2C6-CD8A-442F-94C0-D4B791C422E7}"/>
    <cellStyle name="40% - Accent3 3 3" xfId="2267" xr:uid="{6CD84E85-727B-4DA2-B2C4-E7EA278C335A}"/>
    <cellStyle name="40% - Accent3 4" xfId="311" xr:uid="{00000000-0005-0000-0000-000036010000}"/>
    <cellStyle name="40% - Accent3 4 2" xfId="312" xr:uid="{00000000-0005-0000-0000-000037010000}"/>
    <cellStyle name="40% - Accent3 4 2 2" xfId="2270" xr:uid="{864AD847-E635-4A9A-B257-903CF069D857}"/>
    <cellStyle name="40% - Accent3 4 3" xfId="2269" xr:uid="{EE76F93A-CB5F-417C-83F2-1AF4C3673EC3}"/>
    <cellStyle name="40% - Accent4" xfId="313" builtinId="43" customBuiltin="1"/>
    <cellStyle name="40% - Accent4 2" xfId="314" xr:uid="{00000000-0005-0000-0000-000039010000}"/>
    <cellStyle name="40% - Accent4 2 2" xfId="315" xr:uid="{00000000-0005-0000-0000-00003A010000}"/>
    <cellStyle name="40% - Accent4 2 2 2" xfId="2272" xr:uid="{814A46FF-A528-49F6-BC1B-4F1A5F2C92AB}"/>
    <cellStyle name="40% - Accent4 2 3" xfId="316" xr:uid="{00000000-0005-0000-0000-00003B010000}"/>
    <cellStyle name="40% - Accent4 2 3 2" xfId="2273" xr:uid="{59976331-DCC3-4C54-86D3-6F3E23857BC5}"/>
    <cellStyle name="40% - Accent4 2 4" xfId="317" xr:uid="{00000000-0005-0000-0000-00003C010000}"/>
    <cellStyle name="40% - Accent4 2 4 2" xfId="2274" xr:uid="{99161989-8DA0-4C14-B7CC-EA24222DFCD2}"/>
    <cellStyle name="40% - Accent4 2 5" xfId="318" xr:uid="{00000000-0005-0000-0000-00003D010000}"/>
    <cellStyle name="40% - Accent4 2 5 2" xfId="2275" xr:uid="{CD554708-7E21-4196-ADB4-F3C8A1B35C71}"/>
    <cellStyle name="40% - Accent4 2 6" xfId="319" xr:uid="{00000000-0005-0000-0000-00003E010000}"/>
    <cellStyle name="40% - Accent4 2 6 2" xfId="2276" xr:uid="{51268557-3746-43C1-9C00-7FE99E8B05F9}"/>
    <cellStyle name="40% - Accent4 2 7" xfId="2271" xr:uid="{5111CBBD-266D-42E1-908D-125E1C8202C2}"/>
    <cellStyle name="40% - Accent4 3" xfId="320" xr:uid="{00000000-0005-0000-0000-00003F010000}"/>
    <cellStyle name="40% - Accent4 3 2" xfId="321" xr:uid="{00000000-0005-0000-0000-000040010000}"/>
    <cellStyle name="40% - Accent4 3 2 2" xfId="2278" xr:uid="{827B2DF1-A7C5-429D-BD9B-0B9318D37A83}"/>
    <cellStyle name="40% - Accent4 3 3" xfId="2277" xr:uid="{C575C64E-0121-4D44-9819-2AD5F4895D7D}"/>
    <cellStyle name="40% - Accent4 4" xfId="322" xr:uid="{00000000-0005-0000-0000-000041010000}"/>
    <cellStyle name="40% - Accent4 4 2" xfId="323" xr:uid="{00000000-0005-0000-0000-000042010000}"/>
    <cellStyle name="40% - Accent4 4 2 2" xfId="2280" xr:uid="{D6C80A54-2EEA-4E59-96A1-2D7C56E2D577}"/>
    <cellStyle name="40% - Accent4 4 3" xfId="2279" xr:uid="{ED9E6668-9D3A-4B84-AF84-7BB3B4BC5AF2}"/>
    <cellStyle name="40% - Accent5" xfId="324" builtinId="47" customBuiltin="1"/>
    <cellStyle name="40% - Accent5 2" xfId="325" xr:uid="{00000000-0005-0000-0000-000044010000}"/>
    <cellStyle name="40% - Accent5 2 2" xfId="326" xr:uid="{00000000-0005-0000-0000-000045010000}"/>
    <cellStyle name="40% - Accent5 2 2 2" xfId="2282" xr:uid="{066098B5-5719-4438-B640-944F0176A1E3}"/>
    <cellStyle name="40% - Accent5 2 3" xfId="327" xr:uid="{00000000-0005-0000-0000-000046010000}"/>
    <cellStyle name="40% - Accent5 2 3 2" xfId="2283" xr:uid="{E99F6B18-0F81-453E-8B83-DC742DFE094B}"/>
    <cellStyle name="40% - Accent5 2 4" xfId="328" xr:uid="{00000000-0005-0000-0000-000047010000}"/>
    <cellStyle name="40% - Accent5 2 4 2" xfId="2284" xr:uid="{B51B5B8A-2B02-45D4-A209-4504DA7AD147}"/>
    <cellStyle name="40% - Accent5 2 5" xfId="329" xr:uid="{00000000-0005-0000-0000-000048010000}"/>
    <cellStyle name="40% - Accent5 2 5 2" xfId="2285" xr:uid="{7E207889-0DFC-4CAF-83B9-80611D6C0141}"/>
    <cellStyle name="40% - Accent5 2 6" xfId="330" xr:uid="{00000000-0005-0000-0000-000049010000}"/>
    <cellStyle name="40% - Accent5 2 6 2" xfId="2286" xr:uid="{A709E307-6B34-4BE8-8A22-F7CE7D424086}"/>
    <cellStyle name="40% - Accent5 2 7" xfId="2281" xr:uid="{77840D03-97B7-45CC-B619-EB531A970660}"/>
    <cellStyle name="40% - Accent5 3" xfId="331" xr:uid="{00000000-0005-0000-0000-00004A010000}"/>
    <cellStyle name="40% - Accent5 3 2" xfId="332" xr:uid="{00000000-0005-0000-0000-00004B010000}"/>
    <cellStyle name="40% - Accent5 3 2 2" xfId="2288" xr:uid="{2499DACE-F92F-40B1-91D5-E0D406B6A551}"/>
    <cellStyle name="40% - Accent5 3 3" xfId="2287" xr:uid="{D6E599BA-6F6C-45A1-A99C-CBE5503FEB98}"/>
    <cellStyle name="40% - Accent5 4" xfId="333" xr:uid="{00000000-0005-0000-0000-00004C010000}"/>
    <cellStyle name="40% - Accent5 4 2" xfId="334" xr:uid="{00000000-0005-0000-0000-00004D010000}"/>
    <cellStyle name="40% - Accent5 4 2 2" xfId="2290" xr:uid="{EAD458AD-23F4-4204-BC7E-679485F5E908}"/>
    <cellStyle name="40% - Accent5 4 3" xfId="2289" xr:uid="{C9CA794D-E5E8-4C68-B1E9-0768AB30096B}"/>
    <cellStyle name="40% - Accent6" xfId="335" builtinId="51" customBuiltin="1"/>
    <cellStyle name="40% - Accent6 2" xfId="336" xr:uid="{00000000-0005-0000-0000-00004F010000}"/>
    <cellStyle name="40% - Accent6 2 2" xfId="337" xr:uid="{00000000-0005-0000-0000-000050010000}"/>
    <cellStyle name="40% - Accent6 2 2 2" xfId="2292" xr:uid="{7CEFFA66-E214-400A-8700-EAA8EB76F4F5}"/>
    <cellStyle name="40% - Accent6 2 3" xfId="338" xr:uid="{00000000-0005-0000-0000-000051010000}"/>
    <cellStyle name="40% - Accent6 2 3 2" xfId="2293" xr:uid="{D4A689DF-FFD3-4C55-A261-2CF3753E77D6}"/>
    <cellStyle name="40% - Accent6 2 4" xfId="339" xr:uid="{00000000-0005-0000-0000-000052010000}"/>
    <cellStyle name="40% - Accent6 2 4 2" xfId="2294" xr:uid="{230263F0-1C5D-4B9E-9D72-E15EF39D1509}"/>
    <cellStyle name="40% - Accent6 2 5" xfId="340" xr:uid="{00000000-0005-0000-0000-000053010000}"/>
    <cellStyle name="40% - Accent6 2 5 2" xfId="2295" xr:uid="{62411978-D462-4826-B939-03C670B01323}"/>
    <cellStyle name="40% - Accent6 2 6" xfId="341" xr:uid="{00000000-0005-0000-0000-000054010000}"/>
    <cellStyle name="40% - Accent6 2 6 2" xfId="2296" xr:uid="{422FF6F5-A292-4D58-AA9F-B714CC2CD49E}"/>
    <cellStyle name="40% - Accent6 2 7" xfId="2291" xr:uid="{205D37C8-C975-43F4-965D-CC38DF99DE1F}"/>
    <cellStyle name="40% - Accent6 3" xfId="342" xr:uid="{00000000-0005-0000-0000-000055010000}"/>
    <cellStyle name="40% - Accent6 3 2" xfId="343" xr:uid="{00000000-0005-0000-0000-000056010000}"/>
    <cellStyle name="40% - Accent6 3 2 2" xfId="2298" xr:uid="{E31C6A7E-DE53-4318-86AE-4B23C10BD0ED}"/>
    <cellStyle name="40% - Accent6 3 3" xfId="2297" xr:uid="{CFF85476-5561-4D17-BFF1-035483D44B45}"/>
    <cellStyle name="40% - Accent6 4" xfId="344" xr:uid="{00000000-0005-0000-0000-000057010000}"/>
    <cellStyle name="40% - Accent6 4 2" xfId="345" xr:uid="{00000000-0005-0000-0000-000058010000}"/>
    <cellStyle name="40% - Accent6 4 2 2" xfId="2300" xr:uid="{5F2A9542-F2B6-43A6-8928-3A7A684FA426}"/>
    <cellStyle name="40% - Accent6 4 3" xfId="2299" xr:uid="{30B92F57-5965-49FC-9B00-BC4459437FDA}"/>
    <cellStyle name="40% - 강조색1" xfId="346" xr:uid="{00000000-0005-0000-0000-000059010000}"/>
    <cellStyle name="40% - 강조색1 2" xfId="2301" xr:uid="{E352D734-F72B-4833-80A5-6E087C70F966}"/>
    <cellStyle name="40% - 강조색2" xfId="347" xr:uid="{00000000-0005-0000-0000-00005A010000}"/>
    <cellStyle name="40% - 강조색2 2" xfId="2302" xr:uid="{FB5283C5-79AD-46D1-BD5C-DD6AEB6BC2E2}"/>
    <cellStyle name="40% - 강조색3" xfId="348" xr:uid="{00000000-0005-0000-0000-00005B010000}"/>
    <cellStyle name="40% - 강조색3 2" xfId="2303" xr:uid="{29E49DCF-55AA-4BA5-9FBA-79F428B9BBA2}"/>
    <cellStyle name="40% - 강조색4" xfId="349" xr:uid="{00000000-0005-0000-0000-00005C010000}"/>
    <cellStyle name="40% - 강조색4 2" xfId="2304" xr:uid="{5568EF1B-4327-44D1-A40F-708C467821C5}"/>
    <cellStyle name="40% - 강조색5" xfId="350" xr:uid="{00000000-0005-0000-0000-00005D010000}"/>
    <cellStyle name="40% - 강조색5 2" xfId="2305" xr:uid="{105CD397-32B4-4CA3-AA32-4DA8700A22A4}"/>
    <cellStyle name="40% - 강조색6" xfId="351" xr:uid="{00000000-0005-0000-0000-00005E010000}"/>
    <cellStyle name="40% - 강조색6 2" xfId="2306" xr:uid="{2938BCD7-EE3A-489B-AF4A-3F2D134AA077}"/>
    <cellStyle name="60% - Accent1" xfId="352" builtinId="32" customBuiltin="1"/>
    <cellStyle name="60% - Accent1 2" xfId="353" xr:uid="{00000000-0005-0000-0000-000060010000}"/>
    <cellStyle name="60% - Accent1 2 2" xfId="354" xr:uid="{00000000-0005-0000-0000-000061010000}"/>
    <cellStyle name="60% - Accent1 2 2 2" xfId="2308" xr:uid="{30CB86A5-FAE4-4F3D-8D3B-89F4FEA2509D}"/>
    <cellStyle name="60% - Accent1 2 3" xfId="355" xr:uid="{00000000-0005-0000-0000-000062010000}"/>
    <cellStyle name="60% - Accent1 2 3 2" xfId="2309" xr:uid="{C259787E-979D-45EB-9AF9-8585534AF607}"/>
    <cellStyle name="60% - Accent1 2 4" xfId="356" xr:uid="{00000000-0005-0000-0000-000063010000}"/>
    <cellStyle name="60% - Accent1 2 4 2" xfId="2310" xr:uid="{7BD77CBC-7EEC-4EFF-97C0-C9B784798EAB}"/>
    <cellStyle name="60% - Accent1 2 5" xfId="357" xr:uid="{00000000-0005-0000-0000-000064010000}"/>
    <cellStyle name="60% - Accent1 2 5 2" xfId="2311" xr:uid="{D8833782-D977-4BF1-B802-C689BF925182}"/>
    <cellStyle name="60% - Accent1 2 6" xfId="358" xr:uid="{00000000-0005-0000-0000-000065010000}"/>
    <cellStyle name="60% - Accent1 2 6 2" xfId="2312" xr:uid="{91695498-68B9-4631-AA80-07E3C2040E0A}"/>
    <cellStyle name="60% - Accent1 2 7" xfId="2307" xr:uid="{471D448F-778B-41CE-97C4-CB480E6A0635}"/>
    <cellStyle name="60% - Accent1 3" xfId="359" xr:uid="{00000000-0005-0000-0000-000066010000}"/>
    <cellStyle name="60% - Accent1 3 2" xfId="360" xr:uid="{00000000-0005-0000-0000-000067010000}"/>
    <cellStyle name="60% - Accent1 3 2 2" xfId="2314" xr:uid="{CCA43D92-B492-4846-AAC9-9EDD027B5716}"/>
    <cellStyle name="60% - Accent1 3 3" xfId="2313" xr:uid="{ED70040C-DEEF-42C7-B16D-77EA8E8F00D6}"/>
    <cellStyle name="60% - Accent1 4" xfId="361" xr:uid="{00000000-0005-0000-0000-000068010000}"/>
    <cellStyle name="60% - Accent1 4 2" xfId="362" xr:uid="{00000000-0005-0000-0000-000069010000}"/>
    <cellStyle name="60% - Accent1 4 2 2" xfId="2316" xr:uid="{4AB47ACC-DAB3-4F64-B373-EADA4ACA8CA7}"/>
    <cellStyle name="60% - Accent1 4 3" xfId="2315" xr:uid="{28B6FF26-797E-4D00-92B1-CE0D806C34DE}"/>
    <cellStyle name="60% - Accent2" xfId="363" builtinId="36" customBuiltin="1"/>
    <cellStyle name="60% - Accent2 2" xfId="364" xr:uid="{00000000-0005-0000-0000-00006B010000}"/>
    <cellStyle name="60% - Accent2 2 2" xfId="365" xr:uid="{00000000-0005-0000-0000-00006C010000}"/>
    <cellStyle name="60% - Accent2 2 2 2" xfId="2318" xr:uid="{DA2AB9CD-479C-44E5-A415-8EA5207D52EF}"/>
    <cellStyle name="60% - Accent2 2 3" xfId="366" xr:uid="{00000000-0005-0000-0000-00006D010000}"/>
    <cellStyle name="60% - Accent2 2 3 2" xfId="2319" xr:uid="{0FBF65FA-143F-4B06-895D-9368BD86E381}"/>
    <cellStyle name="60% - Accent2 2 4" xfId="367" xr:uid="{00000000-0005-0000-0000-00006E010000}"/>
    <cellStyle name="60% - Accent2 2 4 2" xfId="2320" xr:uid="{729EACF2-90D6-4442-91AB-853C507C4112}"/>
    <cellStyle name="60% - Accent2 2 5" xfId="368" xr:uid="{00000000-0005-0000-0000-00006F010000}"/>
    <cellStyle name="60% - Accent2 2 5 2" xfId="2321" xr:uid="{82356574-D18C-4A05-9458-EE6B9C53F3BE}"/>
    <cellStyle name="60% - Accent2 2 6" xfId="369" xr:uid="{00000000-0005-0000-0000-000070010000}"/>
    <cellStyle name="60% - Accent2 2 6 2" xfId="2322" xr:uid="{FFAFD3E6-827D-483B-AB2C-17DD421C0406}"/>
    <cellStyle name="60% - Accent2 2 7" xfId="2317" xr:uid="{644FD737-5CE5-40AA-9C80-E072CE2A3DD4}"/>
    <cellStyle name="60% - Accent2 3" xfId="370" xr:uid="{00000000-0005-0000-0000-000071010000}"/>
    <cellStyle name="60% - Accent2 3 2" xfId="371" xr:uid="{00000000-0005-0000-0000-000072010000}"/>
    <cellStyle name="60% - Accent2 3 2 2" xfId="2324" xr:uid="{1844F3CB-09DD-4892-8E57-380078EA0B47}"/>
    <cellStyle name="60% - Accent2 3 3" xfId="2323" xr:uid="{EA1B8F32-8E15-4B74-BDF6-3757C34C5819}"/>
    <cellStyle name="60% - Accent2 4" xfId="372" xr:uid="{00000000-0005-0000-0000-000073010000}"/>
    <cellStyle name="60% - Accent2 4 2" xfId="373" xr:uid="{00000000-0005-0000-0000-000074010000}"/>
    <cellStyle name="60% - Accent2 4 2 2" xfId="2326" xr:uid="{21C160B7-B8C1-438E-B0A7-4B64B01A8593}"/>
    <cellStyle name="60% - Accent2 4 3" xfId="2325" xr:uid="{D369D207-8BA4-47DE-B80A-20899B0C12A4}"/>
    <cellStyle name="60% - Accent3" xfId="374" builtinId="40" customBuiltin="1"/>
    <cellStyle name="60% - Accent3 2" xfId="375" xr:uid="{00000000-0005-0000-0000-000076010000}"/>
    <cellStyle name="60% - Accent3 2 2" xfId="376" xr:uid="{00000000-0005-0000-0000-000077010000}"/>
    <cellStyle name="60% - Accent3 2 2 2" xfId="2328" xr:uid="{243F3E99-AECF-4B04-82EC-F3B3F3181ACE}"/>
    <cellStyle name="60% - Accent3 2 3" xfId="377" xr:uid="{00000000-0005-0000-0000-000078010000}"/>
    <cellStyle name="60% - Accent3 2 3 2" xfId="2329" xr:uid="{9479B6A5-1EA6-45FA-92EE-11B3B0D3014A}"/>
    <cellStyle name="60% - Accent3 2 4" xfId="378" xr:uid="{00000000-0005-0000-0000-000079010000}"/>
    <cellStyle name="60% - Accent3 2 4 2" xfId="2330" xr:uid="{E121A507-E70C-47CA-8F16-3B781F4F01AA}"/>
    <cellStyle name="60% - Accent3 2 5" xfId="379" xr:uid="{00000000-0005-0000-0000-00007A010000}"/>
    <cellStyle name="60% - Accent3 2 5 2" xfId="2331" xr:uid="{0E1921ED-F1EA-4690-9F70-5385E318EA3E}"/>
    <cellStyle name="60% - Accent3 2 6" xfId="380" xr:uid="{00000000-0005-0000-0000-00007B010000}"/>
    <cellStyle name="60% - Accent3 2 6 2" xfId="2332" xr:uid="{F5589CEB-BA5E-431E-9A94-5F642172F6DC}"/>
    <cellStyle name="60% - Accent3 2 7" xfId="2327" xr:uid="{443BA7D4-0B3E-4BB5-8215-BD932024D253}"/>
    <cellStyle name="60% - Accent3 3" xfId="381" xr:uid="{00000000-0005-0000-0000-00007C010000}"/>
    <cellStyle name="60% - Accent3 3 2" xfId="382" xr:uid="{00000000-0005-0000-0000-00007D010000}"/>
    <cellStyle name="60% - Accent3 3 2 2" xfId="2334" xr:uid="{0613B03B-98C6-4E07-8CD7-8F437846446E}"/>
    <cellStyle name="60% - Accent3 3 3" xfId="2333" xr:uid="{B8123125-613E-420C-9339-D93553ADE903}"/>
    <cellStyle name="60% - Accent3 4" xfId="383" xr:uid="{00000000-0005-0000-0000-00007E010000}"/>
    <cellStyle name="60% - Accent3 4 2" xfId="384" xr:uid="{00000000-0005-0000-0000-00007F010000}"/>
    <cellStyle name="60% - Accent3 4 2 2" xfId="2336" xr:uid="{6728D575-01EB-434A-A653-A1C7C6A0351C}"/>
    <cellStyle name="60% - Accent3 4 3" xfId="2335" xr:uid="{A1AF81C6-1EF0-4A68-96EC-37E545382E32}"/>
    <cellStyle name="60% - Accent4" xfId="385" builtinId="44" customBuiltin="1"/>
    <cellStyle name="60% - Accent4 2" xfId="386" xr:uid="{00000000-0005-0000-0000-000081010000}"/>
    <cellStyle name="60% - Accent4 2 2" xfId="387" xr:uid="{00000000-0005-0000-0000-000082010000}"/>
    <cellStyle name="60% - Accent4 2 2 2" xfId="2338" xr:uid="{CDBBECEB-E942-4483-9074-FA3E2959B16F}"/>
    <cellStyle name="60% - Accent4 2 3" xfId="388" xr:uid="{00000000-0005-0000-0000-000083010000}"/>
    <cellStyle name="60% - Accent4 2 3 2" xfId="2339" xr:uid="{32393C75-DB8B-4AC8-A3AF-82AF5B5E8065}"/>
    <cellStyle name="60% - Accent4 2 4" xfId="389" xr:uid="{00000000-0005-0000-0000-000084010000}"/>
    <cellStyle name="60% - Accent4 2 4 2" xfId="2340" xr:uid="{4BEFE82F-9D8C-4BA3-A584-998EB01901E0}"/>
    <cellStyle name="60% - Accent4 2 5" xfId="390" xr:uid="{00000000-0005-0000-0000-000085010000}"/>
    <cellStyle name="60% - Accent4 2 5 2" xfId="2341" xr:uid="{C3BD81B2-C348-4610-8917-D2D143DD477D}"/>
    <cellStyle name="60% - Accent4 2 6" xfId="391" xr:uid="{00000000-0005-0000-0000-000086010000}"/>
    <cellStyle name="60% - Accent4 2 6 2" xfId="2342" xr:uid="{62476668-0F5B-45D7-AB60-0BCF0966B92C}"/>
    <cellStyle name="60% - Accent4 2 7" xfId="2337" xr:uid="{66F94AEC-0153-4A98-A589-71E63D3F63D3}"/>
    <cellStyle name="60% - Accent4 3" xfId="392" xr:uid="{00000000-0005-0000-0000-000087010000}"/>
    <cellStyle name="60% - Accent4 3 2" xfId="393" xr:uid="{00000000-0005-0000-0000-000088010000}"/>
    <cellStyle name="60% - Accent4 3 2 2" xfId="2344" xr:uid="{CF40A10B-2C8B-497F-B6CE-C03126FC557E}"/>
    <cellStyle name="60% - Accent4 3 3" xfId="2343" xr:uid="{201A1CB2-ADB2-41F6-B148-8CFD68B4709A}"/>
    <cellStyle name="60% - Accent4 4" xfId="394" xr:uid="{00000000-0005-0000-0000-000089010000}"/>
    <cellStyle name="60% - Accent4 4 2" xfId="395" xr:uid="{00000000-0005-0000-0000-00008A010000}"/>
    <cellStyle name="60% - Accent4 4 2 2" xfId="2346" xr:uid="{EFB7DE10-0B49-49BA-A334-3BF557241FEA}"/>
    <cellStyle name="60% - Accent4 4 3" xfId="2345" xr:uid="{7E86B1D6-9250-42C3-A489-92B9F89EAD3E}"/>
    <cellStyle name="60% - Accent5" xfId="396" builtinId="48" customBuiltin="1"/>
    <cellStyle name="60% - Accent5 2" xfId="397" xr:uid="{00000000-0005-0000-0000-00008C010000}"/>
    <cellStyle name="60% - Accent5 2 2" xfId="398" xr:uid="{00000000-0005-0000-0000-00008D010000}"/>
    <cellStyle name="60% - Accent5 2 2 2" xfId="2348" xr:uid="{41CC2F88-6ABC-4448-8A2C-158DB21049C2}"/>
    <cellStyle name="60% - Accent5 2 3" xfId="399" xr:uid="{00000000-0005-0000-0000-00008E010000}"/>
    <cellStyle name="60% - Accent5 2 3 2" xfId="2349" xr:uid="{7A1DC331-1191-4F9D-9A68-32397D50432F}"/>
    <cellStyle name="60% - Accent5 2 4" xfId="400" xr:uid="{00000000-0005-0000-0000-00008F010000}"/>
    <cellStyle name="60% - Accent5 2 4 2" xfId="2350" xr:uid="{1E41F44D-52A0-4FB1-AA8B-E797BA281CD5}"/>
    <cellStyle name="60% - Accent5 2 5" xfId="401" xr:uid="{00000000-0005-0000-0000-000090010000}"/>
    <cellStyle name="60% - Accent5 2 5 2" xfId="2351" xr:uid="{93B1E03A-5F99-48BB-8C2A-F0B1D1E09E41}"/>
    <cellStyle name="60% - Accent5 2 6" xfId="402" xr:uid="{00000000-0005-0000-0000-000091010000}"/>
    <cellStyle name="60% - Accent5 2 6 2" xfId="2352" xr:uid="{08D4A6E9-8C37-46EC-8890-65C1C84F714D}"/>
    <cellStyle name="60% - Accent5 2 7" xfId="2347" xr:uid="{91290F16-3B12-4543-8BDD-4FBB590A5755}"/>
    <cellStyle name="60% - Accent5 3" xfId="403" xr:uid="{00000000-0005-0000-0000-000092010000}"/>
    <cellStyle name="60% - Accent5 3 2" xfId="404" xr:uid="{00000000-0005-0000-0000-000093010000}"/>
    <cellStyle name="60% - Accent5 3 2 2" xfId="2354" xr:uid="{D5CFB558-2701-4FB5-B385-BFF3554A9ABE}"/>
    <cellStyle name="60% - Accent5 3 3" xfId="2353" xr:uid="{9AC26E98-A146-4074-B34C-C390CFBFE36E}"/>
    <cellStyle name="60% - Accent5 4" xfId="405" xr:uid="{00000000-0005-0000-0000-000094010000}"/>
    <cellStyle name="60% - Accent5 4 2" xfId="406" xr:uid="{00000000-0005-0000-0000-000095010000}"/>
    <cellStyle name="60% - Accent5 4 2 2" xfId="2356" xr:uid="{17BD9FE7-B70B-4174-AF7B-C0E32A62DB1D}"/>
    <cellStyle name="60% - Accent5 4 3" xfId="2355" xr:uid="{9F7F4AE6-BCD1-4492-9FF0-4ED079C886D4}"/>
    <cellStyle name="60% - Accent6" xfId="407" builtinId="52" customBuiltin="1"/>
    <cellStyle name="60% - Accent6 2" xfId="408" xr:uid="{00000000-0005-0000-0000-000097010000}"/>
    <cellStyle name="60% - Accent6 2 2" xfId="409" xr:uid="{00000000-0005-0000-0000-000098010000}"/>
    <cellStyle name="60% - Accent6 2 2 2" xfId="2358" xr:uid="{74AB0574-1377-4207-A387-1D6F6168C938}"/>
    <cellStyle name="60% - Accent6 2 3" xfId="410" xr:uid="{00000000-0005-0000-0000-000099010000}"/>
    <cellStyle name="60% - Accent6 2 3 2" xfId="2359" xr:uid="{749D6A5B-DF78-4028-B1B9-07DCEDD5A3FB}"/>
    <cellStyle name="60% - Accent6 2 4" xfId="411" xr:uid="{00000000-0005-0000-0000-00009A010000}"/>
    <cellStyle name="60% - Accent6 2 4 2" xfId="2360" xr:uid="{1CA873F1-175E-4E45-9037-1E3F02F450E3}"/>
    <cellStyle name="60% - Accent6 2 5" xfId="412" xr:uid="{00000000-0005-0000-0000-00009B010000}"/>
    <cellStyle name="60% - Accent6 2 5 2" xfId="2361" xr:uid="{BF6F64F1-3A1C-471C-ADE5-0FD02359E6D1}"/>
    <cellStyle name="60% - Accent6 2 6" xfId="413" xr:uid="{00000000-0005-0000-0000-00009C010000}"/>
    <cellStyle name="60% - Accent6 2 6 2" xfId="2362" xr:uid="{5A2BD10B-93BC-471A-B6B1-9D007BA35526}"/>
    <cellStyle name="60% - Accent6 2 7" xfId="2357" xr:uid="{E6FB5C0E-B851-4DF6-9ACF-733D7E7479F6}"/>
    <cellStyle name="60% - Accent6 3" xfId="414" xr:uid="{00000000-0005-0000-0000-00009D010000}"/>
    <cellStyle name="60% - Accent6 3 2" xfId="415" xr:uid="{00000000-0005-0000-0000-00009E010000}"/>
    <cellStyle name="60% - Accent6 3 2 2" xfId="2364" xr:uid="{0E5D3643-29FB-4C02-A06B-118BDD573AA0}"/>
    <cellStyle name="60% - Accent6 3 3" xfId="2363" xr:uid="{2643D437-2C84-438E-8FAB-BD6DF6AB674F}"/>
    <cellStyle name="60% - Accent6 4" xfId="416" xr:uid="{00000000-0005-0000-0000-00009F010000}"/>
    <cellStyle name="60% - Accent6 4 2" xfId="417" xr:uid="{00000000-0005-0000-0000-0000A0010000}"/>
    <cellStyle name="60% - Accent6 4 2 2" xfId="2366" xr:uid="{E9A53FC8-D0EB-4922-BF42-AF3EEE0B85DA}"/>
    <cellStyle name="60% - Accent6 4 3" xfId="2365" xr:uid="{B00C9D19-B2CF-4321-9361-86A7C9F4659C}"/>
    <cellStyle name="60% - 강조색1" xfId="418" xr:uid="{00000000-0005-0000-0000-0000A1010000}"/>
    <cellStyle name="60% - 강조색1 2" xfId="2367" xr:uid="{16F1ACB5-46D4-4A68-BFAF-D1519796B0AE}"/>
    <cellStyle name="60% - 강조색2" xfId="419" xr:uid="{00000000-0005-0000-0000-0000A2010000}"/>
    <cellStyle name="60% - 강조색2 2" xfId="2368" xr:uid="{E9D65714-F205-413E-8D16-385206EB56F3}"/>
    <cellStyle name="60% - 강조색3" xfId="420" xr:uid="{00000000-0005-0000-0000-0000A3010000}"/>
    <cellStyle name="60% - 강조색3 2" xfId="2369" xr:uid="{DC615209-6B50-4C46-82F0-A7276D0C6C06}"/>
    <cellStyle name="60% - 강조색4" xfId="421" xr:uid="{00000000-0005-0000-0000-0000A4010000}"/>
    <cellStyle name="60% - 강조색4 2" xfId="2370" xr:uid="{19C9A6FD-FD28-4DF3-B747-09ECB91BFDD0}"/>
    <cellStyle name="60% - 강조색5" xfId="422" xr:uid="{00000000-0005-0000-0000-0000A5010000}"/>
    <cellStyle name="60% - 강조색5 2" xfId="2371" xr:uid="{AB794A1A-931B-4F5A-A03B-D364446945D5}"/>
    <cellStyle name="60% - 강조색6" xfId="423" xr:uid="{00000000-0005-0000-0000-0000A6010000}"/>
    <cellStyle name="60% - 강조색6 2" xfId="2372" xr:uid="{DEDD00C1-283E-4D1C-ADB6-23C025A107BB}"/>
    <cellStyle name="Accent1" xfId="424" builtinId="29" customBuiltin="1"/>
    <cellStyle name="Accent1 2" xfId="425" xr:uid="{00000000-0005-0000-0000-0000A8010000}"/>
    <cellStyle name="Accent1 2 2" xfId="426" xr:uid="{00000000-0005-0000-0000-0000A9010000}"/>
    <cellStyle name="Accent1 2 2 2" xfId="2374" xr:uid="{5019F5CA-6FAF-4B9D-98F1-E0BDAC5644A9}"/>
    <cellStyle name="Accent1 2 3" xfId="427" xr:uid="{00000000-0005-0000-0000-0000AA010000}"/>
    <cellStyle name="Accent1 2 3 2" xfId="2375" xr:uid="{32DEDA1F-0D5D-44B0-9DF8-1C0974647425}"/>
    <cellStyle name="Accent1 2 4" xfId="428" xr:uid="{00000000-0005-0000-0000-0000AB010000}"/>
    <cellStyle name="Accent1 2 4 2" xfId="2376" xr:uid="{91D03C4A-E8A6-4786-9C82-115BD366F748}"/>
    <cellStyle name="Accent1 2 5" xfId="429" xr:uid="{00000000-0005-0000-0000-0000AC010000}"/>
    <cellStyle name="Accent1 2 5 2" xfId="2377" xr:uid="{BB6724B3-9675-4F1C-B869-2734F2EEACFC}"/>
    <cellStyle name="Accent1 2 6" xfId="430" xr:uid="{00000000-0005-0000-0000-0000AD010000}"/>
    <cellStyle name="Accent1 2 6 2" xfId="2378" xr:uid="{A7F96FE5-867C-42E2-A4F5-655CF4C2D0F5}"/>
    <cellStyle name="Accent1 2 7" xfId="2373" xr:uid="{F566F66B-3E84-41F5-9E5C-4AA1DBF63B14}"/>
    <cellStyle name="Accent1 3" xfId="431" xr:uid="{00000000-0005-0000-0000-0000AE010000}"/>
    <cellStyle name="Accent1 3 2" xfId="432" xr:uid="{00000000-0005-0000-0000-0000AF010000}"/>
    <cellStyle name="Accent1 3 2 2" xfId="2380" xr:uid="{D55AC917-2BE2-4D33-A5D4-05C49475D529}"/>
    <cellStyle name="Accent1 3 3" xfId="2379" xr:uid="{AC66AD0E-C7FD-4E0B-AA55-AEDA0840BE39}"/>
    <cellStyle name="Accent1 4" xfId="433" xr:uid="{00000000-0005-0000-0000-0000B0010000}"/>
    <cellStyle name="Accent1 4 2" xfId="434" xr:uid="{00000000-0005-0000-0000-0000B1010000}"/>
    <cellStyle name="Accent1 4 2 2" xfId="2382" xr:uid="{CEA38E3C-B530-4EEA-9925-AE20773379D5}"/>
    <cellStyle name="Accent1 4 3" xfId="2381" xr:uid="{1162848D-8405-4121-BF6B-CF2099CF520C}"/>
    <cellStyle name="Accent2" xfId="435" builtinId="33" customBuiltin="1"/>
    <cellStyle name="Accent2 2" xfId="436" xr:uid="{00000000-0005-0000-0000-0000B3010000}"/>
    <cellStyle name="Accent2 2 2" xfId="437" xr:uid="{00000000-0005-0000-0000-0000B4010000}"/>
    <cellStyle name="Accent2 2 2 2" xfId="2384" xr:uid="{C084E71B-E4AE-4862-8EF8-078E89F31FB8}"/>
    <cellStyle name="Accent2 2 3" xfId="438" xr:uid="{00000000-0005-0000-0000-0000B5010000}"/>
    <cellStyle name="Accent2 2 3 2" xfId="2385" xr:uid="{D3B67570-8E6A-4ED3-9C88-97A816E727D8}"/>
    <cellStyle name="Accent2 2 4" xfId="439" xr:uid="{00000000-0005-0000-0000-0000B6010000}"/>
    <cellStyle name="Accent2 2 4 2" xfId="2386" xr:uid="{C51EDE61-D0E2-4DF0-9872-3F3831546C81}"/>
    <cellStyle name="Accent2 2 5" xfId="440" xr:uid="{00000000-0005-0000-0000-0000B7010000}"/>
    <cellStyle name="Accent2 2 5 2" xfId="2387" xr:uid="{BB55E05B-5EBF-4E80-A2E3-B2FFE9574D95}"/>
    <cellStyle name="Accent2 2 6" xfId="441" xr:uid="{00000000-0005-0000-0000-0000B8010000}"/>
    <cellStyle name="Accent2 2 6 2" xfId="2388" xr:uid="{BD8AFFA5-1F2B-4532-8412-5BBA2FBE89FF}"/>
    <cellStyle name="Accent2 2 7" xfId="2383" xr:uid="{FB436DCD-ADDC-4CEC-A3AB-22349EF81850}"/>
    <cellStyle name="Accent2 3" xfId="442" xr:uid="{00000000-0005-0000-0000-0000B9010000}"/>
    <cellStyle name="Accent2 3 2" xfId="443" xr:uid="{00000000-0005-0000-0000-0000BA010000}"/>
    <cellStyle name="Accent2 3 2 2" xfId="2390" xr:uid="{61C21A58-F1AD-4BC0-90FC-961DFF539C9A}"/>
    <cellStyle name="Accent2 3 3" xfId="2389" xr:uid="{383AFE8D-E7A0-41B2-B3EC-24CD9F5C4D02}"/>
    <cellStyle name="Accent2 4" xfId="444" xr:uid="{00000000-0005-0000-0000-0000BB010000}"/>
    <cellStyle name="Accent2 4 2" xfId="445" xr:uid="{00000000-0005-0000-0000-0000BC010000}"/>
    <cellStyle name="Accent2 4 2 2" xfId="2392" xr:uid="{F5715118-9233-4327-A90E-8AE242AAAEC6}"/>
    <cellStyle name="Accent2 4 3" xfId="2391" xr:uid="{00AA40D3-7E36-4780-AC20-AB994CEC7DDE}"/>
    <cellStyle name="Accent3" xfId="446" builtinId="37" customBuiltin="1"/>
    <cellStyle name="Accent3 2" xfId="447" xr:uid="{00000000-0005-0000-0000-0000BE010000}"/>
    <cellStyle name="Accent3 2 2" xfId="448" xr:uid="{00000000-0005-0000-0000-0000BF010000}"/>
    <cellStyle name="Accent3 2 2 2" xfId="2394" xr:uid="{FBFF473C-B66C-4504-9505-40A3165DBD7E}"/>
    <cellStyle name="Accent3 2 3" xfId="449" xr:uid="{00000000-0005-0000-0000-0000C0010000}"/>
    <cellStyle name="Accent3 2 3 2" xfId="2395" xr:uid="{72AAE6D8-442C-4F42-B675-9CD19027A2C7}"/>
    <cellStyle name="Accent3 2 4" xfId="450" xr:uid="{00000000-0005-0000-0000-0000C1010000}"/>
    <cellStyle name="Accent3 2 4 2" xfId="2396" xr:uid="{A3ED19EA-923F-4E37-A994-CCFFF40DF6DC}"/>
    <cellStyle name="Accent3 2 5" xfId="451" xr:uid="{00000000-0005-0000-0000-0000C2010000}"/>
    <cellStyle name="Accent3 2 5 2" xfId="2397" xr:uid="{737AB25C-6B06-4B42-94A0-68DC0AD5785D}"/>
    <cellStyle name="Accent3 2 6" xfId="452" xr:uid="{00000000-0005-0000-0000-0000C3010000}"/>
    <cellStyle name="Accent3 2 6 2" xfId="2398" xr:uid="{F3A7546A-A9AF-43CF-874E-0D37D4F70EFC}"/>
    <cellStyle name="Accent3 2 7" xfId="2393" xr:uid="{A188849F-5C37-4816-88EC-587D8BF6D275}"/>
    <cellStyle name="Accent3 3" xfId="453" xr:uid="{00000000-0005-0000-0000-0000C4010000}"/>
    <cellStyle name="Accent3 3 2" xfId="454" xr:uid="{00000000-0005-0000-0000-0000C5010000}"/>
    <cellStyle name="Accent3 3 2 2" xfId="2400" xr:uid="{345D1916-8EFF-4685-932E-09F11809CA46}"/>
    <cellStyle name="Accent3 3 3" xfId="2399" xr:uid="{B9217A1A-66B0-44D4-A0FE-08FE213F6813}"/>
    <cellStyle name="Accent3 4" xfId="455" xr:uid="{00000000-0005-0000-0000-0000C6010000}"/>
    <cellStyle name="Accent3 4 2" xfId="456" xr:uid="{00000000-0005-0000-0000-0000C7010000}"/>
    <cellStyle name="Accent3 4 2 2" xfId="2402" xr:uid="{F470EB29-F06B-45E6-B20F-68C42B1CF5DF}"/>
    <cellStyle name="Accent3 4 3" xfId="2401" xr:uid="{552C48BF-15C3-453D-A88B-466F26569420}"/>
    <cellStyle name="Accent4" xfId="457" builtinId="41" customBuiltin="1"/>
    <cellStyle name="Accent4 2" xfId="458" xr:uid="{00000000-0005-0000-0000-0000C9010000}"/>
    <cellStyle name="Accent4 2 2" xfId="459" xr:uid="{00000000-0005-0000-0000-0000CA010000}"/>
    <cellStyle name="Accent4 2 2 2" xfId="2404" xr:uid="{FA462A91-74F0-485E-A9C2-3084C25B64AA}"/>
    <cellStyle name="Accent4 2 3" xfId="460" xr:uid="{00000000-0005-0000-0000-0000CB010000}"/>
    <cellStyle name="Accent4 2 3 2" xfId="2405" xr:uid="{8B37F80C-8C98-4DEC-904C-3D44B183DFD2}"/>
    <cellStyle name="Accent4 2 4" xfId="461" xr:uid="{00000000-0005-0000-0000-0000CC010000}"/>
    <cellStyle name="Accent4 2 4 2" xfId="2406" xr:uid="{596F62A4-FEFC-468A-8615-A033EA0B1CCC}"/>
    <cellStyle name="Accent4 2 5" xfId="462" xr:uid="{00000000-0005-0000-0000-0000CD010000}"/>
    <cellStyle name="Accent4 2 5 2" xfId="2407" xr:uid="{ECB59A43-A588-44E6-B767-58B28B4F9685}"/>
    <cellStyle name="Accent4 2 6" xfId="463" xr:uid="{00000000-0005-0000-0000-0000CE010000}"/>
    <cellStyle name="Accent4 2 6 2" xfId="2408" xr:uid="{A6F01D1B-19C4-45AB-AF92-7EA4484A588D}"/>
    <cellStyle name="Accent4 2 7" xfId="2403" xr:uid="{98A69B4A-3341-407C-88D5-318670F87D19}"/>
    <cellStyle name="Accent4 3" xfId="464" xr:uid="{00000000-0005-0000-0000-0000CF010000}"/>
    <cellStyle name="Accent4 3 2" xfId="465" xr:uid="{00000000-0005-0000-0000-0000D0010000}"/>
    <cellStyle name="Accent4 3 2 2" xfId="2410" xr:uid="{2778F65B-2BDD-40ED-936B-6025CE6FE4AD}"/>
    <cellStyle name="Accent4 3 3" xfId="2409" xr:uid="{A9AEF5FA-DE86-48A2-8E60-B0A291007740}"/>
    <cellStyle name="Accent4 4" xfId="466" xr:uid="{00000000-0005-0000-0000-0000D1010000}"/>
    <cellStyle name="Accent4 4 2" xfId="467" xr:uid="{00000000-0005-0000-0000-0000D2010000}"/>
    <cellStyle name="Accent4 4 2 2" xfId="2412" xr:uid="{13BD789A-B6EB-4CF9-911D-48848AF6AE3C}"/>
    <cellStyle name="Accent4 4 3" xfId="2411" xr:uid="{F9ED03B7-9D3E-4C68-BAAF-83366639378C}"/>
    <cellStyle name="Accent5" xfId="468" builtinId="45" customBuiltin="1"/>
    <cellStyle name="Accent5 2" xfId="469" xr:uid="{00000000-0005-0000-0000-0000D4010000}"/>
    <cellStyle name="Accent5 2 2" xfId="470" xr:uid="{00000000-0005-0000-0000-0000D5010000}"/>
    <cellStyle name="Accent5 2 2 2" xfId="2414" xr:uid="{D2FBD0B4-6D64-43F4-AC85-843352DD1F97}"/>
    <cellStyle name="Accent5 2 3" xfId="471" xr:uid="{00000000-0005-0000-0000-0000D6010000}"/>
    <cellStyle name="Accent5 2 3 2" xfId="2415" xr:uid="{BD387AA7-AECE-4F56-B892-D309E115EBDD}"/>
    <cellStyle name="Accent5 2 4" xfId="472" xr:uid="{00000000-0005-0000-0000-0000D7010000}"/>
    <cellStyle name="Accent5 2 4 2" xfId="2416" xr:uid="{9C0F99D7-EAE8-403C-807D-65D5B4160DA8}"/>
    <cellStyle name="Accent5 2 5" xfId="473" xr:uid="{00000000-0005-0000-0000-0000D8010000}"/>
    <cellStyle name="Accent5 2 5 2" xfId="2417" xr:uid="{8798F1A2-8BB9-4A5A-B35D-54C41AA8A07F}"/>
    <cellStyle name="Accent5 2 6" xfId="474" xr:uid="{00000000-0005-0000-0000-0000D9010000}"/>
    <cellStyle name="Accent5 2 6 2" xfId="2418" xr:uid="{0BC250B1-F222-4E47-ABED-C8F660429929}"/>
    <cellStyle name="Accent5 2 7" xfId="2413" xr:uid="{CF100D35-BB99-4153-842E-800D24A2C4DF}"/>
    <cellStyle name="Accent5 3" xfId="475" xr:uid="{00000000-0005-0000-0000-0000DA010000}"/>
    <cellStyle name="Accent5 3 2" xfId="476" xr:uid="{00000000-0005-0000-0000-0000DB010000}"/>
    <cellStyle name="Accent5 3 2 2" xfId="2420" xr:uid="{75873DDE-4BDF-4FC7-AA19-70C42534A252}"/>
    <cellStyle name="Accent5 3 3" xfId="2419" xr:uid="{5D558AA6-340E-4176-954F-68F0C7360707}"/>
    <cellStyle name="Accent5 4" xfId="477" xr:uid="{00000000-0005-0000-0000-0000DC010000}"/>
    <cellStyle name="Accent5 4 2" xfId="478" xr:uid="{00000000-0005-0000-0000-0000DD010000}"/>
    <cellStyle name="Accent5 4 2 2" xfId="2422" xr:uid="{BAE77CB2-BFAA-4E8A-AB44-ACBAC592009A}"/>
    <cellStyle name="Accent5 4 3" xfId="2421" xr:uid="{99820A58-47CF-4234-AC50-1866E83C323C}"/>
    <cellStyle name="Accent6" xfId="479" builtinId="49" customBuiltin="1"/>
    <cellStyle name="Accent6 2" xfId="480" xr:uid="{00000000-0005-0000-0000-0000DF010000}"/>
    <cellStyle name="Accent6 2 2" xfId="481" xr:uid="{00000000-0005-0000-0000-0000E0010000}"/>
    <cellStyle name="Accent6 2 2 2" xfId="2424" xr:uid="{7F298F63-65B3-44F4-8562-41DA29AD17DE}"/>
    <cellStyle name="Accent6 2 3" xfId="482" xr:uid="{00000000-0005-0000-0000-0000E1010000}"/>
    <cellStyle name="Accent6 2 3 2" xfId="2425" xr:uid="{9ED30BE7-B796-48B5-A6BB-A38DC2F8752C}"/>
    <cellStyle name="Accent6 2 4" xfId="483" xr:uid="{00000000-0005-0000-0000-0000E2010000}"/>
    <cellStyle name="Accent6 2 4 2" xfId="2426" xr:uid="{1DBF394B-3AE7-42F4-9EDE-57E2412DBBCA}"/>
    <cellStyle name="Accent6 2 5" xfId="484" xr:uid="{00000000-0005-0000-0000-0000E3010000}"/>
    <cellStyle name="Accent6 2 5 2" xfId="2427" xr:uid="{DDCF355B-5A75-460D-9E9D-354B09EAE668}"/>
    <cellStyle name="Accent6 2 6" xfId="485" xr:uid="{00000000-0005-0000-0000-0000E4010000}"/>
    <cellStyle name="Accent6 2 6 2" xfId="2428" xr:uid="{4E7EBBCE-6CB6-497C-BFD3-1BC450FBD8FC}"/>
    <cellStyle name="Accent6 2 7" xfId="2423" xr:uid="{3967A8D0-1850-4217-B8C5-CDC46462BA51}"/>
    <cellStyle name="Accent6 3" xfId="486" xr:uid="{00000000-0005-0000-0000-0000E5010000}"/>
    <cellStyle name="Accent6 3 2" xfId="487" xr:uid="{00000000-0005-0000-0000-0000E6010000}"/>
    <cellStyle name="Accent6 3 2 2" xfId="2430" xr:uid="{E84A8A55-A5DE-4FC1-A379-9B083AEEE467}"/>
    <cellStyle name="Accent6 3 3" xfId="2429" xr:uid="{209DD6E4-D29D-42F7-A7BA-F700A66FE1DA}"/>
    <cellStyle name="Accent6 4" xfId="488" xr:uid="{00000000-0005-0000-0000-0000E7010000}"/>
    <cellStyle name="Accent6 4 2" xfId="489" xr:uid="{00000000-0005-0000-0000-0000E8010000}"/>
    <cellStyle name="Accent6 4 2 2" xfId="2432" xr:uid="{F2B10FEC-48D4-4C24-9E97-940149EFF938}"/>
    <cellStyle name="Accent6 4 3" xfId="2431" xr:uid="{A0C17FA7-7783-445B-9FAC-E6F539A8E1E9}"/>
    <cellStyle name="ÅëÈ­ [0]_±âÅ¸" xfId="490" xr:uid="{00000000-0005-0000-0000-0000E9010000}"/>
    <cellStyle name="ÅëÈ­_±âÅ¸" xfId="491" xr:uid="{00000000-0005-0000-0000-0000EA010000}"/>
    <cellStyle name="ALFA" xfId="492" xr:uid="{00000000-0005-0000-0000-0000EB010000}"/>
    <cellStyle name="ÄÞ¸¶ [0]_±âÅ¸" xfId="493" xr:uid="{00000000-0005-0000-0000-0000EC010000}"/>
    <cellStyle name="ÄÞ¸¶_±âÅ¸" xfId="494" xr:uid="{00000000-0005-0000-0000-0000ED010000}"/>
    <cellStyle name="Bad" xfId="495" builtinId="27" customBuiltin="1"/>
    <cellStyle name="Bad 2" xfId="496" xr:uid="{00000000-0005-0000-0000-0000EF010000}"/>
    <cellStyle name="Bad 2 2" xfId="497" xr:uid="{00000000-0005-0000-0000-0000F0010000}"/>
    <cellStyle name="Bad 2 2 2" xfId="2434" xr:uid="{ADDCE3F3-09CC-4F67-A518-06F8EE48B902}"/>
    <cellStyle name="Bad 2 3" xfId="498" xr:uid="{00000000-0005-0000-0000-0000F1010000}"/>
    <cellStyle name="Bad 2 3 2" xfId="2435" xr:uid="{A152D1BF-81FC-4343-B6B7-88D79EE6BC34}"/>
    <cellStyle name="Bad 2 4" xfId="499" xr:uid="{00000000-0005-0000-0000-0000F2010000}"/>
    <cellStyle name="Bad 2 4 2" xfId="2436" xr:uid="{EE284FAC-31B8-452D-BDCA-7DBF6C67584C}"/>
    <cellStyle name="Bad 2 5" xfId="500" xr:uid="{00000000-0005-0000-0000-0000F3010000}"/>
    <cellStyle name="Bad 2 5 2" xfId="2437" xr:uid="{DAF7B1E2-A97B-4902-B021-AF6B0879A307}"/>
    <cellStyle name="Bad 2 6" xfId="501" xr:uid="{00000000-0005-0000-0000-0000F4010000}"/>
    <cellStyle name="Bad 2 6 2" xfId="2438" xr:uid="{112C2E7B-CAD6-4221-B865-4B0601F3C820}"/>
    <cellStyle name="Bad 2 7" xfId="2433" xr:uid="{3FC18E19-FFC1-4D51-AF5A-71B3AD71820D}"/>
    <cellStyle name="Bad 3" xfId="502" xr:uid="{00000000-0005-0000-0000-0000F5010000}"/>
    <cellStyle name="Bad 3 2" xfId="503" xr:uid="{00000000-0005-0000-0000-0000F6010000}"/>
    <cellStyle name="Bad 3 2 2" xfId="2440" xr:uid="{D1C0A145-9577-4E06-ADB7-82E930687C81}"/>
    <cellStyle name="Bad 3 3" xfId="2439" xr:uid="{E05C38FE-D8C2-46E3-AB46-403CAE78093C}"/>
    <cellStyle name="Bad 4" xfId="504" xr:uid="{00000000-0005-0000-0000-0000F7010000}"/>
    <cellStyle name="Bad 4 2" xfId="505" xr:uid="{00000000-0005-0000-0000-0000F8010000}"/>
    <cellStyle name="Bad 4 2 2" xfId="2442" xr:uid="{DD21BEDE-000F-4560-ADAE-717050079C20}"/>
    <cellStyle name="Bad 4 3" xfId="2441" xr:uid="{4E3A0FB0-2ED2-4D86-A854-62BAF5E57405}"/>
    <cellStyle name="Ç¥ÁØ_¿¬°£´©°è¿¹»ó" xfId="506" xr:uid="{00000000-0005-0000-0000-0000F9010000}"/>
    <cellStyle name="Calc Currency (0)" xfId="507" xr:uid="{00000000-0005-0000-0000-0000FA010000}"/>
    <cellStyle name="Calc Currency (0) 2" xfId="508" xr:uid="{00000000-0005-0000-0000-0000FB010000}"/>
    <cellStyle name="Calc Currency (0) 2 2" xfId="509" xr:uid="{00000000-0005-0000-0000-0000FC010000}"/>
    <cellStyle name="Calc Currency (0) 2 2 2" xfId="2444" xr:uid="{4842D8C5-3738-4BD1-9FD5-52F6AB38DDE2}"/>
    <cellStyle name="Calc Currency (0) 2 3" xfId="2443" xr:uid="{101E0D4C-B3A8-45CD-B7F1-3CEDE6F19EB0}"/>
    <cellStyle name="Calc Currency (0) 3" xfId="510" xr:uid="{00000000-0005-0000-0000-0000FD010000}"/>
    <cellStyle name="Calc Currency (0) 3 2" xfId="2445" xr:uid="{DF686EC7-6098-4253-89D4-F85C05E74393}"/>
    <cellStyle name="Calc Currency (0) 4" xfId="511" xr:uid="{00000000-0005-0000-0000-0000FE010000}"/>
    <cellStyle name="Calc Currency (0) 5" xfId="512" xr:uid="{00000000-0005-0000-0000-0000FF010000}"/>
    <cellStyle name="Calc Currency (0)_Equipment" xfId="513" xr:uid="{00000000-0005-0000-0000-000000020000}"/>
    <cellStyle name="Calc Currency (2)" xfId="514" xr:uid="{00000000-0005-0000-0000-000001020000}"/>
    <cellStyle name="Calc Currency (2) 2" xfId="515" xr:uid="{00000000-0005-0000-0000-000002020000}"/>
    <cellStyle name="Calc Currency (2)_Equipment" xfId="516" xr:uid="{00000000-0005-0000-0000-000003020000}"/>
    <cellStyle name="Calc Percent (0)" xfId="517" xr:uid="{00000000-0005-0000-0000-000004020000}"/>
    <cellStyle name="Calc Percent (0) 2" xfId="518" xr:uid="{00000000-0005-0000-0000-000005020000}"/>
    <cellStyle name="Calc Percent (0) 3" xfId="2446" xr:uid="{5B63CFA9-D42C-4025-8DC8-8F8EE15FF1E7}"/>
    <cellStyle name="Calc Percent (0)_Equipment" xfId="519" xr:uid="{00000000-0005-0000-0000-000006020000}"/>
    <cellStyle name="Calc Percent (1)" xfId="520" xr:uid="{00000000-0005-0000-0000-000007020000}"/>
    <cellStyle name="Calc Percent (1) 2" xfId="521" xr:uid="{00000000-0005-0000-0000-000008020000}"/>
    <cellStyle name="Calc Percent (1) 3" xfId="522" xr:uid="{00000000-0005-0000-0000-000009020000}"/>
    <cellStyle name="Calc Percent (1) 4" xfId="523" xr:uid="{00000000-0005-0000-0000-00000A020000}"/>
    <cellStyle name="Calc Percent (1)_Equipment" xfId="524" xr:uid="{00000000-0005-0000-0000-00000B020000}"/>
    <cellStyle name="Calc Percent (2)" xfId="525" xr:uid="{00000000-0005-0000-0000-00000C020000}"/>
    <cellStyle name="Calc Percent (2) 2" xfId="526" xr:uid="{00000000-0005-0000-0000-00000D020000}"/>
    <cellStyle name="Calc Percent (2)_Equipment" xfId="527" xr:uid="{00000000-0005-0000-0000-00000E020000}"/>
    <cellStyle name="Calc Units (0)" xfId="528" xr:uid="{00000000-0005-0000-0000-00000F020000}"/>
    <cellStyle name="Calc Units (0) 2" xfId="529" xr:uid="{00000000-0005-0000-0000-000010020000}"/>
    <cellStyle name="Calc Units (0)_Equipment" xfId="530" xr:uid="{00000000-0005-0000-0000-000011020000}"/>
    <cellStyle name="Calc Units (1)" xfId="531" xr:uid="{00000000-0005-0000-0000-000012020000}"/>
    <cellStyle name="Calc Units (1) 2" xfId="532" xr:uid="{00000000-0005-0000-0000-000013020000}"/>
    <cellStyle name="Calc Units (1)_Equipment" xfId="533" xr:uid="{00000000-0005-0000-0000-000014020000}"/>
    <cellStyle name="Calc Units (2)" xfId="534" xr:uid="{00000000-0005-0000-0000-000015020000}"/>
    <cellStyle name="Calc Units (2) 2" xfId="535" xr:uid="{00000000-0005-0000-0000-000016020000}"/>
    <cellStyle name="Calc Units (2)_Equipment" xfId="536" xr:uid="{00000000-0005-0000-0000-000017020000}"/>
    <cellStyle name="Calculation" xfId="537" builtinId="22" customBuiltin="1"/>
    <cellStyle name="Calculation 2" xfId="538" xr:uid="{00000000-0005-0000-0000-000019020000}"/>
    <cellStyle name="Calculation 2 10" xfId="3955" xr:uid="{E4B34403-36A0-42D5-983A-76773402E239}"/>
    <cellStyle name="Calculation 2 11" xfId="4016" xr:uid="{9C6205A5-6569-400F-AB88-3EA76FE168A1}"/>
    <cellStyle name="Calculation 2 2" xfId="539" xr:uid="{00000000-0005-0000-0000-00001A020000}"/>
    <cellStyle name="Calculation 2 2 2" xfId="2448" xr:uid="{293BBC95-92B9-4EC7-8DC4-849F4F29E506}"/>
    <cellStyle name="Calculation 2 2 3" xfId="3806" xr:uid="{BDE8B6BC-287C-4257-9408-433EA275EE5D}"/>
    <cellStyle name="Calculation 2 2 4" xfId="3944" xr:uid="{89EB6ABF-AEC2-4EE8-ACEB-C0450DBCFC77}"/>
    <cellStyle name="Calculation 2 2 5" xfId="3956" xr:uid="{465F5E87-1D75-4E81-B0DA-12A556398017}"/>
    <cellStyle name="Calculation 2 2 6" xfId="4015" xr:uid="{22D3A39A-0758-4289-B359-F29E363216C7}"/>
    <cellStyle name="Calculation 2 3" xfId="540" xr:uid="{00000000-0005-0000-0000-00001B020000}"/>
    <cellStyle name="Calculation 2 3 2" xfId="2449" xr:uid="{193C2F5F-4EAC-4520-AFC2-F0CEC062E219}"/>
    <cellStyle name="Calculation 2 3 3" xfId="3805" xr:uid="{DBF8A427-94D5-489A-9587-BE3502F92EFB}"/>
    <cellStyle name="Calculation 2 3 4" xfId="3943" xr:uid="{1A131E3B-9E2E-4FA5-86CB-015437490DAD}"/>
    <cellStyle name="Calculation 2 3 5" xfId="3957" xr:uid="{2196C478-FCE0-41E4-8C4D-7DE8C091857F}"/>
    <cellStyle name="Calculation 2 3 6" xfId="4014" xr:uid="{3AD92F56-D2FE-46EC-A613-869FFF686D83}"/>
    <cellStyle name="Calculation 2 4" xfId="541" xr:uid="{00000000-0005-0000-0000-00001C020000}"/>
    <cellStyle name="Calculation 2 4 2" xfId="2450" xr:uid="{388B8CF1-D6D9-4DE8-8B8A-C1A04DE4944A}"/>
    <cellStyle name="Calculation 2 4 3" xfId="3804" xr:uid="{12EDEC71-8CEF-4DB7-B3C1-57C101FD4692}"/>
    <cellStyle name="Calculation 2 4 4" xfId="3942" xr:uid="{4F576536-92D0-4AC9-B031-2337C4A0E141}"/>
    <cellStyle name="Calculation 2 4 5" xfId="3958" xr:uid="{E013BA57-4C72-4073-88EF-8ED955F35C2E}"/>
    <cellStyle name="Calculation 2 4 6" xfId="4013" xr:uid="{BE008D43-86B3-4F0A-84DE-1CB2135D449B}"/>
    <cellStyle name="Calculation 2 5" xfId="542" xr:uid="{00000000-0005-0000-0000-00001D020000}"/>
    <cellStyle name="Calculation 2 5 2" xfId="2451" xr:uid="{80F6E7DE-B9C8-470F-BBF0-AAB3F50ED9F0}"/>
    <cellStyle name="Calculation 2 5 3" xfId="3803" xr:uid="{A70D71B1-E6F3-4C5C-B8D3-9DB87D515E0C}"/>
    <cellStyle name="Calculation 2 5 4" xfId="3941" xr:uid="{A91C547D-DC87-409B-8ED5-C16C7B321CA6}"/>
    <cellStyle name="Calculation 2 5 5" xfId="3959" xr:uid="{12AEB324-6A91-4625-BA40-5C2B6D974125}"/>
    <cellStyle name="Calculation 2 5 6" xfId="4012" xr:uid="{3883B623-4BB1-4235-91B8-773F414F3BCE}"/>
    <cellStyle name="Calculation 2 6" xfId="543" xr:uid="{00000000-0005-0000-0000-00001E020000}"/>
    <cellStyle name="Calculation 2 6 2" xfId="2452" xr:uid="{E6082483-CDEB-41E3-AA87-B30F7ABC2A80}"/>
    <cellStyle name="Calculation 2 6 3" xfId="3802" xr:uid="{CE65B4B0-CBD0-4A31-8E87-EE71BC17462E}"/>
    <cellStyle name="Calculation 2 6 4" xfId="3940" xr:uid="{E86C72B9-B312-4234-B5DD-8861C96471AF}"/>
    <cellStyle name="Calculation 2 6 5" xfId="3960" xr:uid="{99A0B6F4-DA8F-4F11-BF2C-D6A9E4715DC0}"/>
    <cellStyle name="Calculation 2 6 6" xfId="4011" xr:uid="{CF0DBBF5-E04F-4365-901F-695CD41902F4}"/>
    <cellStyle name="Calculation 2 7" xfId="2447" xr:uid="{FFDA41EE-9AE6-4D38-92E9-FD833AA88FE9}"/>
    <cellStyle name="Calculation 2 8" xfId="3807" xr:uid="{C273EA92-81FF-4972-BD69-21EC30A251C6}"/>
    <cellStyle name="Calculation 2 9" xfId="3945" xr:uid="{9196DC57-33BD-4918-99DE-DF3EAE1F5ED6}"/>
    <cellStyle name="Calculation 2_Buma Equipment List update" xfId="544" xr:uid="{00000000-0005-0000-0000-00001F020000}"/>
    <cellStyle name="Calculation 3" xfId="545" xr:uid="{00000000-0005-0000-0000-000020020000}"/>
    <cellStyle name="Calculation 3 2" xfId="546" xr:uid="{00000000-0005-0000-0000-000021020000}"/>
    <cellStyle name="Calculation 3 2 2" xfId="2454" xr:uid="{652929DD-E29A-4D7D-A91C-FDDD805FE5CF}"/>
    <cellStyle name="Calculation 3 2 3" xfId="3800" xr:uid="{CEDFDC9B-5476-4B25-A89D-EE74AA9FAA76}"/>
    <cellStyle name="Calculation 3 2 4" xfId="3938" xr:uid="{FBFE7287-8E77-4401-B3BB-6FA83AB4192D}"/>
    <cellStyle name="Calculation 3 2 5" xfId="3962" xr:uid="{203C3F8C-DB3D-43AE-8F05-57A674D9C405}"/>
    <cellStyle name="Calculation 3 2 6" xfId="4009" xr:uid="{A6BFF66F-B22B-4BB4-AC32-003DAAAC27AE}"/>
    <cellStyle name="Calculation 3 3" xfId="2453" xr:uid="{8B345198-FBC4-4295-A839-621E112FBF92}"/>
    <cellStyle name="Calculation 3 4" xfId="3801" xr:uid="{7CA04197-71D3-4B06-A8E8-8F80A093187B}"/>
    <cellStyle name="Calculation 3 5" xfId="3939" xr:uid="{03461BC7-6616-4C5C-A45E-E2CAF8DF15CD}"/>
    <cellStyle name="Calculation 3 6" xfId="3961" xr:uid="{4BB9A1C1-ECC5-4567-8ACF-3FA7FD46E1C7}"/>
    <cellStyle name="Calculation 3 7" xfId="4010" xr:uid="{1B1217D0-D4B1-43FE-9F61-F46EFAE2EA6C}"/>
    <cellStyle name="Calculation 3_Buma Equipment List update" xfId="547" xr:uid="{00000000-0005-0000-0000-000022020000}"/>
    <cellStyle name="Calculation 4" xfId="548" xr:uid="{00000000-0005-0000-0000-000023020000}"/>
    <cellStyle name="Calculation 4 2" xfId="549" xr:uid="{00000000-0005-0000-0000-000024020000}"/>
    <cellStyle name="Calculation 4 2 2" xfId="2456" xr:uid="{2076F060-19B0-4E77-9B77-24A7BF1A988C}"/>
    <cellStyle name="Calculation 4 2 3" xfId="3798" xr:uid="{4FA81857-B356-426B-A2E7-AA323C8E75CA}"/>
    <cellStyle name="Calculation 4 2 4" xfId="3936" xr:uid="{D42EC730-476A-45F2-83AE-F4641D887A5F}"/>
    <cellStyle name="Calculation 4 2 5" xfId="3964" xr:uid="{AAD88734-8543-4306-82D1-A33CF08BFEE8}"/>
    <cellStyle name="Calculation 4 2 6" xfId="4007" xr:uid="{193D67AB-309A-4B43-A77A-CD206C674D3D}"/>
    <cellStyle name="Calculation 4 3" xfId="2455" xr:uid="{2CB5DEE0-D08F-4497-A88C-691A9D778EF2}"/>
    <cellStyle name="Calculation 4 4" xfId="3799" xr:uid="{ACAE7FAC-BB45-48FC-9AF8-2F0AEA66FD45}"/>
    <cellStyle name="Calculation 4 5" xfId="3937" xr:uid="{0111975D-F1D8-46D8-B70C-EE9C0DDFE2DE}"/>
    <cellStyle name="Calculation 4 6" xfId="3963" xr:uid="{40BCA34B-3B81-4624-B4F8-6CBC8F949503}"/>
    <cellStyle name="Calculation 4 7" xfId="4008" xr:uid="{FEA3DD85-7DA1-45DE-8B1B-44318987B519}"/>
    <cellStyle name="Calculation 4_Buma Equipment List update" xfId="550" xr:uid="{00000000-0005-0000-0000-000025020000}"/>
    <cellStyle name="category" xfId="551" xr:uid="{00000000-0005-0000-0000-000026020000}"/>
    <cellStyle name="category 2" xfId="2457" xr:uid="{A1C74F88-82FC-4DF0-8657-990EFB7B353E}"/>
    <cellStyle name="Check Cell" xfId="552" builtinId="23" customBuiltin="1"/>
    <cellStyle name="Check Cell 2" xfId="553" xr:uid="{00000000-0005-0000-0000-000028020000}"/>
    <cellStyle name="Check Cell 2 2" xfId="554" xr:uid="{00000000-0005-0000-0000-000029020000}"/>
    <cellStyle name="Check Cell 2 2 2" xfId="2103" xr:uid="{EBEA44A0-53D9-44CE-95BF-743479A2CDDF}"/>
    <cellStyle name="Check Cell 2 2 3" xfId="2113" xr:uid="{F42632EB-A103-4798-97C0-0DEDB5E1755A}"/>
    <cellStyle name="Check Cell 2 2 4" xfId="2459" xr:uid="{29FFD4E6-5F2B-45F6-81C0-B3EB7FBBAF90}"/>
    <cellStyle name="Check Cell 2 3" xfId="555" xr:uid="{00000000-0005-0000-0000-00002A020000}"/>
    <cellStyle name="Check Cell 2 3 2" xfId="2104" xr:uid="{1D0697F2-89D0-4919-89D2-3CD44E0C758D}"/>
    <cellStyle name="Check Cell 2 3 3" xfId="2114" xr:uid="{881F3F74-FE5C-415F-B96E-E94424EAA0EF}"/>
    <cellStyle name="Check Cell 2 3 4" xfId="2460" xr:uid="{2CB46EBB-3A85-4A03-91D2-CAA751AA9AAE}"/>
    <cellStyle name="Check Cell 2 4" xfId="556" xr:uid="{00000000-0005-0000-0000-00002B020000}"/>
    <cellStyle name="Check Cell 2 4 2" xfId="2105" xr:uid="{475BA53D-9FB4-467A-8AEE-26B271B9E310}"/>
    <cellStyle name="Check Cell 2 4 3" xfId="2115" xr:uid="{D82653F0-1E7B-4B83-A34D-DC5BF2CBDF08}"/>
    <cellStyle name="Check Cell 2 4 4" xfId="2461" xr:uid="{24B1B626-39AD-409C-9D21-A5155848AA3E}"/>
    <cellStyle name="Check Cell 2 5" xfId="557" xr:uid="{00000000-0005-0000-0000-00002C020000}"/>
    <cellStyle name="Check Cell 2 5 2" xfId="2106" xr:uid="{16B4A51C-D2A0-411E-8D59-07233D997C19}"/>
    <cellStyle name="Check Cell 2 5 3" xfId="2116" xr:uid="{B53BD106-CD8F-44DE-B002-E6B89D522B9A}"/>
    <cellStyle name="Check Cell 2 5 4" xfId="2462" xr:uid="{A218F0AF-A260-4AF0-A26E-D913E75DE82A}"/>
    <cellStyle name="Check Cell 2 6" xfId="558" xr:uid="{00000000-0005-0000-0000-00002D020000}"/>
    <cellStyle name="Check Cell 2 6 2" xfId="2107" xr:uid="{BDBB419B-ECD6-4E52-BF4C-8E6F984F1FC3}"/>
    <cellStyle name="Check Cell 2 6 3" xfId="2117" xr:uid="{61D449CA-67D7-4F04-A1F6-F44DE75D7933}"/>
    <cellStyle name="Check Cell 2 6 4" xfId="2463" xr:uid="{6196F531-3BC6-4FAB-A2FA-1EE0BCF8271B}"/>
    <cellStyle name="Check Cell 2 7" xfId="2102" xr:uid="{81C5B92F-352B-4B5B-A305-B658CA0297C5}"/>
    <cellStyle name="Check Cell 2 8" xfId="2112" xr:uid="{60E31283-5B21-4B7F-88EB-EC709A0D084F}"/>
    <cellStyle name="Check Cell 2 9" xfId="2458" xr:uid="{94646861-F6B7-4369-AE4A-DEA37167945A}"/>
    <cellStyle name="Check Cell 2_Buma Equipment List update" xfId="559" xr:uid="{00000000-0005-0000-0000-00002E020000}"/>
    <cellStyle name="Check Cell 3" xfId="560" xr:uid="{00000000-0005-0000-0000-00002F020000}"/>
    <cellStyle name="Check Cell 3 2" xfId="561" xr:uid="{00000000-0005-0000-0000-000030020000}"/>
    <cellStyle name="Check Cell 3 2 2" xfId="2109" xr:uid="{F8A848A5-318C-4609-9732-56ACD7D7E33F}"/>
    <cellStyle name="Check Cell 3 2 3" xfId="2119" xr:uid="{AB8D5A10-7EB6-4B80-A597-6965A11CADB5}"/>
    <cellStyle name="Check Cell 3 2 4" xfId="2465" xr:uid="{C676C65E-2673-46C2-AC73-909ED8E2319B}"/>
    <cellStyle name="Check Cell 3 3" xfId="2108" xr:uid="{80699A25-4858-44B1-A17D-3C9EDD725D25}"/>
    <cellStyle name="Check Cell 3 4" xfId="2118" xr:uid="{DCFDD4AB-426C-412B-BB84-E9253BAE1284}"/>
    <cellStyle name="Check Cell 3 5" xfId="2464" xr:uid="{65B36315-0373-492B-A929-509584ED40DF}"/>
    <cellStyle name="Check Cell 3_Buma Equipment List update" xfId="562" xr:uid="{00000000-0005-0000-0000-000031020000}"/>
    <cellStyle name="Check Cell 4" xfId="563" xr:uid="{00000000-0005-0000-0000-000032020000}"/>
    <cellStyle name="Check Cell 4 2" xfId="564" xr:uid="{00000000-0005-0000-0000-000033020000}"/>
    <cellStyle name="Check Cell 4 2 2" xfId="2111" xr:uid="{8FA8AA04-89E9-47D4-8F47-4102B8A22ABB}"/>
    <cellStyle name="Check Cell 4 2 3" xfId="2121" xr:uid="{AA380E8A-A219-4F1D-8508-2FA12C622772}"/>
    <cellStyle name="Check Cell 4 2 4" xfId="2467" xr:uid="{D1DAB2AE-32FE-482B-97E8-1CA2E8008EFD}"/>
    <cellStyle name="Check Cell 4 3" xfId="2110" xr:uid="{985D5473-C279-4ABA-B366-1B6167CFD88E}"/>
    <cellStyle name="Check Cell 4 4" xfId="2120" xr:uid="{29A90348-9B85-4A07-82BF-E718E5C31737}"/>
    <cellStyle name="Check Cell 4 5" xfId="2466" xr:uid="{2851CF0A-6A92-49BB-8171-174CA7CAF880}"/>
    <cellStyle name="Check Cell 4_Buma Equipment List update" xfId="565" xr:uid="{00000000-0005-0000-0000-000034020000}"/>
    <cellStyle name="Check Cell 5" xfId="2101" xr:uid="{076DD789-38FF-4839-BD83-B76A134DD5EA}"/>
    <cellStyle name="Check Cell 6" xfId="2137" xr:uid="{2D6A8E27-B26B-410A-ACAA-28228603FD5F}"/>
    <cellStyle name="Check Cell 7" xfId="2100" xr:uid="{7C4FF9FD-8FD4-4F4C-B9CE-4A310FC6BC84}"/>
    <cellStyle name="Comma" xfId="2057" builtinId="3"/>
    <cellStyle name="Comma  - Style1" xfId="3678" xr:uid="{1A9C37ED-76D8-4346-BAE8-562FEDC75566}"/>
    <cellStyle name="Comma [0] 10" xfId="566" xr:uid="{00000000-0005-0000-0000-000036020000}"/>
    <cellStyle name="Comma [0] 10 2" xfId="567" xr:uid="{00000000-0005-0000-0000-000037020000}"/>
    <cellStyle name="Comma [0] 10 2 2" xfId="2470" xr:uid="{36505BD6-0FC6-411C-86E5-ACBCFE112478}"/>
    <cellStyle name="Comma [0] 10 3" xfId="2469" xr:uid="{133F11F3-4D05-4733-950D-D30B980B762C}"/>
    <cellStyle name="Comma [0] 11" xfId="2086" xr:uid="{00000000-0005-0000-0000-000038020000}"/>
    <cellStyle name="Comma [0] 11 2" xfId="2161" xr:uid="{ADA9032A-177A-4BF3-951D-24905C0609F6}"/>
    <cellStyle name="Comma [0] 11 3" xfId="3679" xr:uid="{C9F5E901-FBFA-4E28-AA5E-97C189CFC246}"/>
    <cellStyle name="Comma [0] 12" xfId="3720" xr:uid="{C3B1658E-B0D5-42BC-94BE-87A23BEDF718}"/>
    <cellStyle name="Comma [0] 13" xfId="568" xr:uid="{00000000-0005-0000-0000-000039020000}"/>
    <cellStyle name="Comma [0] 13 10" xfId="569" xr:uid="{00000000-0005-0000-0000-00003A020000}"/>
    <cellStyle name="Comma [0] 13 10 2" xfId="2472" xr:uid="{2E8C6706-9879-49D2-A53D-DEAA71782483}"/>
    <cellStyle name="Comma [0] 13 11" xfId="570" xr:uid="{00000000-0005-0000-0000-00003B020000}"/>
    <cellStyle name="Comma [0] 13 11 2" xfId="2473" xr:uid="{5EDC9F54-6CB2-4197-9864-73C7D2C23124}"/>
    <cellStyle name="Comma [0] 13 12" xfId="571" xr:uid="{00000000-0005-0000-0000-00003C020000}"/>
    <cellStyle name="Comma [0] 13 12 2" xfId="2474" xr:uid="{EBB3FB25-34BA-4CAB-80C6-D2324D88E24B}"/>
    <cellStyle name="Comma [0] 13 13" xfId="572" xr:uid="{00000000-0005-0000-0000-00003D020000}"/>
    <cellStyle name="Comma [0] 13 13 2" xfId="2475" xr:uid="{E1672496-9BE1-4ACB-805D-7437C1D2F2C8}"/>
    <cellStyle name="Comma [0] 13 14" xfId="573" xr:uid="{00000000-0005-0000-0000-00003E020000}"/>
    <cellStyle name="Comma [0] 13 14 2" xfId="2476" xr:uid="{8DFEE644-5600-48EE-9191-7A64FD897DBB}"/>
    <cellStyle name="Comma [0] 13 15" xfId="2471" xr:uid="{C32C43E2-7799-4253-A5D5-353C02C2A47E}"/>
    <cellStyle name="Comma [0] 13 2" xfId="574" xr:uid="{00000000-0005-0000-0000-00003F020000}"/>
    <cellStyle name="Comma [0] 13 2 2" xfId="2477" xr:uid="{6E4F772C-C549-46CD-908E-5ECCF2C95440}"/>
    <cellStyle name="Comma [0] 13 3" xfId="575" xr:uid="{00000000-0005-0000-0000-000040020000}"/>
    <cellStyle name="Comma [0] 13 3 2" xfId="2478" xr:uid="{3FF5F98D-0778-43D3-B71D-F6A2BF339444}"/>
    <cellStyle name="Comma [0] 13 4" xfId="576" xr:uid="{00000000-0005-0000-0000-000041020000}"/>
    <cellStyle name="Comma [0] 13 4 2" xfId="2479" xr:uid="{01A201E7-9D91-4388-B455-77009F5FDF6B}"/>
    <cellStyle name="Comma [0] 13 5" xfId="577" xr:uid="{00000000-0005-0000-0000-000042020000}"/>
    <cellStyle name="Comma [0] 13 5 2" xfId="2480" xr:uid="{909EBDBF-EAE0-4923-BC53-96662F534D05}"/>
    <cellStyle name="Comma [0] 13 6" xfId="578" xr:uid="{00000000-0005-0000-0000-000043020000}"/>
    <cellStyle name="Comma [0] 13 6 2" xfId="2481" xr:uid="{5BC47D8C-C597-4E7F-9195-869DDAB1073B}"/>
    <cellStyle name="Comma [0] 13 7" xfId="579" xr:uid="{00000000-0005-0000-0000-000044020000}"/>
    <cellStyle name="Comma [0] 13 7 2" xfId="2482" xr:uid="{02134EDE-F6DA-4A11-9D2B-0DC71C28B847}"/>
    <cellStyle name="Comma [0] 13 8" xfId="580" xr:uid="{00000000-0005-0000-0000-000045020000}"/>
    <cellStyle name="Comma [0] 13 8 2" xfId="2483" xr:uid="{9D4E4062-972B-4F4F-9FEC-2942BCBA29E5}"/>
    <cellStyle name="Comma [0] 13 9" xfId="581" xr:uid="{00000000-0005-0000-0000-000046020000}"/>
    <cellStyle name="Comma [0] 13 9 2" xfId="2484" xr:uid="{3DAF62C3-3B75-4222-B72E-1962CFA2BA09}"/>
    <cellStyle name="Comma [0] 14" xfId="3564" xr:uid="{EB9BEDD4-C6F9-40A1-9D8C-0F0AAEA2C110}"/>
    <cellStyle name="Comma [0] 2" xfId="582" xr:uid="{00000000-0005-0000-0000-000047020000}"/>
    <cellStyle name="Comma [0] 2 10" xfId="583" xr:uid="{00000000-0005-0000-0000-000048020000}"/>
    <cellStyle name="Comma [0] 2 10 2" xfId="2486" xr:uid="{1E003D58-EA5F-4EC3-863A-1585F755E326}"/>
    <cellStyle name="Comma [0] 2 11" xfId="584" xr:uid="{00000000-0005-0000-0000-000049020000}"/>
    <cellStyle name="Comma [0] 2 11 2" xfId="2487" xr:uid="{BAB9F86C-FC36-4FD7-BB25-5B52500B30ED}"/>
    <cellStyle name="Comma [0] 2 12" xfId="585" xr:uid="{00000000-0005-0000-0000-00004A020000}"/>
    <cellStyle name="Comma [0] 2 12 2" xfId="2488" xr:uid="{12DFC4BF-C15D-4DF1-B7B9-D34040992806}"/>
    <cellStyle name="Comma [0] 2 13" xfId="586" xr:uid="{00000000-0005-0000-0000-00004B020000}"/>
    <cellStyle name="Comma [0] 2 13 2" xfId="2489" xr:uid="{840BEA4F-9AD1-4DF5-9D2F-BE3F29460C0E}"/>
    <cellStyle name="Comma [0] 2 14" xfId="587" xr:uid="{00000000-0005-0000-0000-00004C020000}"/>
    <cellStyle name="Comma [0] 2 14 2" xfId="2490" xr:uid="{9DD7DEAB-E595-4872-AA4B-7DDF5BD43914}"/>
    <cellStyle name="Comma [0] 2 15" xfId="588" xr:uid="{00000000-0005-0000-0000-00004D020000}"/>
    <cellStyle name="Comma [0] 2 15 2" xfId="2491" xr:uid="{B8C1D0BC-AF2F-4D5C-97E0-7B87BDF39240}"/>
    <cellStyle name="Comma [0] 2 16" xfId="589" xr:uid="{00000000-0005-0000-0000-00004E020000}"/>
    <cellStyle name="Comma [0] 2 16 2" xfId="2492" xr:uid="{4665414C-A594-4E62-B06F-699B2A01317B}"/>
    <cellStyle name="Comma [0] 2 17" xfId="590" xr:uid="{00000000-0005-0000-0000-00004F020000}"/>
    <cellStyle name="Comma [0] 2 17 2" xfId="2493" xr:uid="{0FB57951-235A-43D8-929C-8545CBC6A92C}"/>
    <cellStyle name="Comma [0] 2 18" xfId="591" xr:uid="{00000000-0005-0000-0000-000050020000}"/>
    <cellStyle name="Comma [0] 2 18 2" xfId="2494" xr:uid="{31E9E943-A899-4BA2-A7DB-28B48B064333}"/>
    <cellStyle name="Comma [0] 2 19" xfId="592" xr:uid="{00000000-0005-0000-0000-000051020000}"/>
    <cellStyle name="Comma [0] 2 19 2" xfId="2495" xr:uid="{1E976985-4401-4E4B-9053-B7282E46CC63}"/>
    <cellStyle name="Comma [0] 2 2" xfId="593" xr:uid="{00000000-0005-0000-0000-000052020000}"/>
    <cellStyle name="Comma [0] 2 2 2" xfId="594" xr:uid="{00000000-0005-0000-0000-000053020000}"/>
    <cellStyle name="Comma [0] 2 2 2 2" xfId="2497" xr:uid="{71ABBF19-B01F-4F6B-B32C-FAD7FBD8E50F}"/>
    <cellStyle name="Comma [0] 2 2 3" xfId="595" xr:uid="{00000000-0005-0000-0000-000054020000}"/>
    <cellStyle name="Comma [0] 2 2 3 2" xfId="2498" xr:uid="{02119E70-03F4-41CD-A989-B1B68DCB4717}"/>
    <cellStyle name="Comma [0] 2 2 4" xfId="596" xr:uid="{00000000-0005-0000-0000-000055020000}"/>
    <cellStyle name="Comma [0] 2 2 4 2" xfId="2499" xr:uid="{06BE7727-0E9B-4E9D-9A65-31859C84D1E4}"/>
    <cellStyle name="Comma [0] 2 2 5" xfId="597" xr:uid="{00000000-0005-0000-0000-000056020000}"/>
    <cellStyle name="Comma [0] 2 2 5 2" xfId="2500" xr:uid="{49C3FB10-7AC6-4B50-A87D-C46F7DA11691}"/>
    <cellStyle name="Comma [0] 2 2 6" xfId="598" xr:uid="{00000000-0005-0000-0000-000057020000}"/>
    <cellStyle name="Comma [0] 2 2 6 2" xfId="2501" xr:uid="{A41DBF41-0597-4749-89A0-92A5DFAC6720}"/>
    <cellStyle name="Comma [0] 2 2 7" xfId="599" xr:uid="{00000000-0005-0000-0000-000058020000}"/>
    <cellStyle name="Comma [0] 2 2 7 2" xfId="2502" xr:uid="{681DD206-1A88-4F98-A430-1BE30E91DC2E}"/>
    <cellStyle name="Comma [0] 2 2 8" xfId="2496" xr:uid="{87F174DB-148D-4092-AA02-439080C0F45F}"/>
    <cellStyle name="Comma [0] 2 2 8 2" xfId="3621" xr:uid="{076E7B2F-2C5B-4482-AB87-148BD0141D08}"/>
    <cellStyle name="Comma [0] 2 20" xfId="600" xr:uid="{00000000-0005-0000-0000-000059020000}"/>
    <cellStyle name="Comma [0] 2 20 2" xfId="2503" xr:uid="{66E27765-003F-408A-9F6C-DDE42563165A}"/>
    <cellStyle name="Comma [0] 2 21" xfId="601" xr:uid="{00000000-0005-0000-0000-00005A020000}"/>
    <cellStyle name="Comma [0] 2 21 2" xfId="2504" xr:uid="{BAEDD95B-292D-4D2B-9538-A8E88F66C8C0}"/>
    <cellStyle name="Comma [0] 2 22" xfId="602" xr:uid="{00000000-0005-0000-0000-00005B020000}"/>
    <cellStyle name="Comma [0] 2 22 2" xfId="2505" xr:uid="{88378A83-90FC-46A8-813F-AACD3C36F3C3}"/>
    <cellStyle name="Comma [0] 2 23" xfId="603" xr:uid="{00000000-0005-0000-0000-00005C020000}"/>
    <cellStyle name="Comma [0] 2 23 2" xfId="2506" xr:uid="{60E66BA7-275C-4C81-A1BB-654DE870EC1E}"/>
    <cellStyle name="Comma [0] 2 24" xfId="604" xr:uid="{00000000-0005-0000-0000-00005D020000}"/>
    <cellStyle name="Comma [0] 2 24 2" xfId="2507" xr:uid="{175938BA-B4B0-436D-94AB-1316F6CAB220}"/>
    <cellStyle name="Comma [0] 2 25" xfId="605" xr:uid="{00000000-0005-0000-0000-00005E020000}"/>
    <cellStyle name="Comma [0] 2 25 2" xfId="2508" xr:uid="{A80A9344-900D-46D7-9D4E-7C3932F01D42}"/>
    <cellStyle name="Comma [0] 2 26" xfId="606" xr:uid="{00000000-0005-0000-0000-00005F020000}"/>
    <cellStyle name="Comma [0] 2 26 2" xfId="2509" xr:uid="{4A5F21FB-19C5-4CE3-ACBA-BAA3D1326E8E}"/>
    <cellStyle name="Comma [0] 2 27" xfId="607" xr:uid="{00000000-0005-0000-0000-000060020000}"/>
    <cellStyle name="Comma [0] 2 27 2" xfId="2510" xr:uid="{0C3F9178-8BE5-45C6-AAD5-4DEDE2DB3A2A}"/>
    <cellStyle name="Comma [0] 2 28" xfId="608" xr:uid="{00000000-0005-0000-0000-000061020000}"/>
    <cellStyle name="Comma [0] 2 28 2" xfId="2511" xr:uid="{777BC444-ECFD-47EC-80F7-26FA585B7ED2}"/>
    <cellStyle name="Comma [0] 2 29" xfId="609" xr:uid="{00000000-0005-0000-0000-000062020000}"/>
    <cellStyle name="Comma [0] 2 29 2" xfId="2512" xr:uid="{6E5F1AF1-944D-44D5-B9E4-C6F21B6E271A}"/>
    <cellStyle name="Comma [0] 2 3" xfId="610" xr:uid="{00000000-0005-0000-0000-000063020000}"/>
    <cellStyle name="Comma [0] 2 3 2" xfId="2513" xr:uid="{852AACCB-62A4-4B19-8C1B-992A8D959512}"/>
    <cellStyle name="Comma [0] 2 30" xfId="611" xr:uid="{00000000-0005-0000-0000-000064020000}"/>
    <cellStyle name="Comma [0] 2 30 2" xfId="2514" xr:uid="{A1765231-486E-453E-9FA9-709DC79B4616}"/>
    <cellStyle name="Comma [0] 2 31" xfId="612" xr:uid="{00000000-0005-0000-0000-000065020000}"/>
    <cellStyle name="Comma [0] 2 31 2" xfId="2515" xr:uid="{3C3FCA38-BE8D-4712-B5E6-CBC1CB570371}"/>
    <cellStyle name="Comma [0] 2 32" xfId="613" xr:uid="{00000000-0005-0000-0000-000066020000}"/>
    <cellStyle name="Comma [0] 2 32 2" xfId="2516" xr:uid="{E47463E2-3E14-4123-BE54-3E29B08C779E}"/>
    <cellStyle name="Comma [0] 2 33" xfId="614" xr:uid="{00000000-0005-0000-0000-000067020000}"/>
    <cellStyle name="Comma [0] 2 33 2" xfId="2517" xr:uid="{CBC12EC5-972E-4041-8237-D6D6F5AC7F45}"/>
    <cellStyle name="Comma [0] 2 34" xfId="615" xr:uid="{00000000-0005-0000-0000-000068020000}"/>
    <cellStyle name="Comma [0] 2 34 2" xfId="2518" xr:uid="{73CFDF07-7250-4179-86ED-D4425A37E1AC}"/>
    <cellStyle name="Comma [0] 2 35" xfId="616" xr:uid="{00000000-0005-0000-0000-000069020000}"/>
    <cellStyle name="Comma [0] 2 35 2" xfId="2519" xr:uid="{ED58CFA5-7D04-456C-AC2B-17706FA278A1}"/>
    <cellStyle name="Comma [0] 2 36" xfId="617" xr:uid="{00000000-0005-0000-0000-00006A020000}"/>
    <cellStyle name="Comma [0] 2 36 2" xfId="2520" xr:uid="{E35696DF-523C-4604-A290-172B2EE652F3}"/>
    <cellStyle name="Comma [0] 2 37" xfId="618" xr:uid="{00000000-0005-0000-0000-00006B020000}"/>
    <cellStyle name="Comma [0] 2 37 2" xfId="2521" xr:uid="{DC94E16F-B2C3-4426-8BD9-D0B0A28804A0}"/>
    <cellStyle name="Comma [0] 2 38" xfId="2485" xr:uid="{3F44C2CE-175B-4E3A-8CFE-B7E468A2E303}"/>
    <cellStyle name="Comma [0] 2 4" xfId="619" xr:uid="{00000000-0005-0000-0000-00006C020000}"/>
    <cellStyle name="Comma [0] 2 4 2" xfId="2522" xr:uid="{80E40196-E81D-4288-893B-A3FE222E7548}"/>
    <cellStyle name="Comma [0] 2 5" xfId="620" xr:uid="{00000000-0005-0000-0000-00006D020000}"/>
    <cellStyle name="Comma [0] 2 5 2" xfId="2523" xr:uid="{8D3CF337-1EDD-4A77-974D-25203F8D7AA7}"/>
    <cellStyle name="Comma [0] 2 6" xfId="621" xr:uid="{00000000-0005-0000-0000-00006E020000}"/>
    <cellStyle name="Comma [0] 2 6 2" xfId="2524" xr:uid="{B467135D-A281-49F4-B06B-38A9AA3E0A01}"/>
    <cellStyle name="Comma [0] 2 7" xfId="622" xr:uid="{00000000-0005-0000-0000-00006F020000}"/>
    <cellStyle name="Comma [0] 2 7 2" xfId="2525" xr:uid="{43EC6A5D-FA8D-4685-BA62-8D8BA42A4D3D}"/>
    <cellStyle name="Comma [0] 2 8" xfId="623" xr:uid="{00000000-0005-0000-0000-000070020000}"/>
    <cellStyle name="Comma [0] 2 8 2" xfId="2526" xr:uid="{7ED2AF16-E9C5-4CB2-8703-8A246A9820AA}"/>
    <cellStyle name="Comma [0] 2 9" xfId="624" xr:uid="{00000000-0005-0000-0000-000071020000}"/>
    <cellStyle name="Comma [0] 2 9 2" xfId="2527" xr:uid="{55A553D6-88AE-49CA-99A0-FF941D7ADCE2}"/>
    <cellStyle name="Comma [0] 2_08. Monthly Report_Aug_2011" xfId="625" xr:uid="{00000000-0005-0000-0000-000072020000}"/>
    <cellStyle name="Comma [0] 3" xfId="626" xr:uid="{00000000-0005-0000-0000-000073020000}"/>
    <cellStyle name="Comma [0] 3 10" xfId="627" xr:uid="{00000000-0005-0000-0000-000074020000}"/>
    <cellStyle name="Comma [0] 3 10 2" xfId="2529" xr:uid="{1875AD3E-1451-47EC-A5C6-9BFF106F4499}"/>
    <cellStyle name="Comma [0] 3 11" xfId="628" xr:uid="{00000000-0005-0000-0000-000075020000}"/>
    <cellStyle name="Comma [0] 3 11 2" xfId="2530" xr:uid="{154BE5AE-FE0B-405E-A9EE-9141C8A15337}"/>
    <cellStyle name="Comma [0] 3 12" xfId="629" xr:uid="{00000000-0005-0000-0000-000076020000}"/>
    <cellStyle name="Comma [0] 3 12 2" xfId="2531" xr:uid="{CD7A2EFE-9FBC-492D-9F2B-A2F0165F117E}"/>
    <cellStyle name="Comma [0] 3 13" xfId="630" xr:uid="{00000000-0005-0000-0000-000077020000}"/>
    <cellStyle name="Comma [0] 3 13 2" xfId="2532" xr:uid="{3420F747-4349-492A-918B-F9B7AC4DDE64}"/>
    <cellStyle name="Comma [0] 3 14" xfId="631" xr:uid="{00000000-0005-0000-0000-000078020000}"/>
    <cellStyle name="Comma [0] 3 14 2" xfId="2533" xr:uid="{59BA8401-C7C9-4C8E-A142-170DC844B775}"/>
    <cellStyle name="Comma [0] 3 15" xfId="632" xr:uid="{00000000-0005-0000-0000-000079020000}"/>
    <cellStyle name="Comma [0] 3 15 2" xfId="2534" xr:uid="{E5BB75E1-0B73-4264-9388-5F740C5F8DFD}"/>
    <cellStyle name="Comma [0] 3 16" xfId="633" xr:uid="{00000000-0005-0000-0000-00007A020000}"/>
    <cellStyle name="Comma [0] 3 16 2" xfId="2535" xr:uid="{9BFC67CA-C221-4037-A641-6D3E469DBBE6}"/>
    <cellStyle name="Comma [0] 3 17" xfId="634" xr:uid="{00000000-0005-0000-0000-00007B020000}"/>
    <cellStyle name="Comma [0] 3 17 2" xfId="2536" xr:uid="{386C3749-5455-4B7B-88AF-BCE898AC801E}"/>
    <cellStyle name="Comma [0] 3 18" xfId="635" xr:uid="{00000000-0005-0000-0000-00007C020000}"/>
    <cellStyle name="Comma [0] 3 18 2" xfId="2537" xr:uid="{21477E9B-BD98-4CCF-B77B-766D3DAFF96C}"/>
    <cellStyle name="Comma [0] 3 19" xfId="636" xr:uid="{00000000-0005-0000-0000-00007D020000}"/>
    <cellStyle name="Comma [0] 3 19 2" xfId="2538" xr:uid="{D93052B6-064F-4347-A5C6-0A15A2FDB5E3}"/>
    <cellStyle name="Comma [0] 3 2" xfId="637" xr:uid="{00000000-0005-0000-0000-00007E020000}"/>
    <cellStyle name="Comma [0] 3 2 2" xfId="638" xr:uid="{00000000-0005-0000-0000-00007F020000}"/>
    <cellStyle name="Comma [0] 3 2 2 2" xfId="2540" xr:uid="{D08F0D06-E11E-4EF6-A0DC-D24097C15BAF}"/>
    <cellStyle name="Comma [0] 3 2 3" xfId="639" xr:uid="{00000000-0005-0000-0000-000080020000}"/>
    <cellStyle name="Comma [0] 3 2 3 2" xfId="2541" xr:uid="{5EFB5A27-EA81-4473-9FA2-EF7D5A6F56DF}"/>
    <cellStyle name="Comma [0] 3 2 4" xfId="2539" xr:uid="{204D7F2D-59D0-4000-B866-DF583720248D}"/>
    <cellStyle name="Comma [0] 3 20" xfId="640" xr:uid="{00000000-0005-0000-0000-000081020000}"/>
    <cellStyle name="Comma [0] 3 20 2" xfId="2542" xr:uid="{618F3089-6057-4B91-9F3E-8D2EC002EB2A}"/>
    <cellStyle name="Comma [0] 3 21" xfId="641" xr:uid="{00000000-0005-0000-0000-000082020000}"/>
    <cellStyle name="Comma [0] 3 21 2" xfId="2543" xr:uid="{E366153E-4C50-4508-9AB3-EE9709075E82}"/>
    <cellStyle name="Comma [0] 3 22" xfId="642" xr:uid="{00000000-0005-0000-0000-000083020000}"/>
    <cellStyle name="Comma [0] 3 22 2" xfId="2544" xr:uid="{96DAFB6B-92C8-4FF9-A64A-065A5A2D2006}"/>
    <cellStyle name="Comma [0] 3 23" xfId="643" xr:uid="{00000000-0005-0000-0000-000084020000}"/>
    <cellStyle name="Comma [0] 3 23 2" xfId="2545" xr:uid="{17AC3700-9EA5-4203-BD2A-C034F80DD638}"/>
    <cellStyle name="Comma [0] 3 24" xfId="644" xr:uid="{00000000-0005-0000-0000-000085020000}"/>
    <cellStyle name="Comma [0] 3 24 2" xfId="2546" xr:uid="{6D5C76BD-EEE5-4853-88F0-460DAAE216B0}"/>
    <cellStyle name="Comma [0] 3 25" xfId="645" xr:uid="{00000000-0005-0000-0000-000086020000}"/>
    <cellStyle name="Comma [0] 3 25 2" xfId="2547" xr:uid="{295BCB4D-7ECC-4F9F-BCB2-2D54134953B5}"/>
    <cellStyle name="Comma [0] 3 26" xfId="646" xr:uid="{00000000-0005-0000-0000-000087020000}"/>
    <cellStyle name="Comma [0] 3 26 2" xfId="2548" xr:uid="{2F964AD1-9D7D-4EFD-8684-0A3A6753466F}"/>
    <cellStyle name="Comma [0] 3 27" xfId="647" xr:uid="{00000000-0005-0000-0000-000088020000}"/>
    <cellStyle name="Comma [0] 3 27 2" xfId="2549" xr:uid="{06412FF6-D660-4DA9-8574-67CA43B6C488}"/>
    <cellStyle name="Comma [0] 3 28" xfId="648" xr:uid="{00000000-0005-0000-0000-000089020000}"/>
    <cellStyle name="Comma [0] 3 28 2" xfId="2550" xr:uid="{66E99BB3-DD61-4690-A5F3-CB51CA9848A6}"/>
    <cellStyle name="Comma [0] 3 29" xfId="649" xr:uid="{00000000-0005-0000-0000-00008A020000}"/>
    <cellStyle name="Comma [0] 3 29 2" xfId="2551" xr:uid="{EC22856F-847A-4633-9933-56C536E48101}"/>
    <cellStyle name="Comma [0] 3 3" xfId="650" xr:uid="{00000000-0005-0000-0000-00008B020000}"/>
    <cellStyle name="Comma [0] 3 3 2" xfId="2552" xr:uid="{CB3FC617-FCB5-4610-9B93-79C1703B93DB}"/>
    <cellStyle name="Comma [0] 3 30" xfId="651" xr:uid="{00000000-0005-0000-0000-00008C020000}"/>
    <cellStyle name="Comma [0] 3 30 2" xfId="2553" xr:uid="{0F46E099-B16E-4690-B6EE-1A2C462F6CB4}"/>
    <cellStyle name="Comma [0] 3 31" xfId="652" xr:uid="{00000000-0005-0000-0000-00008D020000}"/>
    <cellStyle name="Comma [0] 3 31 2" xfId="2554" xr:uid="{5BD1E02B-CE48-41DC-97D9-D20C23BE1EA5}"/>
    <cellStyle name="Comma [0] 3 32" xfId="653" xr:uid="{00000000-0005-0000-0000-00008E020000}"/>
    <cellStyle name="Comma [0] 3 32 2" xfId="2555" xr:uid="{81115AD3-8082-45D1-8FE0-CE7C1EB75F2E}"/>
    <cellStyle name="Comma [0] 3 33" xfId="654" xr:uid="{00000000-0005-0000-0000-00008F020000}"/>
    <cellStyle name="Comma [0] 3 33 2" xfId="2556" xr:uid="{519F03AC-2B1E-43CF-9F86-91CC895FBB34}"/>
    <cellStyle name="Comma [0] 3 34" xfId="655" xr:uid="{00000000-0005-0000-0000-000090020000}"/>
    <cellStyle name="Comma [0] 3 34 2" xfId="656" xr:uid="{00000000-0005-0000-0000-000091020000}"/>
    <cellStyle name="Comma [0] 3 34 2 2" xfId="2558" xr:uid="{2D551451-DE15-4181-9EC5-982C2B486DB1}"/>
    <cellStyle name="Comma [0] 3 34 3" xfId="2557" xr:uid="{35B64378-0AAC-4731-B0FC-47F8A682C0E6}"/>
    <cellStyle name="Comma [0] 3 35" xfId="657" xr:uid="{00000000-0005-0000-0000-000092020000}"/>
    <cellStyle name="Comma [0] 3 35 2" xfId="2559" xr:uid="{3C3368F2-0607-4CC5-AB50-F783A08A4D77}"/>
    <cellStyle name="Comma [0] 3 36" xfId="658" xr:uid="{00000000-0005-0000-0000-000093020000}"/>
    <cellStyle name="Comma [0] 3 36 2" xfId="2560" xr:uid="{A9217034-FB67-4306-B5D3-EAA6C0BE7836}"/>
    <cellStyle name="Comma [0] 3 37" xfId="659" xr:uid="{00000000-0005-0000-0000-000094020000}"/>
    <cellStyle name="Comma [0] 3 37 2" xfId="2561" xr:uid="{32355D87-04C7-45EA-91AD-E09A3407CF4E}"/>
    <cellStyle name="Comma [0] 3 38" xfId="660" xr:uid="{00000000-0005-0000-0000-000095020000}"/>
    <cellStyle name="Comma [0] 3 38 2" xfId="661" xr:uid="{00000000-0005-0000-0000-000096020000}"/>
    <cellStyle name="Comma [0] 3 38 2 2" xfId="2563" xr:uid="{24359571-C844-479C-A12F-CF5D68EA820F}"/>
    <cellStyle name="Comma [0] 3 38 3" xfId="2562" xr:uid="{F516FE95-7772-4E5D-B327-E10647231ABD}"/>
    <cellStyle name="Comma [0] 3 39" xfId="662" xr:uid="{00000000-0005-0000-0000-000097020000}"/>
    <cellStyle name="Comma [0] 3 39 2" xfId="2564" xr:uid="{59CC3A5D-93AC-4A34-B208-E629DED63332}"/>
    <cellStyle name="Comma [0] 3 4" xfId="663" xr:uid="{00000000-0005-0000-0000-000098020000}"/>
    <cellStyle name="Comma [0] 3 4 2" xfId="2565" xr:uid="{C5FB7419-EF39-4202-BB7D-04542B84BF0C}"/>
    <cellStyle name="Comma [0] 3 40" xfId="664" xr:uid="{00000000-0005-0000-0000-000099020000}"/>
    <cellStyle name="Comma [0] 3 40 2" xfId="2566" xr:uid="{576DC0B4-C41A-411A-8548-4960501B5EC3}"/>
    <cellStyle name="Comma [0] 3 41" xfId="665" xr:uid="{00000000-0005-0000-0000-00009A020000}"/>
    <cellStyle name="Comma [0] 3 41 2" xfId="2567" xr:uid="{2826F2AE-866A-42A4-8AB4-CBECCD6CD4A3}"/>
    <cellStyle name="Comma [0] 3 42" xfId="666" xr:uid="{00000000-0005-0000-0000-00009B020000}"/>
    <cellStyle name="Comma [0] 3 42 2" xfId="2568" xr:uid="{4D2A7888-CC89-41A4-8203-321362E231E1}"/>
    <cellStyle name="Comma [0] 3 43" xfId="667" xr:uid="{00000000-0005-0000-0000-00009C020000}"/>
    <cellStyle name="Comma [0] 3 43 2" xfId="2569" xr:uid="{247578ED-E215-4294-BEAD-2B7D65ACFEBF}"/>
    <cellStyle name="Comma [0] 3 44" xfId="668" xr:uid="{00000000-0005-0000-0000-00009D020000}"/>
    <cellStyle name="Comma [0] 3 44 2" xfId="2570" xr:uid="{BAEFCE84-C3A4-4655-9DD5-439C8C3E3C3C}"/>
    <cellStyle name="Comma [0] 3 45" xfId="669" xr:uid="{00000000-0005-0000-0000-00009E020000}"/>
    <cellStyle name="Comma [0] 3 45 2" xfId="2571" xr:uid="{4618CA2E-6E9B-4DDF-A4D3-98468B7AE9CF}"/>
    <cellStyle name="Comma [0] 3 46" xfId="670" xr:uid="{00000000-0005-0000-0000-00009F020000}"/>
    <cellStyle name="Comma [0] 3 46 2" xfId="2572" xr:uid="{9B19F224-FCB8-4B65-8E9C-5CDF19DD4CE8}"/>
    <cellStyle name="Comma [0] 3 47" xfId="671" xr:uid="{00000000-0005-0000-0000-0000A0020000}"/>
    <cellStyle name="Comma [0] 3 47 2" xfId="2573" xr:uid="{06595F8E-AFF1-40A9-BA51-7B219FE81D64}"/>
    <cellStyle name="Comma [0] 3 48" xfId="672" xr:uid="{00000000-0005-0000-0000-0000A1020000}"/>
    <cellStyle name="Comma [0] 3 48 2" xfId="2574" xr:uid="{67D06E3F-8E4B-419F-BED7-6484E4EE4E50}"/>
    <cellStyle name="Comma [0] 3 49" xfId="673" xr:uid="{00000000-0005-0000-0000-0000A2020000}"/>
    <cellStyle name="Comma [0] 3 49 2" xfId="2575" xr:uid="{AFB38073-349A-49A0-BDD7-A920303F6651}"/>
    <cellStyle name="Comma [0] 3 5" xfId="674" xr:uid="{00000000-0005-0000-0000-0000A3020000}"/>
    <cellStyle name="Comma [0] 3 5 2" xfId="2576" xr:uid="{7698713F-2511-432A-BC0E-9099014D1056}"/>
    <cellStyle name="Comma [0] 3 50" xfId="675" xr:uid="{00000000-0005-0000-0000-0000A4020000}"/>
    <cellStyle name="Comma [0] 3 50 2" xfId="2577" xr:uid="{DA2C81D9-1176-47A7-9B4D-78C1C4B17289}"/>
    <cellStyle name="Comma [0] 3 51" xfId="676" xr:uid="{00000000-0005-0000-0000-0000A5020000}"/>
    <cellStyle name="Comma [0] 3 51 2" xfId="2578" xr:uid="{A8EA5A47-96CB-4D25-95CF-15FB878410A4}"/>
    <cellStyle name="Comma [0] 3 52" xfId="677" xr:uid="{00000000-0005-0000-0000-0000A6020000}"/>
    <cellStyle name="Comma [0] 3 52 2" xfId="2579" xr:uid="{90C65B33-14AA-4776-83CD-517284A69BE8}"/>
    <cellStyle name="Comma [0] 3 53" xfId="2528" xr:uid="{54EB10A5-EA89-40ED-A709-62B22C210F6E}"/>
    <cellStyle name="Comma [0] 3 6" xfId="678" xr:uid="{00000000-0005-0000-0000-0000A7020000}"/>
    <cellStyle name="Comma [0] 3 6 2" xfId="2580" xr:uid="{86F61D96-42FC-438D-A81D-E7C562931F10}"/>
    <cellStyle name="Comma [0] 3 7" xfId="679" xr:uid="{00000000-0005-0000-0000-0000A8020000}"/>
    <cellStyle name="Comma [0] 3 7 2" xfId="2581" xr:uid="{F6B81093-946B-49FB-B1A7-8630C77E490A}"/>
    <cellStyle name="Comma [0] 3 8" xfId="680" xr:uid="{00000000-0005-0000-0000-0000A9020000}"/>
    <cellStyle name="Comma [0] 3 8 2" xfId="2582" xr:uid="{3F9E9E44-032B-43C7-925F-0BA184631279}"/>
    <cellStyle name="Comma [0] 3 9" xfId="681" xr:uid="{00000000-0005-0000-0000-0000AA020000}"/>
    <cellStyle name="Comma [0] 3 9 2" xfId="2583" xr:uid="{B1A9A445-F646-4204-92D5-643C8A419FB6}"/>
    <cellStyle name="Comma [0] 4" xfId="682" xr:uid="{00000000-0005-0000-0000-0000AB020000}"/>
    <cellStyle name="Comma [0] 4 2" xfId="2584" xr:uid="{A6D0664A-38CC-4021-9B29-4275C3D010CC}"/>
    <cellStyle name="Comma [0] 5" xfId="683" xr:uid="{00000000-0005-0000-0000-0000AC020000}"/>
    <cellStyle name="Comma [0] 5 2" xfId="2585" xr:uid="{10563FAF-B27C-4DBE-937E-93D32B653F90}"/>
    <cellStyle name="Comma [0] 6" xfId="684" xr:uid="{00000000-0005-0000-0000-0000AD020000}"/>
    <cellStyle name="Comma [0] 6 2" xfId="2586" xr:uid="{03CD3FBC-2218-44E9-8595-134C72DAD71A}"/>
    <cellStyle name="Comma [0] 6 2 2" xfId="3680" xr:uid="{B7C9CE9C-1341-4D64-8944-F374FF4FD046}"/>
    <cellStyle name="Comma [0] 6 3" xfId="3681" xr:uid="{A0EC9898-67B6-48B3-AC22-2292D6F4F2ED}"/>
    <cellStyle name="Comma [0] 7" xfId="685" xr:uid="{00000000-0005-0000-0000-0000AE020000}"/>
    <cellStyle name="Comma [0] 7 2" xfId="2587" xr:uid="{BA596AFE-C45E-4A40-A78D-E8D414CD7963}"/>
    <cellStyle name="Comma [0] 8" xfId="2070" xr:uid="{00000000-0005-0000-0000-0000AF020000}"/>
    <cellStyle name="Comma [0] 8 2" xfId="2155" xr:uid="{0523E450-E0D6-4357-89DB-E208AD09B02A}"/>
    <cellStyle name="Comma [0] 8 3" xfId="3682" xr:uid="{847DDD83-91EC-437A-A550-A945006CBE99}"/>
    <cellStyle name="Comma [0] 9" xfId="2081" xr:uid="{00000000-0005-0000-0000-0000B0020000}"/>
    <cellStyle name="Comma [0] 9 2" xfId="2156" xr:uid="{19211CC1-C5AE-4593-8102-5CC634AB57ED}"/>
    <cellStyle name="Comma [0] 9 3" xfId="3683" xr:uid="{82ABBF82-A577-4F55-996E-812F76710EFB}"/>
    <cellStyle name="Comma [00]" xfId="686" xr:uid="{00000000-0005-0000-0000-0000B1020000}"/>
    <cellStyle name="Comma [00] 2" xfId="687" xr:uid="{00000000-0005-0000-0000-0000B2020000}"/>
    <cellStyle name="Comma [00] 2 2" xfId="2589" xr:uid="{1D0AB429-A2D7-4822-9FDC-53D9670C7253}"/>
    <cellStyle name="Comma [00] 3" xfId="2588" xr:uid="{FC2060E4-E1D7-4506-B3C5-0ECEA5DDF921}"/>
    <cellStyle name="Comma [00]_Equipment" xfId="688" xr:uid="{00000000-0005-0000-0000-0000B3020000}"/>
    <cellStyle name="Comma 10" xfId="689" xr:uid="{00000000-0005-0000-0000-0000B4020000}"/>
    <cellStyle name="Comma 10 2" xfId="690" xr:uid="{00000000-0005-0000-0000-0000B5020000}"/>
    <cellStyle name="Comma 10 2 2" xfId="2591" xr:uid="{2EF8DC39-07D6-4CE0-903E-07821F5EA37F}"/>
    <cellStyle name="Comma 10 3" xfId="2590" xr:uid="{C855BF86-36B2-4AC2-988F-1350CEE6A46A}"/>
    <cellStyle name="Comma 10 3 2" xfId="3684" xr:uid="{F3C09792-1FF4-4C20-BA66-3531420BDDBE}"/>
    <cellStyle name="Comma 11" xfId="691" xr:uid="{00000000-0005-0000-0000-0000B6020000}"/>
    <cellStyle name="Comma 11 10" xfId="692" xr:uid="{00000000-0005-0000-0000-0000B7020000}"/>
    <cellStyle name="Comma 11 10 2" xfId="2593" xr:uid="{CD8DD060-0F43-4766-8596-BE24A3885425}"/>
    <cellStyle name="Comma 11 11" xfId="693" xr:uid="{00000000-0005-0000-0000-0000B8020000}"/>
    <cellStyle name="Comma 11 11 2" xfId="2594" xr:uid="{BBE03C51-6450-4204-BFD3-704D0BE1FD64}"/>
    <cellStyle name="Comma 11 12" xfId="694" xr:uid="{00000000-0005-0000-0000-0000B9020000}"/>
    <cellStyle name="Comma 11 12 2" xfId="2595" xr:uid="{D37FAC6F-C8F2-4A4D-A866-6BBA19A404AF}"/>
    <cellStyle name="Comma 11 13" xfId="695" xr:uid="{00000000-0005-0000-0000-0000BA020000}"/>
    <cellStyle name="Comma 11 13 2" xfId="2596" xr:uid="{F3E9BC08-C064-4352-AAAE-0759BA7C1397}"/>
    <cellStyle name="Comma 11 14" xfId="696" xr:uid="{00000000-0005-0000-0000-0000BB020000}"/>
    <cellStyle name="Comma 11 14 2" xfId="2597" xr:uid="{2216CE63-6920-44AE-B699-1D017DCC9BED}"/>
    <cellStyle name="Comma 11 15" xfId="2592" xr:uid="{87D57947-D947-4712-93A3-388FE9208213}"/>
    <cellStyle name="Comma 11 2" xfId="697" xr:uid="{00000000-0005-0000-0000-0000BC020000}"/>
    <cellStyle name="Comma 11 2 2" xfId="2598" xr:uid="{04FD45FC-37BD-4071-9E53-CB632B446FB2}"/>
    <cellStyle name="Comma 11 3" xfId="698" xr:uid="{00000000-0005-0000-0000-0000BD020000}"/>
    <cellStyle name="Comma 11 3 2" xfId="699" xr:uid="{00000000-0005-0000-0000-0000BE020000}"/>
    <cellStyle name="Comma 11 3 2 2" xfId="2600" xr:uid="{4AB3EA92-11B5-4C2A-99BB-57EE4FDE05FD}"/>
    <cellStyle name="Comma 11 3 3" xfId="2599" xr:uid="{7F7BEBCC-7047-436C-BCBE-3F088E5FA7C0}"/>
    <cellStyle name="Comma 11 4" xfId="700" xr:uid="{00000000-0005-0000-0000-0000BF020000}"/>
    <cellStyle name="Comma 11 4 2" xfId="2601" xr:uid="{1DA1C406-85B0-412F-811B-9AA10A97C372}"/>
    <cellStyle name="Comma 11 5" xfId="701" xr:uid="{00000000-0005-0000-0000-0000C0020000}"/>
    <cellStyle name="Comma 11 5 2" xfId="2602" xr:uid="{C8F60C0A-F1BF-42EF-B933-9436A3DF6740}"/>
    <cellStyle name="Comma 11 6" xfId="702" xr:uid="{00000000-0005-0000-0000-0000C1020000}"/>
    <cellStyle name="Comma 11 6 2" xfId="2603" xr:uid="{E151CA97-A619-403D-B1E8-19A243AFAD77}"/>
    <cellStyle name="Comma 11 7" xfId="703" xr:uid="{00000000-0005-0000-0000-0000C2020000}"/>
    <cellStyle name="Comma 11 7 2" xfId="2604" xr:uid="{C4873E95-EE79-4936-B8DE-A49B5A627BFE}"/>
    <cellStyle name="Comma 11 8" xfId="704" xr:uid="{00000000-0005-0000-0000-0000C3020000}"/>
    <cellStyle name="Comma 11 8 2" xfId="2605" xr:uid="{1D6149D2-256F-4798-9B8C-5A53E739F5CB}"/>
    <cellStyle name="Comma 11 9" xfId="705" xr:uid="{00000000-0005-0000-0000-0000C4020000}"/>
    <cellStyle name="Comma 11 9 2" xfId="2606" xr:uid="{193E6932-E26C-4082-B86E-BC9916CFA890}"/>
    <cellStyle name="Comma 12" xfId="706" xr:uid="{00000000-0005-0000-0000-0000C5020000}"/>
    <cellStyle name="Comma 12 10" xfId="707" xr:uid="{00000000-0005-0000-0000-0000C6020000}"/>
    <cellStyle name="Comma 12 10 2" xfId="2608" xr:uid="{815020E9-3ACC-451D-A6BA-EF504FF45E61}"/>
    <cellStyle name="Comma 12 11" xfId="708" xr:uid="{00000000-0005-0000-0000-0000C7020000}"/>
    <cellStyle name="Comma 12 11 2" xfId="2609" xr:uid="{594E59BC-46B8-44F8-83A8-7496ADA07947}"/>
    <cellStyle name="Comma 12 12" xfId="709" xr:uid="{00000000-0005-0000-0000-0000C8020000}"/>
    <cellStyle name="Comma 12 12 2" xfId="2610" xr:uid="{953BC93E-3431-4977-A202-8FEC1F155555}"/>
    <cellStyle name="Comma 12 13" xfId="710" xr:uid="{00000000-0005-0000-0000-0000C9020000}"/>
    <cellStyle name="Comma 12 13 2" xfId="2611" xr:uid="{785F3ACD-9835-421A-841E-DD99A77E8FBE}"/>
    <cellStyle name="Comma 12 14" xfId="711" xr:uid="{00000000-0005-0000-0000-0000CA020000}"/>
    <cellStyle name="Comma 12 14 2" xfId="2612" xr:uid="{24AB62EE-A6C2-49EF-BCB5-1160E5DBB830}"/>
    <cellStyle name="Comma 12 15" xfId="2607" xr:uid="{4EAD7096-5C43-47CD-A097-EA76633F31D8}"/>
    <cellStyle name="Comma 12 2" xfId="712" xr:uid="{00000000-0005-0000-0000-0000CB020000}"/>
    <cellStyle name="Comma 12 2 2" xfId="2613" xr:uid="{4E5D04A7-D3E4-4425-8DE7-01474B560DF5}"/>
    <cellStyle name="Comma 12 3" xfId="713" xr:uid="{00000000-0005-0000-0000-0000CC020000}"/>
    <cellStyle name="Comma 12 3 2" xfId="2614" xr:uid="{DDC17342-086E-4D18-ACDA-B23979C500EC}"/>
    <cellStyle name="Comma 12 4" xfId="714" xr:uid="{00000000-0005-0000-0000-0000CD020000}"/>
    <cellStyle name="Comma 12 4 2" xfId="715" xr:uid="{00000000-0005-0000-0000-0000CE020000}"/>
    <cellStyle name="Comma 12 4 2 2" xfId="2616" xr:uid="{368FABCB-6789-4920-9C0E-D40D73594006}"/>
    <cellStyle name="Comma 12 4 3" xfId="2615" xr:uid="{A23FBD2D-E10F-4E39-9418-E4E05B007B6B}"/>
    <cellStyle name="Comma 12 5" xfId="716" xr:uid="{00000000-0005-0000-0000-0000CF020000}"/>
    <cellStyle name="Comma 12 5 2" xfId="2617" xr:uid="{66FE8B82-C1A4-4CD3-8DE0-B61A1D94876E}"/>
    <cellStyle name="Comma 12 6" xfId="717" xr:uid="{00000000-0005-0000-0000-0000D0020000}"/>
    <cellStyle name="Comma 12 6 2" xfId="2618" xr:uid="{B51C0B40-9D8F-4572-B5A6-23EB3BEEEC19}"/>
    <cellStyle name="Comma 12 7" xfId="718" xr:uid="{00000000-0005-0000-0000-0000D1020000}"/>
    <cellStyle name="Comma 12 7 2" xfId="2619" xr:uid="{87334D75-44AA-47BE-9578-CC6B87C4A33F}"/>
    <cellStyle name="Comma 12 8" xfId="719" xr:uid="{00000000-0005-0000-0000-0000D2020000}"/>
    <cellStyle name="Comma 12 8 2" xfId="2620" xr:uid="{22D43C27-B660-4374-B5C4-F08154C9C057}"/>
    <cellStyle name="Comma 12 9" xfId="720" xr:uid="{00000000-0005-0000-0000-0000D3020000}"/>
    <cellStyle name="Comma 12 9 2" xfId="2621" xr:uid="{E40ACF4B-7926-4C74-BAEB-FDE5570530FD}"/>
    <cellStyle name="Comma 13" xfId="2068" xr:uid="{00000000-0005-0000-0000-0000D4020000}"/>
    <cellStyle name="Comma 13 10" xfId="721" xr:uid="{00000000-0005-0000-0000-0000D5020000}"/>
    <cellStyle name="Comma 13 10 2" xfId="2622" xr:uid="{5F00AD7B-1427-404F-AFF4-83D7171CAA1A}"/>
    <cellStyle name="Comma 13 11" xfId="722" xr:uid="{00000000-0005-0000-0000-0000D6020000}"/>
    <cellStyle name="Comma 13 11 2" xfId="2623" xr:uid="{925B32AC-2758-46B9-B0E4-D46F767A56E9}"/>
    <cellStyle name="Comma 13 12" xfId="723" xr:uid="{00000000-0005-0000-0000-0000D7020000}"/>
    <cellStyle name="Comma 13 12 2" xfId="2624" xr:uid="{8A3C6CD6-D006-40B3-9B17-E6E71E97E526}"/>
    <cellStyle name="Comma 13 13" xfId="724" xr:uid="{00000000-0005-0000-0000-0000D8020000}"/>
    <cellStyle name="Comma 13 13 2" xfId="2625" xr:uid="{D28B158D-0893-4BD2-9C5F-CE0FC1DCA143}"/>
    <cellStyle name="Comma 13 14" xfId="725" xr:uid="{00000000-0005-0000-0000-0000D9020000}"/>
    <cellStyle name="Comma 13 14 2" xfId="2626" xr:uid="{5644B7F1-8C8D-4307-859A-553F5346E0CC}"/>
    <cellStyle name="Comma 13 15" xfId="2154" xr:uid="{4A438E14-B2E0-4B37-8845-10325ACE9FC0}"/>
    <cellStyle name="Comma 13 16" xfId="3624" xr:uid="{22C31FF4-4092-4434-9A72-ACE553728E40}"/>
    <cellStyle name="Comma 13 17" xfId="3868" xr:uid="{3A629477-1300-4464-AAAD-A1DDE470589D}"/>
    <cellStyle name="Comma 13 2" xfId="726" xr:uid="{00000000-0005-0000-0000-0000DA020000}"/>
    <cellStyle name="Comma 13 2 2" xfId="2627" xr:uid="{C4B48876-4CDA-4F90-A130-985D20CBC19B}"/>
    <cellStyle name="Comma 13 3" xfId="727" xr:uid="{00000000-0005-0000-0000-0000DB020000}"/>
    <cellStyle name="Comma 13 3 2" xfId="2628" xr:uid="{CD9FE948-1AFF-40DB-9919-2F0325B25260}"/>
    <cellStyle name="Comma 13 4" xfId="728" xr:uid="{00000000-0005-0000-0000-0000DC020000}"/>
    <cellStyle name="Comma 13 4 2" xfId="2629" xr:uid="{4C00DB9B-4797-44FE-8414-3A6BC2830270}"/>
    <cellStyle name="Comma 13 5" xfId="729" xr:uid="{00000000-0005-0000-0000-0000DD020000}"/>
    <cellStyle name="Comma 13 5 2" xfId="730" xr:uid="{00000000-0005-0000-0000-0000DE020000}"/>
    <cellStyle name="Comma 13 5 2 2" xfId="2631" xr:uid="{F7BC1E05-2122-4139-9001-8D8848F2C27C}"/>
    <cellStyle name="Comma 13 5 3" xfId="2630" xr:uid="{B21812DF-34C8-4D31-B2BD-323D1F51044D}"/>
    <cellStyle name="Comma 13 6" xfId="731" xr:uid="{00000000-0005-0000-0000-0000DF020000}"/>
    <cellStyle name="Comma 13 6 2" xfId="2632" xr:uid="{7C2F7E1D-C1F8-407D-9E57-C1C5E07D3778}"/>
    <cellStyle name="Comma 13 7" xfId="732" xr:uid="{00000000-0005-0000-0000-0000E0020000}"/>
    <cellStyle name="Comma 13 7 2" xfId="2633" xr:uid="{D081E634-AC0B-4A44-B9A6-C541678ED56A}"/>
    <cellStyle name="Comma 13 8" xfId="733" xr:uid="{00000000-0005-0000-0000-0000E1020000}"/>
    <cellStyle name="Comma 13 8 2" xfId="2634" xr:uid="{5F19817C-66AF-4CB2-BCBA-7A0C5176F362}"/>
    <cellStyle name="Comma 13 9" xfId="734" xr:uid="{00000000-0005-0000-0000-0000E2020000}"/>
    <cellStyle name="Comma 13 9 2" xfId="2635" xr:uid="{3A8A537F-8244-4EAD-8AE0-98B2030D8784}"/>
    <cellStyle name="Comma 14" xfId="2083" xr:uid="{00000000-0005-0000-0000-0000E3020000}"/>
    <cellStyle name="Comma 14 2" xfId="2158" xr:uid="{B1BC49B1-0994-44E2-8A63-2E82B85B1519}"/>
    <cellStyle name="Comma 14 3" xfId="3685" xr:uid="{E5D9B3A6-00BD-401B-8753-F6ADE05CCEED}"/>
    <cellStyle name="Comma 15" xfId="2087" xr:uid="{00000000-0005-0000-0000-0000E4020000}"/>
    <cellStyle name="Comma 15 2" xfId="2162" xr:uid="{51D010D0-70B1-4969-A09B-F3E636DC9712}"/>
    <cellStyle name="Comma 15 3" xfId="3686" xr:uid="{0E5DF9A5-211B-4B62-B035-8B446A4A9FD8}"/>
    <cellStyle name="Comma 16" xfId="735" xr:uid="{00000000-0005-0000-0000-0000E5020000}"/>
    <cellStyle name="Comma 16 10" xfId="736" xr:uid="{00000000-0005-0000-0000-0000E6020000}"/>
    <cellStyle name="Comma 16 10 2" xfId="2637" xr:uid="{438A03A5-ED88-4F70-B2A3-F7B2D7FEA8F7}"/>
    <cellStyle name="Comma 16 11" xfId="737" xr:uid="{00000000-0005-0000-0000-0000E7020000}"/>
    <cellStyle name="Comma 16 11 2" xfId="2638" xr:uid="{0675602D-3A1F-4C5B-AE48-3DFD30B06EED}"/>
    <cellStyle name="Comma 16 12" xfId="738" xr:uid="{00000000-0005-0000-0000-0000E8020000}"/>
    <cellStyle name="Comma 16 12 2" xfId="2639" xr:uid="{601F08F1-5BB2-42D2-BA49-86A7B644BD7D}"/>
    <cellStyle name="Comma 16 13" xfId="739" xr:uid="{00000000-0005-0000-0000-0000E9020000}"/>
    <cellStyle name="Comma 16 13 2" xfId="2640" xr:uid="{BE548062-BC17-461B-ADA8-E0DE9F21B314}"/>
    <cellStyle name="Comma 16 14" xfId="740" xr:uid="{00000000-0005-0000-0000-0000EA020000}"/>
    <cellStyle name="Comma 16 14 2" xfId="2641" xr:uid="{AEC22A67-8F72-43FF-B00A-D6DA133D5F65}"/>
    <cellStyle name="Comma 16 15" xfId="2636" xr:uid="{A2324330-F539-4A6B-BF53-3A67A25EC460}"/>
    <cellStyle name="Comma 16 2" xfId="741" xr:uid="{00000000-0005-0000-0000-0000EB020000}"/>
    <cellStyle name="Comma 16 2 2" xfId="2642" xr:uid="{92B28804-6F3D-47CF-84C8-2EF4031ACECC}"/>
    <cellStyle name="Comma 16 3" xfId="742" xr:uid="{00000000-0005-0000-0000-0000EC020000}"/>
    <cellStyle name="Comma 16 3 2" xfId="2643" xr:uid="{09378925-8C75-483D-96C0-1690265AC7F1}"/>
    <cellStyle name="Comma 16 4" xfId="743" xr:uid="{00000000-0005-0000-0000-0000ED020000}"/>
    <cellStyle name="Comma 16 4 2" xfId="2644" xr:uid="{36337C08-AE0F-4879-9BE5-A3494F85425A}"/>
    <cellStyle name="Comma 16 5" xfId="744" xr:uid="{00000000-0005-0000-0000-0000EE020000}"/>
    <cellStyle name="Comma 16 5 2" xfId="2645" xr:uid="{CF96B11B-8F7E-4AEA-A8E2-7CBBD125C869}"/>
    <cellStyle name="Comma 16 6" xfId="745" xr:uid="{00000000-0005-0000-0000-0000EF020000}"/>
    <cellStyle name="Comma 16 6 2" xfId="746" xr:uid="{00000000-0005-0000-0000-0000F0020000}"/>
    <cellStyle name="Comma 16 6 2 2" xfId="2647" xr:uid="{C351AB75-DAD9-4794-988E-D5BC918ADE82}"/>
    <cellStyle name="Comma 16 6 3" xfId="2646" xr:uid="{D1C1C1E0-68B7-45A7-B40C-ADB50B4E5E17}"/>
    <cellStyle name="Comma 16 7" xfId="747" xr:uid="{00000000-0005-0000-0000-0000F1020000}"/>
    <cellStyle name="Comma 16 7 2" xfId="2648" xr:uid="{100E4688-83EB-410E-978D-69CB78436C1E}"/>
    <cellStyle name="Comma 16 8" xfId="748" xr:uid="{00000000-0005-0000-0000-0000F2020000}"/>
    <cellStyle name="Comma 16 8 2" xfId="2649" xr:uid="{B0535FBE-C76E-45DC-B57C-0B3DDE49BC61}"/>
    <cellStyle name="Comma 16 9" xfId="749" xr:uid="{00000000-0005-0000-0000-0000F3020000}"/>
    <cellStyle name="Comma 16 9 2" xfId="2650" xr:uid="{D96DB5E2-61B4-4852-AADD-D0270176AB19}"/>
    <cellStyle name="Comma 17" xfId="2090" xr:uid="{00000000-0005-0000-0000-0000F4020000}"/>
    <cellStyle name="Comma 17 10" xfId="750" xr:uid="{00000000-0005-0000-0000-0000F5020000}"/>
    <cellStyle name="Comma 17 10 2" xfId="2651" xr:uid="{B2599812-6786-47AB-94DC-683D41ADEFBD}"/>
    <cellStyle name="Comma 17 11" xfId="751" xr:uid="{00000000-0005-0000-0000-0000F6020000}"/>
    <cellStyle name="Comma 17 11 2" xfId="2652" xr:uid="{993FA614-0393-452D-B8DC-0BB2D28EDC06}"/>
    <cellStyle name="Comma 17 12" xfId="752" xr:uid="{00000000-0005-0000-0000-0000F7020000}"/>
    <cellStyle name="Comma 17 12 2" xfId="2653" xr:uid="{A004CB4A-ACEE-433D-8B52-4702C5382087}"/>
    <cellStyle name="Comma 17 13" xfId="753" xr:uid="{00000000-0005-0000-0000-0000F8020000}"/>
    <cellStyle name="Comma 17 13 2" xfId="2654" xr:uid="{A3C8F7F8-BB82-4FB4-B14E-E555EEC2BEB4}"/>
    <cellStyle name="Comma 17 14" xfId="754" xr:uid="{00000000-0005-0000-0000-0000F9020000}"/>
    <cellStyle name="Comma 17 14 2" xfId="2655" xr:uid="{B69CCB5A-BA87-462C-AE2E-D386B275F500}"/>
    <cellStyle name="Comma 17 15" xfId="2165" xr:uid="{813A4238-22B2-4F3F-8C93-62F025D55DB5}"/>
    <cellStyle name="Comma 17 2" xfId="755" xr:uid="{00000000-0005-0000-0000-0000FA020000}"/>
    <cellStyle name="Comma 17 2 2" xfId="2656" xr:uid="{A75C8E40-6F0F-4DD1-A47F-152FC21DA2B5}"/>
    <cellStyle name="Comma 17 3" xfId="756" xr:uid="{00000000-0005-0000-0000-0000FB020000}"/>
    <cellStyle name="Comma 17 3 2" xfId="2657" xr:uid="{5D52207A-4C81-41E0-9248-B83D0D088DAA}"/>
    <cellStyle name="Comma 17 4" xfId="757" xr:uid="{00000000-0005-0000-0000-0000FC020000}"/>
    <cellStyle name="Comma 17 4 2" xfId="2658" xr:uid="{1B986ACC-0AB9-4FEE-8707-B2BF2CCB6CE4}"/>
    <cellStyle name="Comma 17 5" xfId="758" xr:uid="{00000000-0005-0000-0000-0000FD020000}"/>
    <cellStyle name="Comma 17 5 2" xfId="2659" xr:uid="{54F3FB2E-2E6A-4C01-B4BA-A65173A5275D}"/>
    <cellStyle name="Comma 17 6" xfId="759" xr:uid="{00000000-0005-0000-0000-0000FE020000}"/>
    <cellStyle name="Comma 17 6 2" xfId="760" xr:uid="{00000000-0005-0000-0000-0000FF020000}"/>
    <cellStyle name="Comma 17 6 2 2" xfId="2661" xr:uid="{A0B44679-8808-4166-B8FF-628BAECC46FD}"/>
    <cellStyle name="Comma 17 6 3" xfId="2660" xr:uid="{36A3C44A-E150-44BB-BE28-F639605D0DC3}"/>
    <cellStyle name="Comma 17 7" xfId="761" xr:uid="{00000000-0005-0000-0000-000000030000}"/>
    <cellStyle name="Comma 17 7 2" xfId="2662" xr:uid="{B47C402C-48D3-405A-9995-C99ECFF6A834}"/>
    <cellStyle name="Comma 17 8" xfId="762" xr:uid="{00000000-0005-0000-0000-000001030000}"/>
    <cellStyle name="Comma 17 8 2" xfId="2663" xr:uid="{0D870E6F-EB7D-42E4-9751-08E1C47D0872}"/>
    <cellStyle name="Comma 17 9" xfId="763" xr:uid="{00000000-0005-0000-0000-000002030000}"/>
    <cellStyle name="Comma 17 9 2" xfId="2664" xr:uid="{4400755F-E40A-46BE-8C2C-7F44C535E143}"/>
    <cellStyle name="Comma 18" xfId="2082" xr:uid="{00000000-0005-0000-0000-000003030000}"/>
    <cellStyle name="Comma 18 10" xfId="764" xr:uid="{00000000-0005-0000-0000-000004030000}"/>
    <cellStyle name="Comma 18 10 2" xfId="2665" xr:uid="{D86CE782-FEF8-48B6-8FFB-F575EBE7B17D}"/>
    <cellStyle name="Comma 18 11" xfId="765" xr:uid="{00000000-0005-0000-0000-000005030000}"/>
    <cellStyle name="Comma 18 11 2" xfId="2666" xr:uid="{3ECA0B1D-52AE-4E63-AF8C-68AC32FEDFE7}"/>
    <cellStyle name="Comma 18 12" xfId="766" xr:uid="{00000000-0005-0000-0000-000006030000}"/>
    <cellStyle name="Comma 18 12 2" xfId="2667" xr:uid="{64C66FD4-633F-46D1-9D5B-9E50101C3F64}"/>
    <cellStyle name="Comma 18 13" xfId="767" xr:uid="{00000000-0005-0000-0000-000007030000}"/>
    <cellStyle name="Comma 18 13 2" xfId="2668" xr:uid="{2D60CC9B-B3D7-49CD-B171-042258C13794}"/>
    <cellStyle name="Comma 18 14" xfId="768" xr:uid="{00000000-0005-0000-0000-000008030000}"/>
    <cellStyle name="Comma 18 14 2" xfId="2669" xr:uid="{40A0D1A7-A702-4FB8-B7A0-2756ACE0C36C}"/>
    <cellStyle name="Comma 18 15" xfId="2157" xr:uid="{8E23D779-96F9-46AD-9BCB-7F48FC893D57}"/>
    <cellStyle name="Comma 18 2" xfId="769" xr:uid="{00000000-0005-0000-0000-000009030000}"/>
    <cellStyle name="Comma 18 2 2" xfId="2670" xr:uid="{3D1E4B26-0936-49F5-ABB0-EEBD54BE5432}"/>
    <cellStyle name="Comma 18 3" xfId="770" xr:uid="{00000000-0005-0000-0000-00000A030000}"/>
    <cellStyle name="Comma 18 3 2" xfId="2671" xr:uid="{4A809024-6EFD-4B0C-B902-6D1066694D7D}"/>
    <cellStyle name="Comma 18 4" xfId="771" xr:uid="{00000000-0005-0000-0000-00000B030000}"/>
    <cellStyle name="Comma 18 4 2" xfId="2672" xr:uid="{9D5C950E-7F55-459C-8C37-7110FCE09F71}"/>
    <cellStyle name="Comma 18 5" xfId="772" xr:uid="{00000000-0005-0000-0000-00000C030000}"/>
    <cellStyle name="Comma 18 5 2" xfId="2673" xr:uid="{9BAD3F35-D871-4E70-870A-BF395EDEB4C4}"/>
    <cellStyle name="Comma 18 6" xfId="773" xr:uid="{00000000-0005-0000-0000-00000D030000}"/>
    <cellStyle name="Comma 18 6 2" xfId="774" xr:uid="{00000000-0005-0000-0000-00000E030000}"/>
    <cellStyle name="Comma 18 6 2 2" xfId="2675" xr:uid="{3FE5E2A4-3F23-4F30-8C30-D4312F0D2113}"/>
    <cellStyle name="Comma 18 6 3" xfId="2674" xr:uid="{692F6F7C-E0E8-4AA0-9417-DAA66EBCA21C}"/>
    <cellStyle name="Comma 18 7" xfId="775" xr:uid="{00000000-0005-0000-0000-00000F030000}"/>
    <cellStyle name="Comma 18 7 2" xfId="2676" xr:uid="{F4D8EC74-177E-4488-99A7-94B45576C106}"/>
    <cellStyle name="Comma 18 8" xfId="776" xr:uid="{00000000-0005-0000-0000-000010030000}"/>
    <cellStyle name="Comma 18 8 2" xfId="2677" xr:uid="{ED66BE2D-9BBB-4636-815A-EE3EA006F4F6}"/>
    <cellStyle name="Comma 18 9" xfId="777" xr:uid="{00000000-0005-0000-0000-000011030000}"/>
    <cellStyle name="Comma 18 9 2" xfId="2678" xr:uid="{936DCDD7-659C-40F7-8F0F-BCF4674FB50E}"/>
    <cellStyle name="Comma 19" xfId="2095" xr:uid="{00000000-0005-0000-0000-000012030000}"/>
    <cellStyle name="Comma 19 2" xfId="2170" xr:uid="{57F7C4A5-D72A-4D15-AF44-590BAEF6AA37}"/>
    <cellStyle name="Comma 2" xfId="778" xr:uid="{00000000-0005-0000-0000-000013030000}"/>
    <cellStyle name="Comma 2 10" xfId="779" xr:uid="{00000000-0005-0000-0000-000014030000}"/>
    <cellStyle name="Comma 2 10 2" xfId="2680" xr:uid="{3BA417FF-E2D2-4904-B304-13439DAD0E8A}"/>
    <cellStyle name="Comma 2 11" xfId="780" xr:uid="{00000000-0005-0000-0000-000015030000}"/>
    <cellStyle name="Comma 2 11 2" xfId="2681" xr:uid="{F1861A70-0E68-4DE4-B444-F9FD0F8E033B}"/>
    <cellStyle name="Comma 2 12" xfId="781" xr:uid="{00000000-0005-0000-0000-000016030000}"/>
    <cellStyle name="Comma 2 12 2" xfId="2682" xr:uid="{CC49BBD6-F323-4D28-9947-DB01EBE4D421}"/>
    <cellStyle name="Comma 2 13" xfId="782" xr:uid="{00000000-0005-0000-0000-000017030000}"/>
    <cellStyle name="Comma 2 13 2" xfId="783" xr:uid="{00000000-0005-0000-0000-000018030000}"/>
    <cellStyle name="Comma 2 13 2 2" xfId="784" xr:uid="{00000000-0005-0000-0000-000019030000}"/>
    <cellStyle name="Comma 2 13 2 2 2" xfId="2685" xr:uid="{E979049A-6801-4DA3-B8EA-1273F5286124}"/>
    <cellStyle name="Comma 2 13 2 3" xfId="2684" xr:uid="{331C9394-030B-4A08-AF18-87E5559AC48C}"/>
    <cellStyle name="Comma 2 13 3" xfId="785" xr:uid="{00000000-0005-0000-0000-00001A030000}"/>
    <cellStyle name="Comma 2 13 3 2" xfId="2686" xr:uid="{234B1F34-F929-4CEC-9B30-682D7BD4BFAC}"/>
    <cellStyle name="Comma 2 13 4" xfId="2683" xr:uid="{E0044DC0-8E71-4846-A74A-7B26B2AEDEF9}"/>
    <cellStyle name="Comma 2 14" xfId="786" xr:uid="{00000000-0005-0000-0000-00001B030000}"/>
    <cellStyle name="Comma 2 14 2" xfId="787" xr:uid="{00000000-0005-0000-0000-00001C030000}"/>
    <cellStyle name="Comma 2 14 2 2" xfId="2688" xr:uid="{56C284AB-8107-49D0-B8DA-8512A95E762B}"/>
    <cellStyle name="Comma 2 14 3" xfId="2687" xr:uid="{B86067DF-9A9E-4B73-8C61-53518431CAAF}"/>
    <cellStyle name="Comma 2 15" xfId="788" xr:uid="{00000000-0005-0000-0000-00001D030000}"/>
    <cellStyle name="Comma 2 15 2" xfId="2689" xr:uid="{94BA0644-0564-4985-A829-45D63BA785BB}"/>
    <cellStyle name="Comma 2 16" xfId="789" xr:uid="{00000000-0005-0000-0000-00001E030000}"/>
    <cellStyle name="Comma 2 16 2" xfId="2690" xr:uid="{4131D75D-111F-4E3D-918A-A2B95DF6FBF9}"/>
    <cellStyle name="Comma 2 17" xfId="790" xr:uid="{00000000-0005-0000-0000-00001F030000}"/>
    <cellStyle name="Comma 2 17 2" xfId="2691" xr:uid="{4BC21D4C-7A4C-415B-840C-7D2AEA2F91D7}"/>
    <cellStyle name="Comma 2 18" xfId="791" xr:uid="{00000000-0005-0000-0000-000020030000}"/>
    <cellStyle name="Comma 2 18 2" xfId="2692" xr:uid="{F4C021E7-F24E-4D05-8C3D-AA964204B586}"/>
    <cellStyle name="Comma 2 19" xfId="792" xr:uid="{00000000-0005-0000-0000-000021030000}"/>
    <cellStyle name="Comma 2 19 2" xfId="2693" xr:uid="{E52966A2-2D08-4ACE-92A8-6DE393950591}"/>
    <cellStyle name="Comma 2 2" xfId="793" xr:uid="{00000000-0005-0000-0000-000022030000}"/>
    <cellStyle name="Comma 2 2 2" xfId="794" xr:uid="{00000000-0005-0000-0000-000023030000}"/>
    <cellStyle name="Comma 2 2 2 2" xfId="795" xr:uid="{00000000-0005-0000-0000-000024030000}"/>
    <cellStyle name="Comma 2 2 2 2 2" xfId="2696" xr:uid="{84E26E66-6C78-4A23-9D70-FC559102F9F9}"/>
    <cellStyle name="Comma 2 2 2 3" xfId="2695" xr:uid="{7A9F96EF-50A9-425E-9D5C-3B1BA61CB689}"/>
    <cellStyle name="Comma 2 2 3" xfId="2694" xr:uid="{17816EC9-B6DD-49AF-B432-062A7008EC56}"/>
    <cellStyle name="Comma 2 2 3 2" xfId="3687" xr:uid="{AE4ABBA9-92F0-4D62-97CD-225C20E459AD}"/>
    <cellStyle name="Comma 2 2 4" xfId="3688" xr:uid="{AAFA13DA-A74C-4CC0-AF95-ACF7D7C423E8}"/>
    <cellStyle name="Comma 2 20" xfId="796" xr:uid="{00000000-0005-0000-0000-000025030000}"/>
    <cellStyle name="Comma 2 20 2" xfId="2697" xr:uid="{6509C893-2CA0-4492-A2A9-2C67A8361F83}"/>
    <cellStyle name="Comma 2 21" xfId="797" xr:uid="{00000000-0005-0000-0000-000026030000}"/>
    <cellStyle name="Comma 2 21 2" xfId="2698" xr:uid="{F0EF441E-DFAC-4D24-945E-0669B351BCD5}"/>
    <cellStyle name="Comma 2 22" xfId="798" xr:uid="{00000000-0005-0000-0000-000027030000}"/>
    <cellStyle name="Comma 2 22 2" xfId="2699" xr:uid="{9A4C2347-837C-4424-9E2B-B167F4699441}"/>
    <cellStyle name="Comma 2 23" xfId="799" xr:uid="{00000000-0005-0000-0000-000028030000}"/>
    <cellStyle name="Comma 2 23 2" xfId="2700" xr:uid="{03A39052-DC32-490E-91A0-5BB92CD6CFF4}"/>
    <cellStyle name="Comma 2 24" xfId="800" xr:uid="{00000000-0005-0000-0000-000029030000}"/>
    <cellStyle name="Comma 2 24 2" xfId="2701" xr:uid="{86764031-6B35-4875-BD8D-C1B7C9C11E90}"/>
    <cellStyle name="Comma 2 25" xfId="801" xr:uid="{00000000-0005-0000-0000-00002A030000}"/>
    <cellStyle name="Comma 2 25 2" xfId="2702" xr:uid="{9A438C78-B0DC-43B9-AFCE-072F137A5F7B}"/>
    <cellStyle name="Comma 2 26" xfId="802" xr:uid="{00000000-0005-0000-0000-00002B030000}"/>
    <cellStyle name="Comma 2 26 2" xfId="2703" xr:uid="{D6F444EF-AD5D-43C9-AD4D-502819FE38D6}"/>
    <cellStyle name="Comma 2 27" xfId="803" xr:uid="{00000000-0005-0000-0000-00002C030000}"/>
    <cellStyle name="Comma 2 27 2" xfId="2704" xr:uid="{17BAB4BC-3556-4CF9-8780-1300318F58D7}"/>
    <cellStyle name="Comma 2 28" xfId="804" xr:uid="{00000000-0005-0000-0000-00002D030000}"/>
    <cellStyle name="Comma 2 28 2" xfId="2705" xr:uid="{245B42B3-EA72-4343-9FBB-F4E31535ED6D}"/>
    <cellStyle name="Comma 2 29" xfId="805" xr:uid="{00000000-0005-0000-0000-00002E030000}"/>
    <cellStyle name="Comma 2 29 2" xfId="2706" xr:uid="{CD5BF804-2183-44EE-841D-269BD5011750}"/>
    <cellStyle name="Comma 2 3" xfId="806" xr:uid="{00000000-0005-0000-0000-00002F030000}"/>
    <cellStyle name="Comma 2 3 2" xfId="2707" xr:uid="{CEEF6AB4-45F2-43F7-AE0F-F184A046253D}"/>
    <cellStyle name="Comma 2 3 2 2" xfId="3689" xr:uid="{606958C6-6B57-4608-8DEA-6749B4877941}"/>
    <cellStyle name="Comma 2 30" xfId="807" xr:uid="{00000000-0005-0000-0000-000030030000}"/>
    <cellStyle name="Comma 2 30 2" xfId="2708" xr:uid="{B9CB6071-DA0F-41E1-ADE1-9F426E9771F2}"/>
    <cellStyle name="Comma 2 31" xfId="808" xr:uid="{00000000-0005-0000-0000-000031030000}"/>
    <cellStyle name="Comma 2 31 2" xfId="2709" xr:uid="{0EFDCF54-1824-4AF7-A15C-BC093F059EA4}"/>
    <cellStyle name="Comma 2 32" xfId="809" xr:uid="{00000000-0005-0000-0000-000032030000}"/>
    <cellStyle name="Comma 2 32 2" xfId="2710" xr:uid="{B5FEE3FD-98AC-4CF2-8C5E-D1A502FA8A18}"/>
    <cellStyle name="Comma 2 33" xfId="810" xr:uid="{00000000-0005-0000-0000-000033030000}"/>
    <cellStyle name="Comma 2 33 2" xfId="2711" xr:uid="{81C221FC-508E-4CEE-9EB9-C41A23593385}"/>
    <cellStyle name="Comma 2 34" xfId="811" xr:uid="{00000000-0005-0000-0000-000034030000}"/>
    <cellStyle name="Comma 2 34 2" xfId="2712" xr:uid="{B2978E3C-7434-4AA3-9493-5822712306CB}"/>
    <cellStyle name="Comma 2 35" xfId="812" xr:uid="{00000000-0005-0000-0000-000035030000}"/>
    <cellStyle name="Comma 2 35 2" xfId="2713" xr:uid="{AA5294E1-2D2E-4EBE-84D0-D90DA6203E47}"/>
    <cellStyle name="Comma 2 36" xfId="2679" xr:uid="{59255656-E81C-4A60-AB2B-9A95DEDA9802}"/>
    <cellStyle name="Comma 2 36 2" xfId="3583" xr:uid="{5FFEF299-E08E-4B2C-9CF4-4148E8588942}"/>
    <cellStyle name="Comma 2 36 3" xfId="3848" xr:uid="{8C11E323-6FB0-49D0-B9EE-18BD5E545E7C}"/>
    <cellStyle name="Comma 2 4" xfId="813" xr:uid="{00000000-0005-0000-0000-000036030000}"/>
    <cellStyle name="Comma 2 4 2" xfId="2714" xr:uid="{7ED357BC-5C80-4529-9A5B-A59D28BBF668}"/>
    <cellStyle name="Comma 2 5" xfId="814" xr:uid="{00000000-0005-0000-0000-000037030000}"/>
    <cellStyle name="Comma 2 5 2" xfId="2715" xr:uid="{647BDA52-349D-4719-BE57-6C9B15B4566A}"/>
    <cellStyle name="Comma 2 6" xfId="815" xr:uid="{00000000-0005-0000-0000-000038030000}"/>
    <cellStyle name="Comma 2 6 2" xfId="2716" xr:uid="{4AE99AD8-971B-4414-9C82-7B1CF447573D}"/>
    <cellStyle name="Comma 2 7" xfId="816" xr:uid="{00000000-0005-0000-0000-000039030000}"/>
    <cellStyle name="Comma 2 7 2" xfId="2717" xr:uid="{60BD1708-4D52-4407-8F3B-EC494A89F254}"/>
    <cellStyle name="Comma 2 8" xfId="817" xr:uid="{00000000-0005-0000-0000-00003A030000}"/>
    <cellStyle name="Comma 2 8 2" xfId="2718" xr:uid="{C1B86E65-CA95-4DC1-BF7C-61FB4DDA734E}"/>
    <cellStyle name="Comma 2 9" xfId="818" xr:uid="{00000000-0005-0000-0000-00003B030000}"/>
    <cellStyle name="Comma 2 9 2" xfId="2719" xr:uid="{B09DD604-762F-4600-BAA7-37C87C982815}"/>
    <cellStyle name="Comma 2_08. Monthly Report_Aug_2011" xfId="819" xr:uid="{00000000-0005-0000-0000-00003C030000}"/>
    <cellStyle name="Comma 20" xfId="2145" xr:uid="{5B970B4C-386C-4CEB-98F4-7B039B9BDA5E}"/>
    <cellStyle name="Comma 20 2" xfId="3690" xr:uid="{2AF6AEF9-9DB0-4691-B5A7-A81623C74843}"/>
    <cellStyle name="Comma 20 3" xfId="3872" xr:uid="{29B5F00C-9C09-4D56-B9F1-AFD2332450FF}"/>
    <cellStyle name="Comma 21" xfId="820" xr:uid="{00000000-0005-0000-0000-00003D030000}"/>
    <cellStyle name="Comma 21 2" xfId="821" xr:uid="{00000000-0005-0000-0000-00003E030000}"/>
    <cellStyle name="Comma 21 2 2" xfId="2721" xr:uid="{658BC33A-94C8-4E59-AF88-4F82CD6342B8}"/>
    <cellStyle name="Comma 21 3" xfId="822" xr:uid="{00000000-0005-0000-0000-00003F030000}"/>
    <cellStyle name="Comma 21 3 2" xfId="2722" xr:uid="{A4E0956D-9054-47B6-9DF0-811B43690B82}"/>
    <cellStyle name="Comma 21 4" xfId="823" xr:uid="{00000000-0005-0000-0000-000040030000}"/>
    <cellStyle name="Comma 21 4 2" xfId="2723" xr:uid="{8B39F510-3EFF-486F-AA78-AAD0E9657B25}"/>
    <cellStyle name="Comma 21 5" xfId="2720" xr:uid="{3A69FDED-F894-4691-A9F3-1C3909CF5A13}"/>
    <cellStyle name="Comma 22" xfId="824" xr:uid="{00000000-0005-0000-0000-000041030000}"/>
    <cellStyle name="Comma 22 2" xfId="825" xr:uid="{00000000-0005-0000-0000-000042030000}"/>
    <cellStyle name="Comma 22 2 2" xfId="2725" xr:uid="{27F6DFD8-D314-4046-877A-491613CE617A}"/>
    <cellStyle name="Comma 22 3" xfId="826" xr:uid="{00000000-0005-0000-0000-000043030000}"/>
    <cellStyle name="Comma 22 3 2" xfId="2726" xr:uid="{5902F87B-3348-4767-BBA8-C086F0AA58C5}"/>
    <cellStyle name="Comma 22 4" xfId="827" xr:uid="{00000000-0005-0000-0000-000044030000}"/>
    <cellStyle name="Comma 22 4 2" xfId="2727" xr:uid="{CD78D3D9-DBD1-406D-8DCC-CE0A3CFE3EA4}"/>
    <cellStyle name="Comma 22 5" xfId="2724" xr:uid="{53E340F7-5C6D-475B-A8A0-E3C5894D08D2}"/>
    <cellStyle name="Comma 23" xfId="2173" xr:uid="{438737EB-7A62-4F91-B8D8-0D46085CC25D}"/>
    <cellStyle name="Comma 23 10" xfId="828" xr:uid="{00000000-0005-0000-0000-000045030000}"/>
    <cellStyle name="Comma 23 10 2" xfId="2728" xr:uid="{7BA227F5-E2AA-47AD-9D42-7111C5B80269}"/>
    <cellStyle name="Comma 23 11" xfId="829" xr:uid="{00000000-0005-0000-0000-000046030000}"/>
    <cellStyle name="Comma 23 11 2" xfId="2729" xr:uid="{D6568E96-10D5-49A5-8884-8B4CE13AA5B9}"/>
    <cellStyle name="Comma 23 12" xfId="830" xr:uid="{00000000-0005-0000-0000-000047030000}"/>
    <cellStyle name="Comma 23 12 2" xfId="2730" xr:uid="{894BBA2A-218C-475E-B0E4-D8A6A2BA2205}"/>
    <cellStyle name="Comma 23 13" xfId="831" xr:uid="{00000000-0005-0000-0000-000048030000}"/>
    <cellStyle name="Comma 23 13 2" xfId="2731" xr:uid="{A8645D21-3566-4075-B510-7A94485710D0}"/>
    <cellStyle name="Comma 23 14" xfId="832" xr:uid="{00000000-0005-0000-0000-000049030000}"/>
    <cellStyle name="Comma 23 14 2" xfId="2732" xr:uid="{70EB1985-2663-42C7-9F92-6FAEBA6B0C1F}"/>
    <cellStyle name="Comma 23 2" xfId="833" xr:uid="{00000000-0005-0000-0000-00004A030000}"/>
    <cellStyle name="Comma 23 2 2" xfId="2733" xr:uid="{BA4451CA-90DB-4472-A6DA-6F9142065EA5}"/>
    <cellStyle name="Comma 23 3" xfId="834" xr:uid="{00000000-0005-0000-0000-00004B030000}"/>
    <cellStyle name="Comma 23 3 2" xfId="2734" xr:uid="{F18D87C0-1234-44CA-9616-72710364EC98}"/>
    <cellStyle name="Comma 23 4" xfId="835" xr:uid="{00000000-0005-0000-0000-00004C030000}"/>
    <cellStyle name="Comma 23 4 2" xfId="2735" xr:uid="{1353FD1F-5F23-4C10-9EF9-6998A565BDCC}"/>
    <cellStyle name="Comma 23 5" xfId="836" xr:uid="{00000000-0005-0000-0000-00004D030000}"/>
    <cellStyle name="Comma 23 5 2" xfId="2736" xr:uid="{C79A1688-23A3-4D46-B8E0-C3790C80A6FB}"/>
    <cellStyle name="Comma 23 6" xfId="837" xr:uid="{00000000-0005-0000-0000-00004E030000}"/>
    <cellStyle name="Comma 23 6 2" xfId="2737" xr:uid="{2019A348-02A8-4429-A01C-9D0EE3D0122D}"/>
    <cellStyle name="Comma 23 7" xfId="838" xr:uid="{00000000-0005-0000-0000-00004F030000}"/>
    <cellStyle name="Comma 23 7 2" xfId="839" xr:uid="{00000000-0005-0000-0000-000050030000}"/>
    <cellStyle name="Comma 23 7 2 2" xfId="2739" xr:uid="{4E05E206-8119-4926-BBBD-68390FE125D9}"/>
    <cellStyle name="Comma 23 7 3" xfId="2738" xr:uid="{9679D069-908B-4103-AF3E-3EFC888AD71D}"/>
    <cellStyle name="Comma 23 8" xfId="840" xr:uid="{00000000-0005-0000-0000-000051030000}"/>
    <cellStyle name="Comma 23 8 2" xfId="2740" xr:uid="{086824EA-085C-4DCF-A2ED-33AACCF61E4D}"/>
    <cellStyle name="Comma 23 9" xfId="841" xr:uid="{00000000-0005-0000-0000-000052030000}"/>
    <cellStyle name="Comma 23 9 2" xfId="2741" xr:uid="{BF686BA6-48A7-472E-9CF6-177CC5479157}"/>
    <cellStyle name="Comma 24" xfId="2142" xr:uid="{18862127-8168-4D38-A2ED-D65D28A68B73}"/>
    <cellStyle name="Comma 24 10" xfId="842" xr:uid="{00000000-0005-0000-0000-000053030000}"/>
    <cellStyle name="Comma 24 10 2" xfId="2742" xr:uid="{6A76BAF8-151A-4A7A-8F7A-5A8AC3708F86}"/>
    <cellStyle name="Comma 24 11" xfId="843" xr:uid="{00000000-0005-0000-0000-000054030000}"/>
    <cellStyle name="Comma 24 11 2" xfId="2743" xr:uid="{291BD940-8FC3-4C53-ADA5-4381820146E0}"/>
    <cellStyle name="Comma 24 12" xfId="844" xr:uid="{00000000-0005-0000-0000-000055030000}"/>
    <cellStyle name="Comma 24 12 2" xfId="2744" xr:uid="{C7BFAB6D-6C75-4609-A054-B29A4A537D29}"/>
    <cellStyle name="Comma 24 13" xfId="845" xr:uid="{00000000-0005-0000-0000-000056030000}"/>
    <cellStyle name="Comma 24 13 2" xfId="2745" xr:uid="{FFB678E5-6B30-4B4F-A7AC-A2C590E18FCA}"/>
    <cellStyle name="Comma 24 14" xfId="846" xr:uid="{00000000-0005-0000-0000-000057030000}"/>
    <cellStyle name="Comma 24 14 2" xfId="2746" xr:uid="{A56FF419-95F4-4218-8A60-93E6F26AA769}"/>
    <cellStyle name="Comma 24 2" xfId="847" xr:uid="{00000000-0005-0000-0000-000058030000}"/>
    <cellStyle name="Comma 24 2 2" xfId="2747" xr:uid="{E275EC83-2D1B-4F63-9A02-54E8B665AB81}"/>
    <cellStyle name="Comma 24 3" xfId="848" xr:uid="{00000000-0005-0000-0000-000059030000}"/>
    <cellStyle name="Comma 24 3 2" xfId="2748" xr:uid="{DF6DA483-8ED4-4879-915B-D90BEFD9670C}"/>
    <cellStyle name="Comma 24 4" xfId="849" xr:uid="{00000000-0005-0000-0000-00005A030000}"/>
    <cellStyle name="Comma 24 4 2" xfId="2749" xr:uid="{628E98AF-6BA6-42A7-86E2-079375467A9D}"/>
    <cellStyle name="Comma 24 5" xfId="850" xr:uid="{00000000-0005-0000-0000-00005B030000}"/>
    <cellStyle name="Comma 24 5 2" xfId="2750" xr:uid="{CDCDC876-873A-41ED-B06D-3EF23B918CE9}"/>
    <cellStyle name="Comma 24 6" xfId="851" xr:uid="{00000000-0005-0000-0000-00005C030000}"/>
    <cellStyle name="Comma 24 6 2" xfId="2751" xr:uid="{F9EB12B6-2025-4D41-BAA2-1A81C8CCB7A2}"/>
    <cellStyle name="Comma 24 7" xfId="852" xr:uid="{00000000-0005-0000-0000-00005D030000}"/>
    <cellStyle name="Comma 24 7 2" xfId="2752" xr:uid="{80D710CF-DD52-4A4C-BA21-A5707BFDF2E0}"/>
    <cellStyle name="Comma 24 8" xfId="853" xr:uid="{00000000-0005-0000-0000-00005E030000}"/>
    <cellStyle name="Comma 24 8 2" xfId="854" xr:uid="{00000000-0005-0000-0000-00005F030000}"/>
    <cellStyle name="Comma 24 8 2 2" xfId="2754" xr:uid="{93716BDB-9F8B-4A3F-8563-3514B8DECF22}"/>
    <cellStyle name="Comma 24 8 3" xfId="2753" xr:uid="{3DB871F3-B17E-4DF0-AAEA-2BAAA6E64FD1}"/>
    <cellStyle name="Comma 24 9" xfId="855" xr:uid="{00000000-0005-0000-0000-000060030000}"/>
    <cellStyle name="Comma 24 9 2" xfId="2755" xr:uid="{C5AE53C0-69F8-4C41-906B-1646BC417D59}"/>
    <cellStyle name="Comma 25" xfId="2098" xr:uid="{B92EF9ED-EB7B-4EFC-A32F-101A3177C317}"/>
    <cellStyle name="Comma 26" xfId="2140" xr:uid="{82DD86B2-B40C-4D0C-BC3C-FFF638B63936}"/>
    <cellStyle name="Comma 27" xfId="856" xr:uid="{00000000-0005-0000-0000-000061030000}"/>
    <cellStyle name="Comma 27 10" xfId="857" xr:uid="{00000000-0005-0000-0000-000062030000}"/>
    <cellStyle name="Comma 27 10 2" xfId="2757" xr:uid="{358EB0AF-1975-4B95-90D7-A43C707CF6A9}"/>
    <cellStyle name="Comma 27 11" xfId="858" xr:uid="{00000000-0005-0000-0000-000063030000}"/>
    <cellStyle name="Comma 27 11 2" xfId="2758" xr:uid="{5070CFB7-9842-4308-BCC0-1EF300DF9C67}"/>
    <cellStyle name="Comma 27 12" xfId="859" xr:uid="{00000000-0005-0000-0000-000064030000}"/>
    <cellStyle name="Comma 27 12 2" xfId="2759" xr:uid="{D213AE16-3E56-40C2-9B34-30FC10B0EB02}"/>
    <cellStyle name="Comma 27 13" xfId="860" xr:uid="{00000000-0005-0000-0000-000065030000}"/>
    <cellStyle name="Comma 27 13 2" xfId="2760" xr:uid="{D26C0E3D-8E32-4ADA-B340-DF3D092DA6AE}"/>
    <cellStyle name="Comma 27 14" xfId="861" xr:uid="{00000000-0005-0000-0000-000066030000}"/>
    <cellStyle name="Comma 27 14 2" xfId="2761" xr:uid="{479D3063-2DAE-4656-BCCA-9E57E094F0E3}"/>
    <cellStyle name="Comma 27 15" xfId="2756" xr:uid="{123CB0F9-3CB6-4BE7-9815-8B61A99B4359}"/>
    <cellStyle name="Comma 27 2" xfId="862" xr:uid="{00000000-0005-0000-0000-000067030000}"/>
    <cellStyle name="Comma 27 2 2" xfId="2762" xr:uid="{9FAC7473-F787-486F-B6DE-FEFDE6C3F85B}"/>
    <cellStyle name="Comma 27 3" xfId="863" xr:uid="{00000000-0005-0000-0000-000068030000}"/>
    <cellStyle name="Comma 27 3 2" xfId="2763" xr:uid="{AB20C270-7F0A-4B63-8BE3-52A1443C9D32}"/>
    <cellStyle name="Comma 27 4" xfId="864" xr:uid="{00000000-0005-0000-0000-000069030000}"/>
    <cellStyle name="Comma 27 4 2" xfId="2764" xr:uid="{C46AC37C-29DF-4B22-93AA-D593C34FA95B}"/>
    <cellStyle name="Comma 27 5" xfId="865" xr:uid="{00000000-0005-0000-0000-00006A030000}"/>
    <cellStyle name="Comma 27 5 2" xfId="2765" xr:uid="{C102BFE6-F7CE-4A20-A3CD-5EEA69C044F0}"/>
    <cellStyle name="Comma 27 6" xfId="866" xr:uid="{00000000-0005-0000-0000-00006B030000}"/>
    <cellStyle name="Comma 27 6 2" xfId="2766" xr:uid="{EDD58424-1107-4DED-BCB5-BBAB566FFB01}"/>
    <cellStyle name="Comma 27 7" xfId="867" xr:uid="{00000000-0005-0000-0000-00006C030000}"/>
    <cellStyle name="Comma 27 7 2" xfId="2767" xr:uid="{E0C6A4DA-8C96-40E7-ADDF-D171DEAD8CD8}"/>
    <cellStyle name="Comma 27 8" xfId="868" xr:uid="{00000000-0005-0000-0000-00006D030000}"/>
    <cellStyle name="Comma 27 8 2" xfId="2768" xr:uid="{970CE649-59AA-47CD-8621-1720D9DD5ECC}"/>
    <cellStyle name="Comma 27 9" xfId="869" xr:uid="{00000000-0005-0000-0000-00006E030000}"/>
    <cellStyle name="Comma 27 9 2" xfId="2769" xr:uid="{D884FA31-70BF-408C-9634-079828AEA4BC}"/>
    <cellStyle name="Comma 28" xfId="2468" xr:uid="{7252587D-EC70-41E0-B74C-058273D22899}"/>
    <cellStyle name="Comma 29" xfId="3550" xr:uid="{93629689-B1CF-40F7-9E0C-CA1394345B27}"/>
    <cellStyle name="Comma 29 10" xfId="870" xr:uid="{00000000-0005-0000-0000-00006F030000}"/>
    <cellStyle name="Comma 29 10 2" xfId="2770" xr:uid="{ECE5E60E-603A-4F69-83ED-97752B267B8F}"/>
    <cellStyle name="Comma 29 11" xfId="871" xr:uid="{00000000-0005-0000-0000-000070030000}"/>
    <cellStyle name="Comma 29 11 2" xfId="2771" xr:uid="{1AF2B53F-DBEC-4D69-B712-8616C1E89169}"/>
    <cellStyle name="Comma 29 12" xfId="872" xr:uid="{00000000-0005-0000-0000-000071030000}"/>
    <cellStyle name="Comma 29 12 2" xfId="2772" xr:uid="{98BE8028-D2C1-4661-B22C-83F9DC9CECDD}"/>
    <cellStyle name="Comma 29 13" xfId="873" xr:uid="{00000000-0005-0000-0000-000072030000}"/>
    <cellStyle name="Comma 29 13 2" xfId="2773" xr:uid="{BE43B9AA-6E96-432F-A851-D1965EFE77DF}"/>
    <cellStyle name="Comma 29 14" xfId="874" xr:uid="{00000000-0005-0000-0000-000073030000}"/>
    <cellStyle name="Comma 29 14 2" xfId="2774" xr:uid="{8C69EE7F-EF24-4D75-AE53-3793961E2FC8}"/>
    <cellStyle name="Comma 29 2" xfId="875" xr:uid="{00000000-0005-0000-0000-000074030000}"/>
    <cellStyle name="Comma 29 2 2" xfId="2775" xr:uid="{84B8CE74-6ACA-42A3-A2DC-79330F3FEB9B}"/>
    <cellStyle name="Comma 29 3" xfId="876" xr:uid="{00000000-0005-0000-0000-000075030000}"/>
    <cellStyle name="Comma 29 3 2" xfId="2776" xr:uid="{1FF0D25A-31B8-4403-B5F5-25D4B599C921}"/>
    <cellStyle name="Comma 29 4" xfId="877" xr:uid="{00000000-0005-0000-0000-000076030000}"/>
    <cellStyle name="Comma 29 4 2" xfId="2777" xr:uid="{F12CF37D-8ECD-49F1-92C4-A417E6A32C50}"/>
    <cellStyle name="Comma 29 5" xfId="878" xr:uid="{00000000-0005-0000-0000-000077030000}"/>
    <cellStyle name="Comma 29 5 2" xfId="2778" xr:uid="{709B457A-0115-47A1-875D-ECA3106B44ED}"/>
    <cellStyle name="Comma 29 6" xfId="879" xr:uid="{00000000-0005-0000-0000-000078030000}"/>
    <cellStyle name="Comma 29 6 2" xfId="2779" xr:uid="{42A5E5CB-7FD2-41C3-B172-B5ABC0E2FFA9}"/>
    <cellStyle name="Comma 29 7" xfId="880" xr:uid="{00000000-0005-0000-0000-000079030000}"/>
    <cellStyle name="Comma 29 7 2" xfId="2780" xr:uid="{7ED4CF36-FECF-4D06-9CCB-8EEE6A653BE3}"/>
    <cellStyle name="Comma 29 8" xfId="881" xr:uid="{00000000-0005-0000-0000-00007A030000}"/>
    <cellStyle name="Comma 29 8 2" xfId="2781" xr:uid="{03731842-1210-40D1-8A94-F3BA74E8B98A}"/>
    <cellStyle name="Comma 29 9" xfId="882" xr:uid="{00000000-0005-0000-0000-00007B030000}"/>
    <cellStyle name="Comma 29 9 2" xfId="2782" xr:uid="{BB53F7D9-19C8-43F7-8158-95CDAD1FD4F9}"/>
    <cellStyle name="Comma 3" xfId="883" xr:uid="{00000000-0005-0000-0000-00007C030000}"/>
    <cellStyle name="Comma 3 10" xfId="884" xr:uid="{00000000-0005-0000-0000-00007D030000}"/>
    <cellStyle name="Comma 3 10 2" xfId="2784" xr:uid="{A231FC15-A55C-4B5E-A79A-3CB91F8364DF}"/>
    <cellStyle name="Comma 3 11" xfId="885" xr:uid="{00000000-0005-0000-0000-00007E030000}"/>
    <cellStyle name="Comma 3 11 2" xfId="2785" xr:uid="{75472474-C40A-43CF-8F6E-A950AC8A8897}"/>
    <cellStyle name="Comma 3 12" xfId="886" xr:uid="{00000000-0005-0000-0000-00007F030000}"/>
    <cellStyle name="Comma 3 12 2" xfId="2786" xr:uid="{C7D33A32-83D2-4B30-824D-ABB837EE93A0}"/>
    <cellStyle name="Comma 3 13" xfId="887" xr:uid="{00000000-0005-0000-0000-000080030000}"/>
    <cellStyle name="Comma 3 13 2" xfId="2787" xr:uid="{9355780E-8E94-4B46-AEC4-B7BE81B6D21E}"/>
    <cellStyle name="Comma 3 14" xfId="888" xr:uid="{00000000-0005-0000-0000-000081030000}"/>
    <cellStyle name="Comma 3 14 2" xfId="2788" xr:uid="{05C0D2AC-12BE-4CAD-873A-A234EB6ED538}"/>
    <cellStyle name="Comma 3 15" xfId="889" xr:uid="{00000000-0005-0000-0000-000082030000}"/>
    <cellStyle name="Comma 3 15 2" xfId="2789" xr:uid="{2BF674CD-A7C0-4446-A547-E3174CA3112D}"/>
    <cellStyle name="Comma 3 16" xfId="890" xr:uid="{00000000-0005-0000-0000-000083030000}"/>
    <cellStyle name="Comma 3 16 2" xfId="2790" xr:uid="{B4588974-6898-4F39-8EA1-81383899729F}"/>
    <cellStyle name="Comma 3 17" xfId="891" xr:uid="{00000000-0005-0000-0000-000084030000}"/>
    <cellStyle name="Comma 3 17 2" xfId="2791" xr:uid="{0A49F821-F7A5-4EE9-8C8C-7F44E1A56AEC}"/>
    <cellStyle name="Comma 3 18" xfId="892" xr:uid="{00000000-0005-0000-0000-000085030000}"/>
    <cellStyle name="Comma 3 18 2" xfId="2792" xr:uid="{D4DA6ADD-62B8-4E86-BCB6-ECD85ADB67E1}"/>
    <cellStyle name="Comma 3 19" xfId="893" xr:uid="{00000000-0005-0000-0000-000086030000}"/>
    <cellStyle name="Comma 3 19 2" xfId="2793" xr:uid="{36044799-2C90-4BA8-99BF-2643FE5DFB3B}"/>
    <cellStyle name="Comma 3 2" xfId="894" xr:uid="{00000000-0005-0000-0000-000087030000}"/>
    <cellStyle name="Comma 3 2 2" xfId="2067" xr:uid="{00000000-0005-0000-0000-000088030000}"/>
    <cellStyle name="Comma 3 2 2 2" xfId="3691" xr:uid="{FB78D215-05D2-4EB2-B010-30C8EA58C28C}"/>
    <cellStyle name="Comma 3 2 3" xfId="2794" xr:uid="{2EF5C897-F479-4B1C-85A0-BF7AE030E4C8}"/>
    <cellStyle name="Comma 3 2 3 2" xfId="3692" xr:uid="{282D981B-820F-4313-94A5-5D4A43F32AE8}"/>
    <cellStyle name="Comma 3 20" xfId="895" xr:uid="{00000000-0005-0000-0000-000089030000}"/>
    <cellStyle name="Comma 3 20 2" xfId="2795" xr:uid="{3791408E-24EA-40CC-B02A-9720B1A517C4}"/>
    <cellStyle name="Comma 3 21" xfId="896" xr:uid="{00000000-0005-0000-0000-00008A030000}"/>
    <cellStyle name="Comma 3 21 2" xfId="2796" xr:uid="{7EF3BECB-33CA-42DD-B327-6ECE24560E00}"/>
    <cellStyle name="Comma 3 22" xfId="897" xr:uid="{00000000-0005-0000-0000-00008B030000}"/>
    <cellStyle name="Comma 3 22 2" xfId="2797" xr:uid="{53C9B0A7-CE8E-4D90-B52C-E7482E7C5C3E}"/>
    <cellStyle name="Comma 3 23" xfId="898" xr:uid="{00000000-0005-0000-0000-00008C030000}"/>
    <cellStyle name="Comma 3 23 2" xfId="2798" xr:uid="{9BDF8184-6328-4A21-B391-7004C876CEC5}"/>
    <cellStyle name="Comma 3 24" xfId="899" xr:uid="{00000000-0005-0000-0000-00008D030000}"/>
    <cellStyle name="Comma 3 24 2" xfId="2799" xr:uid="{B84589FB-92A0-43C6-9433-4D50CB226B50}"/>
    <cellStyle name="Comma 3 25" xfId="900" xr:uid="{00000000-0005-0000-0000-00008E030000}"/>
    <cellStyle name="Comma 3 25 2" xfId="2800" xr:uid="{673E771B-78E3-45C0-97C4-83A052A94708}"/>
    <cellStyle name="Comma 3 26" xfId="901" xr:uid="{00000000-0005-0000-0000-00008F030000}"/>
    <cellStyle name="Comma 3 26 2" xfId="2801" xr:uid="{30C176A6-18B1-414D-B3D4-8B6517696B3F}"/>
    <cellStyle name="Comma 3 27" xfId="902" xr:uid="{00000000-0005-0000-0000-000090030000}"/>
    <cellStyle name="Comma 3 27 2" xfId="2802" xr:uid="{6B9DAA4D-EE99-4DF8-8638-43D6C4D55904}"/>
    <cellStyle name="Comma 3 28" xfId="903" xr:uid="{00000000-0005-0000-0000-000091030000}"/>
    <cellStyle name="Comma 3 28 2" xfId="2803" xr:uid="{D531B745-330D-4451-B758-842313CE79B6}"/>
    <cellStyle name="Comma 3 29" xfId="904" xr:uid="{00000000-0005-0000-0000-000092030000}"/>
    <cellStyle name="Comma 3 29 2" xfId="2804" xr:uid="{25171646-1D09-44DA-B48C-03480C4DE59F}"/>
    <cellStyle name="Comma 3 3" xfId="905" xr:uid="{00000000-0005-0000-0000-000093030000}"/>
    <cellStyle name="Comma 3 3 2" xfId="2805" xr:uid="{2C49C1A6-9608-4EE5-86A3-CBDF9627B55A}"/>
    <cellStyle name="Comma 3 30" xfId="906" xr:uid="{00000000-0005-0000-0000-000094030000}"/>
    <cellStyle name="Comma 3 30 2" xfId="2806" xr:uid="{0BB00066-88A6-4026-B649-7792CE4AC100}"/>
    <cellStyle name="Comma 3 31" xfId="907" xr:uid="{00000000-0005-0000-0000-000095030000}"/>
    <cellStyle name="Comma 3 31 2" xfId="2807" xr:uid="{C8B4AA71-D62C-4AE7-9FDF-97D097B7F7A2}"/>
    <cellStyle name="Comma 3 32" xfId="908" xr:uid="{00000000-0005-0000-0000-000096030000}"/>
    <cellStyle name="Comma 3 32 2" xfId="2808" xr:uid="{290D8684-6EE9-4CAF-BD83-D489A983AF85}"/>
    <cellStyle name="Comma 3 33" xfId="909" xr:uid="{00000000-0005-0000-0000-000097030000}"/>
    <cellStyle name="Comma 3 33 2" xfId="2809" xr:uid="{1698AEB8-7454-482D-876A-D1AFE40C8738}"/>
    <cellStyle name="Comma 3 34" xfId="910" xr:uid="{00000000-0005-0000-0000-000098030000}"/>
    <cellStyle name="Comma 3 34 2" xfId="2810" xr:uid="{2AA85AA2-6A3B-449E-88A7-74CC2081661F}"/>
    <cellStyle name="Comma 3 35" xfId="911" xr:uid="{00000000-0005-0000-0000-000099030000}"/>
    <cellStyle name="Comma 3 35 2" xfId="2811" xr:uid="{8AF26775-3C12-4356-BCEC-015A03D91F20}"/>
    <cellStyle name="Comma 3 36" xfId="912" xr:uid="{00000000-0005-0000-0000-00009A030000}"/>
    <cellStyle name="Comma 3 36 2" xfId="2812" xr:uid="{32E68BBD-09AC-418C-B24B-FDB128147C41}"/>
    <cellStyle name="Comma 3 37" xfId="913" xr:uid="{00000000-0005-0000-0000-00009B030000}"/>
    <cellStyle name="Comma 3 37 2" xfId="2813" xr:uid="{A3360D1C-49E0-42C7-92BE-FE1EAB58912B}"/>
    <cellStyle name="Comma 3 38" xfId="914" xr:uid="{00000000-0005-0000-0000-00009C030000}"/>
    <cellStyle name="Comma 3 38 2" xfId="2814" xr:uid="{4A1B1052-CC1D-4F87-93A9-D7745385C974}"/>
    <cellStyle name="Comma 3 39" xfId="915" xr:uid="{00000000-0005-0000-0000-00009D030000}"/>
    <cellStyle name="Comma 3 39 2" xfId="2815" xr:uid="{1A49474A-AB65-421A-AEE6-69A6B03CE882}"/>
    <cellStyle name="Comma 3 4" xfId="916" xr:uid="{00000000-0005-0000-0000-00009E030000}"/>
    <cellStyle name="Comma 3 4 2" xfId="2816" xr:uid="{F8E45AAE-F199-4885-B330-0C187A45513F}"/>
    <cellStyle name="Comma 3 40" xfId="917" xr:uid="{00000000-0005-0000-0000-00009F030000}"/>
    <cellStyle name="Comma 3 40 2" xfId="2817" xr:uid="{68971C32-A5B5-40D6-9DC1-6528D51D4621}"/>
    <cellStyle name="Comma 3 41" xfId="918" xr:uid="{00000000-0005-0000-0000-0000A0030000}"/>
    <cellStyle name="Comma 3 41 2" xfId="2818" xr:uid="{BE0CA47C-B78F-4220-BECF-B4A7D3A79B7B}"/>
    <cellStyle name="Comma 3 42" xfId="919" xr:uid="{00000000-0005-0000-0000-0000A1030000}"/>
    <cellStyle name="Comma 3 42 2" xfId="2819" xr:uid="{DB16DA84-F308-4F93-931B-37DCE1727BA7}"/>
    <cellStyle name="Comma 3 43" xfId="920" xr:uid="{00000000-0005-0000-0000-0000A2030000}"/>
    <cellStyle name="Comma 3 43 2" xfId="2820" xr:uid="{B060E9AD-4918-4C50-AB3B-98A7071F7A1C}"/>
    <cellStyle name="Comma 3 44" xfId="921" xr:uid="{00000000-0005-0000-0000-0000A3030000}"/>
    <cellStyle name="Comma 3 44 2" xfId="2821" xr:uid="{01753D55-4098-43D7-8760-495368AD17A3}"/>
    <cellStyle name="Comma 3 45" xfId="922" xr:uid="{00000000-0005-0000-0000-0000A4030000}"/>
    <cellStyle name="Comma 3 45 2" xfId="2822" xr:uid="{07A932EB-1D28-4D8A-8201-7DF5AB291D09}"/>
    <cellStyle name="Comma 3 46" xfId="923" xr:uid="{00000000-0005-0000-0000-0000A5030000}"/>
    <cellStyle name="Comma 3 46 2" xfId="2823" xr:uid="{798CD963-0C39-4E30-9D65-462051AB9B5E}"/>
    <cellStyle name="Comma 3 47" xfId="924" xr:uid="{00000000-0005-0000-0000-0000A6030000}"/>
    <cellStyle name="Comma 3 47 2" xfId="2824" xr:uid="{E76222AE-CC70-47DB-9372-072C0408F8D5}"/>
    <cellStyle name="Comma 3 48" xfId="925" xr:uid="{00000000-0005-0000-0000-0000A7030000}"/>
    <cellStyle name="Comma 3 48 2" xfId="2825" xr:uid="{8DE75AD0-81B5-4ECF-B439-9DCFDCC4D5A6}"/>
    <cellStyle name="Comma 3 49" xfId="926" xr:uid="{00000000-0005-0000-0000-0000A8030000}"/>
    <cellStyle name="Comma 3 49 2" xfId="2826" xr:uid="{B627C2D0-6290-4D16-B677-0F66A948F318}"/>
    <cellStyle name="Comma 3 5" xfId="927" xr:uid="{00000000-0005-0000-0000-0000A9030000}"/>
    <cellStyle name="Comma 3 5 2" xfId="2827" xr:uid="{4D95FC0A-1209-45E6-BD8F-3D5A873F3697}"/>
    <cellStyle name="Comma 3 50" xfId="928" xr:uid="{00000000-0005-0000-0000-0000AA030000}"/>
    <cellStyle name="Comma 3 50 2" xfId="2828" xr:uid="{088ABC23-31A3-472C-BAA0-003D2A63C952}"/>
    <cellStyle name="Comma 3 51" xfId="929" xr:uid="{00000000-0005-0000-0000-0000AB030000}"/>
    <cellStyle name="Comma 3 51 2" xfId="2829" xr:uid="{AC282862-5DE8-4C4D-8B3B-DB9D20664093}"/>
    <cellStyle name="Comma 3 52" xfId="930" xr:uid="{00000000-0005-0000-0000-0000AC030000}"/>
    <cellStyle name="Comma 3 52 2" xfId="2830" xr:uid="{B32DC15B-1DD0-45CB-9648-83489F456048}"/>
    <cellStyle name="Comma 3 53" xfId="931" xr:uid="{00000000-0005-0000-0000-0000AD030000}"/>
    <cellStyle name="Comma 3 53 2" xfId="2831" xr:uid="{D6C460BD-8344-4992-A4D3-178CE409FA4C}"/>
    <cellStyle name="Comma 3 54" xfId="932" xr:uid="{00000000-0005-0000-0000-0000AE030000}"/>
    <cellStyle name="Comma 3 54 2" xfId="2832" xr:uid="{11918A4F-B4F8-4EED-B637-9E8977659A20}"/>
    <cellStyle name="Comma 3 55" xfId="933" xr:uid="{00000000-0005-0000-0000-0000AF030000}"/>
    <cellStyle name="Comma 3 55 2" xfId="2833" xr:uid="{E9F8E5E4-255A-4B22-9B22-C78DAC8A72FC}"/>
    <cellStyle name="Comma 3 56" xfId="934" xr:uid="{00000000-0005-0000-0000-0000B0030000}"/>
    <cellStyle name="Comma 3 56 2" xfId="2834" xr:uid="{3CE4F643-ED1A-4BC1-AA11-5E8571236A96}"/>
    <cellStyle name="Comma 3 57" xfId="935" xr:uid="{00000000-0005-0000-0000-0000B1030000}"/>
    <cellStyle name="Comma 3 57 2" xfId="2835" xr:uid="{28A3C149-77CE-45FF-8DB7-88D3FE3D45A2}"/>
    <cellStyle name="Comma 3 58" xfId="936" xr:uid="{00000000-0005-0000-0000-0000B2030000}"/>
    <cellStyle name="Comma 3 58 2" xfId="2836" xr:uid="{34CC4331-7766-4ACC-8E03-C46A0830BC3A}"/>
    <cellStyle name="Comma 3 59" xfId="937" xr:uid="{00000000-0005-0000-0000-0000B3030000}"/>
    <cellStyle name="Comma 3 59 2" xfId="2837" xr:uid="{978B93C9-6550-4DA3-A75B-49E6E0259233}"/>
    <cellStyle name="Comma 3 6" xfId="938" xr:uid="{00000000-0005-0000-0000-0000B4030000}"/>
    <cellStyle name="Comma 3 6 2" xfId="2838" xr:uid="{E1228D92-7552-4CE4-8DC3-628E3F697FC3}"/>
    <cellStyle name="Comma 3 60" xfId="939" xr:uid="{00000000-0005-0000-0000-0000B5030000}"/>
    <cellStyle name="Comma 3 60 2" xfId="2839" xr:uid="{792B491E-8131-4840-AC55-A8D3D669EAE2}"/>
    <cellStyle name="Comma 3 61" xfId="940" xr:uid="{00000000-0005-0000-0000-0000B6030000}"/>
    <cellStyle name="Comma 3 61 2" xfId="2840" xr:uid="{126981DD-826D-4F61-BA90-72590FC45675}"/>
    <cellStyle name="Comma 3 62" xfId="941" xr:uid="{00000000-0005-0000-0000-0000B7030000}"/>
    <cellStyle name="Comma 3 62 2" xfId="2841" xr:uid="{1CA0CB3E-B1AC-4631-9561-E15BA344AAC8}"/>
    <cellStyle name="Comma 3 63" xfId="942" xr:uid="{00000000-0005-0000-0000-0000B8030000}"/>
    <cellStyle name="Comma 3 63 2" xfId="2842" xr:uid="{858A53AC-D586-4F36-BAF6-75BB9CEB017B}"/>
    <cellStyle name="Comma 3 64" xfId="943" xr:uid="{00000000-0005-0000-0000-0000B9030000}"/>
    <cellStyle name="Comma 3 64 2" xfId="2843" xr:uid="{F400576C-269D-4609-9FD3-6B3024ECE901}"/>
    <cellStyle name="Comma 3 65" xfId="944" xr:uid="{00000000-0005-0000-0000-0000BA030000}"/>
    <cellStyle name="Comma 3 65 2" xfId="2844" xr:uid="{8F12DAAE-FB57-4D62-9C11-FB066923C9C1}"/>
    <cellStyle name="Comma 3 66" xfId="945" xr:uid="{00000000-0005-0000-0000-0000BB030000}"/>
    <cellStyle name="Comma 3 66 2" xfId="2845" xr:uid="{4CA9BE97-AD3C-40B9-A09A-EC69A2B14E9E}"/>
    <cellStyle name="Comma 3 67" xfId="946" xr:uid="{00000000-0005-0000-0000-0000BC030000}"/>
    <cellStyle name="Comma 3 67 2" xfId="2846" xr:uid="{850CF897-AEB4-4730-A2AE-746C2874EC77}"/>
    <cellStyle name="Comma 3 68" xfId="947" xr:uid="{00000000-0005-0000-0000-0000BD030000}"/>
    <cellStyle name="Comma 3 68 2" xfId="2847" xr:uid="{174CA0C3-9D01-4FE6-87A1-5BE91B044E29}"/>
    <cellStyle name="Comma 3 69" xfId="2783" xr:uid="{7A102148-0C21-46CF-917F-A84FFB0F0D71}"/>
    <cellStyle name="Comma 3 7" xfId="948" xr:uid="{00000000-0005-0000-0000-0000BE030000}"/>
    <cellStyle name="Comma 3 7 2" xfId="2848" xr:uid="{DFB51151-CDD0-4DF6-BA68-AFA3E9F8455D}"/>
    <cellStyle name="Comma 3 8" xfId="949" xr:uid="{00000000-0005-0000-0000-0000BF030000}"/>
    <cellStyle name="Comma 3 8 2" xfId="2849" xr:uid="{7C59C1F3-44FC-4806-AA0D-A6669E9D6ED3}"/>
    <cellStyle name="Comma 3 9" xfId="950" xr:uid="{00000000-0005-0000-0000-0000C0030000}"/>
    <cellStyle name="Comma 3 9 2" xfId="2850" xr:uid="{C579A5E7-D8DC-4364-B136-3E61CB133730}"/>
    <cellStyle name="Comma 30" xfId="3578" xr:uid="{05777FD0-ACAE-475F-92D8-0CE618CC8DAE}"/>
    <cellStyle name="Comma 30 10" xfId="951" xr:uid="{00000000-0005-0000-0000-0000C1030000}"/>
    <cellStyle name="Comma 30 10 2" xfId="2851" xr:uid="{8489AD6C-B727-44D7-885A-6BEB02A10F23}"/>
    <cellStyle name="Comma 30 11" xfId="952" xr:uid="{00000000-0005-0000-0000-0000C2030000}"/>
    <cellStyle name="Comma 30 11 2" xfId="2852" xr:uid="{69C98005-C142-49B0-BEA6-9781AB1F78B2}"/>
    <cellStyle name="Comma 30 12" xfId="953" xr:uid="{00000000-0005-0000-0000-0000C3030000}"/>
    <cellStyle name="Comma 30 12 2" xfId="2853" xr:uid="{FA58C6D3-C8DE-4467-A901-4C86A7E43849}"/>
    <cellStyle name="Comma 30 13" xfId="954" xr:uid="{00000000-0005-0000-0000-0000C4030000}"/>
    <cellStyle name="Comma 30 13 2" xfId="2854" xr:uid="{0A104F5D-8483-496B-B495-ED5E9BEC7526}"/>
    <cellStyle name="Comma 30 14" xfId="955" xr:uid="{00000000-0005-0000-0000-0000C5030000}"/>
    <cellStyle name="Comma 30 14 2" xfId="2855" xr:uid="{38E4746C-020D-4EB7-BB88-061693C91AF8}"/>
    <cellStyle name="Comma 30 2" xfId="956" xr:uid="{00000000-0005-0000-0000-0000C6030000}"/>
    <cellStyle name="Comma 30 2 2" xfId="2856" xr:uid="{73F3A353-0C64-436F-BB9B-04A4DF4048B8}"/>
    <cellStyle name="Comma 30 3" xfId="957" xr:uid="{00000000-0005-0000-0000-0000C7030000}"/>
    <cellStyle name="Comma 30 3 2" xfId="2857" xr:uid="{8BD9D798-EFDE-4611-BA8F-B6706A4EFCD3}"/>
    <cellStyle name="Comma 30 4" xfId="958" xr:uid="{00000000-0005-0000-0000-0000C8030000}"/>
    <cellStyle name="Comma 30 4 2" xfId="2858" xr:uid="{3DD21777-7B53-4AF5-A038-AEDE9503D662}"/>
    <cellStyle name="Comma 30 5" xfId="959" xr:uid="{00000000-0005-0000-0000-0000C9030000}"/>
    <cellStyle name="Comma 30 5 2" xfId="2859" xr:uid="{2B661C7C-15D6-40C0-AFBF-0348CE1CDF39}"/>
    <cellStyle name="Comma 30 6" xfId="960" xr:uid="{00000000-0005-0000-0000-0000CA030000}"/>
    <cellStyle name="Comma 30 6 2" xfId="2860" xr:uid="{176D01D1-B4D3-4B49-8078-17C72B636B31}"/>
    <cellStyle name="Comma 30 7" xfId="961" xr:uid="{00000000-0005-0000-0000-0000CB030000}"/>
    <cellStyle name="Comma 30 7 2" xfId="2861" xr:uid="{72A0F696-8F0E-4A3B-9429-432D10FCF369}"/>
    <cellStyle name="Comma 30 8" xfId="962" xr:uid="{00000000-0005-0000-0000-0000CC030000}"/>
    <cellStyle name="Comma 30 8 2" xfId="2862" xr:uid="{7DA6968C-E8DF-4094-8FC8-8BE7B76F1D1C}"/>
    <cellStyle name="Comma 30 9" xfId="963" xr:uid="{00000000-0005-0000-0000-0000CD030000}"/>
    <cellStyle name="Comma 30 9 2" xfId="2863" xr:uid="{B6B49F1F-9D1F-4404-A619-4576A0DC8E96}"/>
    <cellStyle name="Comma 31" xfId="3724" xr:uid="{FF69A127-0298-4A28-A26C-94BA58F93C82}"/>
    <cellStyle name="Comma 32" xfId="3726" xr:uid="{DCD6FC55-1DE6-435A-AFC2-6B8337326D1B}"/>
    <cellStyle name="Comma 33" xfId="3574" xr:uid="{E4B56D52-6647-4379-8771-83DC80E66DFB}"/>
    <cellStyle name="Comma 34" xfId="3557" xr:uid="{72417DB7-3D1F-4E73-BAED-A8E44433398C}"/>
    <cellStyle name="Comma 35" xfId="3570" xr:uid="{E8273095-1267-47FD-803F-7B09E54702B9}"/>
    <cellStyle name="Comma 36" xfId="3560" xr:uid="{06201AE3-A44A-4FF6-A810-24C149165581}"/>
    <cellStyle name="Comma 36 2" xfId="964" xr:uid="{00000000-0005-0000-0000-0000CE030000}"/>
    <cellStyle name="Comma 36 2 2" xfId="2864" xr:uid="{58FF6FD6-6292-4BF9-A126-0016F9DDA707}"/>
    <cellStyle name="Comma 36 3" xfId="965" xr:uid="{00000000-0005-0000-0000-0000CF030000}"/>
    <cellStyle name="Comma 36 3 2" xfId="2865" xr:uid="{F1D2B4D0-6978-4890-AA42-2A59BAC26B81}"/>
    <cellStyle name="Comma 36 4" xfId="966" xr:uid="{00000000-0005-0000-0000-0000D0030000}"/>
    <cellStyle name="Comma 36 4 2" xfId="2866" xr:uid="{FAFE3B98-0A19-45AC-B9E1-165A4B490942}"/>
    <cellStyle name="Comma 37" xfId="3567" xr:uid="{37383775-B2F0-43F8-932F-A3F220D8D74C}"/>
    <cellStyle name="Comma 37 2" xfId="967" xr:uid="{00000000-0005-0000-0000-0000D1030000}"/>
    <cellStyle name="Comma 37 2 2" xfId="2867" xr:uid="{E5D30B24-C476-40D6-A12D-96F414DAAEBF}"/>
    <cellStyle name="Comma 37 3" xfId="968" xr:uid="{00000000-0005-0000-0000-0000D2030000}"/>
    <cellStyle name="Comma 37 3 2" xfId="2868" xr:uid="{253CC65F-0D9D-4BF9-8389-43713EC2085F}"/>
    <cellStyle name="Comma 37 4" xfId="969" xr:uid="{00000000-0005-0000-0000-0000D3030000}"/>
    <cellStyle name="Comma 37 4 2" xfId="2869" xr:uid="{F5C74888-17CB-43A4-99D3-6FDDA561F540}"/>
    <cellStyle name="Comma 38" xfId="3563" xr:uid="{897469C5-CDA2-42E5-BCEC-36023E2DBE9B}"/>
    <cellStyle name="Comma 38 2" xfId="970" xr:uid="{00000000-0005-0000-0000-0000D4030000}"/>
    <cellStyle name="Comma 38 2 2" xfId="2870" xr:uid="{95015ED9-9179-48E6-81AD-5695E5706A51}"/>
    <cellStyle name="Comma 38 3" xfId="971" xr:uid="{00000000-0005-0000-0000-0000D5030000}"/>
    <cellStyle name="Comma 38 3 2" xfId="2871" xr:uid="{02AE67E9-9557-4E34-9442-4C17BECA1A79}"/>
    <cellStyle name="Comma 38 4" xfId="972" xr:uid="{00000000-0005-0000-0000-0000D6030000}"/>
    <cellStyle name="Comma 38 4 2" xfId="2872" xr:uid="{949CB35C-08F6-4260-B349-D055520F3479}"/>
    <cellStyle name="Comma 39" xfId="3565" xr:uid="{523E76AA-1AC2-42B1-90FB-C88105FE4FD9}"/>
    <cellStyle name="Comma 39 2" xfId="973" xr:uid="{00000000-0005-0000-0000-0000D7030000}"/>
    <cellStyle name="Comma 39 2 2" xfId="2873" xr:uid="{604A5276-48F0-4F49-98AA-42AD3E7C8E3E}"/>
    <cellStyle name="Comma 39 3" xfId="974" xr:uid="{00000000-0005-0000-0000-0000D8030000}"/>
    <cellStyle name="Comma 39 3 2" xfId="2874" xr:uid="{54E8527A-51F7-4A32-AEA9-AABBFEE15CA2}"/>
    <cellStyle name="Comma 39 4" xfId="975" xr:uid="{00000000-0005-0000-0000-0000D9030000}"/>
    <cellStyle name="Comma 39 4 2" xfId="2875" xr:uid="{6EF90267-45B6-4E7E-B47F-63D933846A0C}"/>
    <cellStyle name="Comma 4" xfId="976" xr:uid="{00000000-0005-0000-0000-0000DA030000}"/>
    <cellStyle name="Comma 4 10" xfId="977" xr:uid="{00000000-0005-0000-0000-0000DB030000}"/>
    <cellStyle name="Comma 4 10 2" xfId="2877" xr:uid="{B489D53A-8612-4041-9F4C-D209D2C71BFC}"/>
    <cellStyle name="Comma 4 11" xfId="978" xr:uid="{00000000-0005-0000-0000-0000DC030000}"/>
    <cellStyle name="Comma 4 11 2" xfId="2878" xr:uid="{8BD0399A-DFBB-44C4-ADD5-CD5FE7DA5790}"/>
    <cellStyle name="Comma 4 12" xfId="979" xr:uid="{00000000-0005-0000-0000-0000DD030000}"/>
    <cellStyle name="Comma 4 12 2" xfId="2879" xr:uid="{B24A6E2F-5366-40D4-BA87-7CE0775EAD11}"/>
    <cellStyle name="Comma 4 13" xfId="980" xr:uid="{00000000-0005-0000-0000-0000DE030000}"/>
    <cellStyle name="Comma 4 13 2" xfId="2880" xr:uid="{C159A33E-5268-40CB-A29A-39AFAAD14B4F}"/>
    <cellStyle name="Comma 4 14" xfId="981" xr:uid="{00000000-0005-0000-0000-0000DF030000}"/>
    <cellStyle name="Comma 4 14 2" xfId="2881" xr:uid="{675D05CC-95FB-490D-AFDC-672DFF351F46}"/>
    <cellStyle name="Comma 4 15" xfId="982" xr:uid="{00000000-0005-0000-0000-0000E0030000}"/>
    <cellStyle name="Comma 4 15 2" xfId="2882" xr:uid="{99B462B9-5398-4A59-BADA-066DA70B94B5}"/>
    <cellStyle name="Comma 4 16" xfId="983" xr:uid="{00000000-0005-0000-0000-0000E1030000}"/>
    <cellStyle name="Comma 4 16 2" xfId="2883" xr:uid="{401AE0C8-41BD-4F5B-8E9C-68FA7BFF3207}"/>
    <cellStyle name="Comma 4 17" xfId="984" xr:uid="{00000000-0005-0000-0000-0000E2030000}"/>
    <cellStyle name="Comma 4 17 2" xfId="2884" xr:uid="{429B0977-9073-4903-8052-25802C7B8072}"/>
    <cellStyle name="Comma 4 18" xfId="985" xr:uid="{00000000-0005-0000-0000-0000E3030000}"/>
    <cellStyle name="Comma 4 18 2" xfId="2885" xr:uid="{3C35AC2C-345D-44A6-A289-CEFCAE1E77C5}"/>
    <cellStyle name="Comma 4 19" xfId="986" xr:uid="{00000000-0005-0000-0000-0000E4030000}"/>
    <cellStyle name="Comma 4 19 2" xfId="2886" xr:uid="{196C727F-3D50-4483-AC3F-F5A140384900}"/>
    <cellStyle name="Comma 4 2" xfId="987" xr:uid="{00000000-0005-0000-0000-0000E5030000}"/>
    <cellStyle name="Comma 4 2 2" xfId="2887" xr:uid="{D3EDE649-77A0-42DB-977D-2C1F9A46354F}"/>
    <cellStyle name="Comma 4 20" xfId="988" xr:uid="{00000000-0005-0000-0000-0000E6030000}"/>
    <cellStyle name="Comma 4 20 2" xfId="2888" xr:uid="{32F192B3-5B03-45AE-A1DB-7F96F264C461}"/>
    <cellStyle name="Comma 4 21" xfId="989" xr:uid="{00000000-0005-0000-0000-0000E7030000}"/>
    <cellStyle name="Comma 4 21 2" xfId="2889" xr:uid="{953C1201-B559-4011-B6FA-F1FBA19BB028}"/>
    <cellStyle name="Comma 4 22" xfId="990" xr:uid="{00000000-0005-0000-0000-0000E8030000}"/>
    <cellStyle name="Comma 4 22 2" xfId="2890" xr:uid="{51626E62-B20B-4CD8-B56E-8A37BE8520E1}"/>
    <cellStyle name="Comma 4 23" xfId="991" xr:uid="{00000000-0005-0000-0000-0000E9030000}"/>
    <cellStyle name="Comma 4 23 2" xfId="2891" xr:uid="{C24D956C-1D96-4AB2-9843-67666CF72984}"/>
    <cellStyle name="Comma 4 24" xfId="992" xr:uid="{00000000-0005-0000-0000-0000EA030000}"/>
    <cellStyle name="Comma 4 24 2" xfId="2892" xr:uid="{2C7E5A37-BD7D-44E3-9B46-E1B47BD991AC}"/>
    <cellStyle name="Comma 4 25" xfId="993" xr:uid="{00000000-0005-0000-0000-0000EB030000}"/>
    <cellStyle name="Comma 4 25 2" xfId="2893" xr:uid="{88E8DA41-CA7F-4750-BE8F-FE2969320490}"/>
    <cellStyle name="Comma 4 26" xfId="994" xr:uid="{00000000-0005-0000-0000-0000EC030000}"/>
    <cellStyle name="Comma 4 26 2" xfId="2894" xr:uid="{01DA838F-2D96-42B4-B9C8-26B123C9A27D}"/>
    <cellStyle name="Comma 4 27" xfId="995" xr:uid="{00000000-0005-0000-0000-0000ED030000}"/>
    <cellStyle name="Comma 4 27 2" xfId="2895" xr:uid="{2E3EE132-44D4-46D9-8DEB-7B9D8C00B192}"/>
    <cellStyle name="Comma 4 28" xfId="996" xr:uid="{00000000-0005-0000-0000-0000EE030000}"/>
    <cellStyle name="Comma 4 28 2" xfId="2896" xr:uid="{53295C9B-0574-4630-B26A-9FADFCB479EF}"/>
    <cellStyle name="Comma 4 29" xfId="997" xr:uid="{00000000-0005-0000-0000-0000EF030000}"/>
    <cellStyle name="Comma 4 29 2" xfId="2897" xr:uid="{64853E0E-AD01-4C32-8E91-33D900E35A58}"/>
    <cellStyle name="Comma 4 3" xfId="998" xr:uid="{00000000-0005-0000-0000-0000F0030000}"/>
    <cellStyle name="Comma 4 3 2" xfId="2898" xr:uid="{CBC51716-E5BF-4D41-9045-733D20F0D828}"/>
    <cellStyle name="Comma 4 30" xfId="999" xr:uid="{00000000-0005-0000-0000-0000F1030000}"/>
    <cellStyle name="Comma 4 30 2" xfId="2899" xr:uid="{21C34074-3FFB-44AB-99EF-204E30A10B30}"/>
    <cellStyle name="Comma 4 31" xfId="1000" xr:uid="{00000000-0005-0000-0000-0000F2030000}"/>
    <cellStyle name="Comma 4 31 2" xfId="2900" xr:uid="{AC67BD3E-46C9-4012-9722-D83B711C7B48}"/>
    <cellStyle name="Comma 4 32" xfId="1001" xr:uid="{00000000-0005-0000-0000-0000F3030000}"/>
    <cellStyle name="Comma 4 32 2" xfId="2901" xr:uid="{5E28BF4D-A0AE-40FA-9B13-5D4433B8B9B9}"/>
    <cellStyle name="Comma 4 33" xfId="1002" xr:uid="{00000000-0005-0000-0000-0000F4030000}"/>
    <cellStyle name="Comma 4 33 2" xfId="2902" xr:uid="{9FA54439-4DE7-462F-9B18-E09628E04FA0}"/>
    <cellStyle name="Comma 4 34" xfId="1003" xr:uid="{00000000-0005-0000-0000-0000F5030000}"/>
    <cellStyle name="Comma 4 34 2" xfId="2903" xr:uid="{6A74419C-2B2E-4F62-8D86-945C56D2F787}"/>
    <cellStyle name="Comma 4 35" xfId="1004" xr:uid="{00000000-0005-0000-0000-0000F6030000}"/>
    <cellStyle name="Comma 4 35 2" xfId="2904" xr:uid="{92D43437-4CDB-4AFE-AA47-17F7C5BA8FE6}"/>
    <cellStyle name="Comma 4 36" xfId="1005" xr:uid="{00000000-0005-0000-0000-0000F7030000}"/>
    <cellStyle name="Comma 4 36 2" xfId="2905" xr:uid="{BD94B2E7-B426-4E5E-9566-FF5C3A0A43CB}"/>
    <cellStyle name="Comma 4 37" xfId="1006" xr:uid="{00000000-0005-0000-0000-0000F8030000}"/>
    <cellStyle name="Comma 4 37 2" xfId="2906" xr:uid="{21BE0A1E-E1C1-47FB-AA3C-7F326402F1DD}"/>
    <cellStyle name="Comma 4 38" xfId="2072" xr:uid="{00000000-0005-0000-0000-0000F9030000}"/>
    <cellStyle name="Comma 4 39" xfId="2876" xr:uid="{1428CD91-DB58-4E60-A47C-12972ABCBE0A}"/>
    <cellStyle name="Comma 4 4" xfId="1007" xr:uid="{00000000-0005-0000-0000-0000FA030000}"/>
    <cellStyle name="Comma 4 4 2" xfId="2907" xr:uid="{6F1B5FDE-1A47-453B-89A7-2E718D1E5975}"/>
    <cellStyle name="Comma 4 5" xfId="1008" xr:uid="{00000000-0005-0000-0000-0000FB030000}"/>
    <cellStyle name="Comma 4 5 2" xfId="2908" xr:uid="{F4041086-E61B-4BBC-A60D-AC2D0E6B6F25}"/>
    <cellStyle name="Comma 4 6" xfId="1009" xr:uid="{00000000-0005-0000-0000-0000FC030000}"/>
    <cellStyle name="Comma 4 6 2" xfId="2909" xr:uid="{D7C18251-D311-44FC-AB95-5EAC9BFF59E0}"/>
    <cellStyle name="Comma 4 7" xfId="1010" xr:uid="{00000000-0005-0000-0000-0000FD030000}"/>
    <cellStyle name="Comma 4 7 2" xfId="2910" xr:uid="{15063E95-7692-4A05-89C8-36353464B13F}"/>
    <cellStyle name="Comma 4 8" xfId="1011" xr:uid="{00000000-0005-0000-0000-0000FE030000}"/>
    <cellStyle name="Comma 4 8 2" xfId="2911" xr:uid="{9A402B93-9D98-471C-B45C-28D064760269}"/>
    <cellStyle name="Comma 4 9" xfId="1012" xr:uid="{00000000-0005-0000-0000-0000FF030000}"/>
    <cellStyle name="Comma 4 9 2" xfId="2912" xr:uid="{47C42E51-94C9-4F28-B6BE-946847F61277}"/>
    <cellStyle name="Comma 4_Equipment" xfId="1013" xr:uid="{00000000-0005-0000-0000-000000040000}"/>
    <cellStyle name="Comma 40" xfId="3844" xr:uid="{39A65549-95B8-4F01-9D49-7F9A10D10E7B}"/>
    <cellStyle name="Comma 41" xfId="3730" xr:uid="{54D70DBB-A0ED-42F1-9A79-6104FD24C6BF}"/>
    <cellStyle name="Comma 42" xfId="3948" xr:uid="{135D13C9-AD76-46AF-90A1-8BB5504A982C}"/>
    <cellStyle name="Comma 43" xfId="3953" xr:uid="{671EE4EA-C37E-497A-BDB0-B43F7FE797BF}"/>
    <cellStyle name="Comma 44" xfId="3965" xr:uid="{91FECB8B-0C6C-4A34-BE85-E2427E30197D}"/>
    <cellStyle name="Comma 45" xfId="4006" xr:uid="{B079C6E2-FBCA-4B6E-B199-DB32FFF5560C}"/>
    <cellStyle name="Comma 46" xfId="3954" xr:uid="{E929D786-B6BE-41A7-A376-895E5759A339}"/>
    <cellStyle name="Comma 5" xfId="1014" xr:uid="{00000000-0005-0000-0000-000001040000}"/>
    <cellStyle name="Comma 5 2" xfId="1015" xr:uid="{00000000-0005-0000-0000-000002040000}"/>
    <cellStyle name="Comma 5 2 2" xfId="2914" xr:uid="{9E0C5411-6772-4159-A3BF-2017DA5CBEC3}"/>
    <cellStyle name="Comma 5 3" xfId="1016" xr:uid="{00000000-0005-0000-0000-000003040000}"/>
    <cellStyle name="Comma 5 3 2" xfId="2915" xr:uid="{C4A84FF3-1F40-4D0F-BA09-6D1B48F1A82D}"/>
    <cellStyle name="Comma 5 4" xfId="1017" xr:uid="{00000000-0005-0000-0000-000004040000}"/>
    <cellStyle name="Comma 5 4 2" xfId="2916" xr:uid="{9023FF17-FB67-4F22-9AEA-59CDADABC644}"/>
    <cellStyle name="Comma 5 5" xfId="1018" xr:uid="{00000000-0005-0000-0000-000005040000}"/>
    <cellStyle name="Comma 5 5 2" xfId="2917" xr:uid="{932D1BF0-33E0-46B2-B7D1-BA0F8278EBD4}"/>
    <cellStyle name="Comma 5 6" xfId="1019" xr:uid="{00000000-0005-0000-0000-000006040000}"/>
    <cellStyle name="Comma 5 6 2" xfId="2918" xr:uid="{0E62645E-B783-440B-BB8D-8C42CF0D9F02}"/>
    <cellStyle name="Comma 5 7" xfId="2078" xr:uid="{00000000-0005-0000-0000-000007040000}"/>
    <cellStyle name="Comma 5 8" xfId="2913" xr:uid="{4FB77AB1-8051-463E-BF33-8D14B11F297A}"/>
    <cellStyle name="Comma 6" xfId="1020" xr:uid="{00000000-0005-0000-0000-000008040000}"/>
    <cellStyle name="Comma 6 2" xfId="1021" xr:uid="{00000000-0005-0000-0000-000009040000}"/>
    <cellStyle name="Comma 6 2 2" xfId="2920" xr:uid="{61C4AE04-E6EA-4B11-8B71-689590054811}"/>
    <cellStyle name="Comma 6 3" xfId="1022" xr:uid="{00000000-0005-0000-0000-00000A040000}"/>
    <cellStyle name="Comma 6 3 2" xfId="2921" xr:uid="{75936554-B6BF-4B5E-AEDF-80223CD08005}"/>
    <cellStyle name="Comma 6 4" xfId="1023" xr:uid="{00000000-0005-0000-0000-00000B040000}"/>
    <cellStyle name="Comma 6 4 2" xfId="2922" xr:uid="{D4C68CDE-8BC5-4405-8218-E1A2D276B318}"/>
    <cellStyle name="Comma 6 5" xfId="1024" xr:uid="{00000000-0005-0000-0000-00000C040000}"/>
    <cellStyle name="Comma 6 5 2" xfId="2923" xr:uid="{D720946B-C5EA-484E-AE8C-6C14B227F4AE}"/>
    <cellStyle name="Comma 6 6" xfId="2919" xr:uid="{84122164-20DC-4DB4-86DD-07BD38D76D85}"/>
    <cellStyle name="Comma 7" xfId="1025" xr:uid="{00000000-0005-0000-0000-00000D040000}"/>
    <cellStyle name="Comma 7 2" xfId="2924" xr:uid="{5617C22A-1DB2-4F36-9408-7EA72FADDAC5}"/>
    <cellStyle name="Comma 8" xfId="1026" xr:uid="{00000000-0005-0000-0000-00000E040000}"/>
    <cellStyle name="Comma 8 2" xfId="1027" xr:uid="{00000000-0005-0000-0000-00000F040000}"/>
    <cellStyle name="Comma 8 2 2" xfId="2926" xr:uid="{AD4C28CB-F800-4DD7-B3D6-B5036FE4ED0C}"/>
    <cellStyle name="Comma 8 3" xfId="1028" xr:uid="{00000000-0005-0000-0000-000010040000}"/>
    <cellStyle name="Comma 8 3 2" xfId="2927" xr:uid="{545DA285-BA32-4245-A5E1-8D2062D1F0F0}"/>
    <cellStyle name="Comma 8 4" xfId="2925" xr:uid="{1C9A754A-EB41-472E-9A8B-4F037E4231EA}"/>
    <cellStyle name="Comma 9" xfId="1029" xr:uid="{00000000-0005-0000-0000-000011040000}"/>
    <cellStyle name="Comma 9 2" xfId="1030" xr:uid="{00000000-0005-0000-0000-000012040000}"/>
    <cellStyle name="Comma 9 2 2" xfId="2929" xr:uid="{3C467F01-FF86-479D-B378-61EA89F6DF9F}"/>
    <cellStyle name="Comma 9 3" xfId="2928" xr:uid="{0FE249F6-F0CD-420B-817F-62310300E207}"/>
    <cellStyle name="comma zerodec" xfId="1031" xr:uid="{00000000-0005-0000-0000-000013040000}"/>
    <cellStyle name="Comma0" xfId="1032" xr:uid="{00000000-0005-0000-0000-000014040000}"/>
    <cellStyle name="Comma0 2" xfId="2930" xr:uid="{C6E4F19E-4ED4-46FE-8070-D4DB3E5923D4}"/>
    <cellStyle name="Curren - Style3" xfId="3693" xr:uid="{0A0DD027-E76D-409C-A64A-D01B05CDC622}"/>
    <cellStyle name="Curren - Style4" xfId="3694" xr:uid="{7AAEE034-6BAF-4732-94BB-17D5F07D85C6}"/>
    <cellStyle name="Currency (0.00)" xfId="1033" xr:uid="{00000000-0005-0000-0000-000015040000}"/>
    <cellStyle name="Currency (0.00) 2" xfId="1034" xr:uid="{00000000-0005-0000-0000-000016040000}"/>
    <cellStyle name="Currency (0.00) 2 2" xfId="2932" xr:uid="{D3E5F373-25A5-4A19-A4A9-142B7F3081DB}"/>
    <cellStyle name="Currency (0.00) 2 3" xfId="3790" xr:uid="{6E471F5F-02CE-42BE-9B16-7D25AA635B35}"/>
    <cellStyle name="Currency (0.00) 2 4" xfId="3986" xr:uid="{2CE84CF6-1922-4FDA-AC27-4183A80EF399}"/>
    <cellStyle name="Currency (0.00) 2 5" xfId="3983" xr:uid="{23EDD2F1-54F0-4D12-82FD-463741440090}"/>
    <cellStyle name="Currency (0.00) 3" xfId="2931" xr:uid="{BF131312-169C-4189-8682-6D4BAED4DFA2}"/>
    <cellStyle name="Currency (0.00) 4" xfId="3789" xr:uid="{364D8144-7478-4475-A9E5-15A78B9BB6AC}"/>
    <cellStyle name="Currency (0.00) 5" xfId="3985" xr:uid="{863D3D6E-BF6B-4A72-8A53-8B1A82A00951}"/>
    <cellStyle name="Currency (0.00) 6" xfId="3984" xr:uid="{14F4DDB6-EFF2-41C5-B20F-0007CAA97971}"/>
    <cellStyle name="Currency (0.00)_Equipment" xfId="1035" xr:uid="{00000000-0005-0000-0000-000017040000}"/>
    <cellStyle name="Currency [00]" xfId="1036" xr:uid="{00000000-0005-0000-0000-000018040000}"/>
    <cellStyle name="Currency [00] 2" xfId="1037" xr:uid="{00000000-0005-0000-0000-000019040000}"/>
    <cellStyle name="Currency [00] 2 2" xfId="2934" xr:uid="{C6506C9F-A547-4F4A-901E-BC1384FFB85B}"/>
    <cellStyle name="Currency [00] 3" xfId="2933" xr:uid="{37439258-E864-4899-84F0-1DE7963381FF}"/>
    <cellStyle name="Currency [00]_Equipment" xfId="1038" xr:uid="{00000000-0005-0000-0000-00001A040000}"/>
    <cellStyle name="Currency 10" xfId="3695" xr:uid="{6E93303F-D17B-49AF-878E-5FE45D81BD6A}"/>
    <cellStyle name="Currency 2" xfId="1039" xr:uid="{00000000-0005-0000-0000-00001B040000}"/>
    <cellStyle name="Currency 2 2" xfId="1040" xr:uid="{00000000-0005-0000-0000-00001C040000}"/>
    <cellStyle name="Currency 2 2 2" xfId="2936" xr:uid="{D355A153-DEF8-4892-BE53-1D79DEF65357}"/>
    <cellStyle name="Currency 2 3" xfId="1041" xr:uid="{00000000-0005-0000-0000-00001D040000}"/>
    <cellStyle name="Currency 2 3 2" xfId="2937" xr:uid="{396B6563-B060-4AB4-B4BC-A66115737247}"/>
    <cellStyle name="Currency 2 4" xfId="2079" xr:uid="{00000000-0005-0000-0000-00001E040000}"/>
    <cellStyle name="Currency 2 5" xfId="2935" xr:uid="{130E0F30-449B-40FA-AD0C-80AF40693420}"/>
    <cellStyle name="Currency 3" xfId="1042" xr:uid="{00000000-0005-0000-0000-00001F040000}"/>
    <cellStyle name="Currency 3 2" xfId="2938" xr:uid="{D6563C9F-4E03-453D-8705-BD886387A5EB}"/>
    <cellStyle name="Currency0" xfId="1043" xr:uid="{00000000-0005-0000-0000-000020040000}"/>
    <cellStyle name="Currency0 2" xfId="1044" xr:uid="{00000000-0005-0000-0000-000021040000}"/>
    <cellStyle name="Currency0 2 2" xfId="2940" xr:uid="{D5938AD1-AF30-428D-9FB5-07015315CC21}"/>
    <cellStyle name="Currency0 3" xfId="2939" xr:uid="{9EC842AE-449C-4C58-A4AE-75F3D5D8BD0D}"/>
    <cellStyle name="Currency1" xfId="1045" xr:uid="{00000000-0005-0000-0000-000022040000}"/>
    <cellStyle name="Date" xfId="1046" xr:uid="{00000000-0005-0000-0000-000023040000}"/>
    <cellStyle name="Date 2" xfId="1047" xr:uid="{00000000-0005-0000-0000-000024040000}"/>
    <cellStyle name="Date 2 2" xfId="1048" xr:uid="{00000000-0005-0000-0000-000025040000}"/>
    <cellStyle name="Date 2 2 2" xfId="2943" xr:uid="{7CAB86BB-4960-447E-B384-1649CEB568B3}"/>
    <cellStyle name="Date 2 3" xfId="2942" xr:uid="{0C0CA584-0DBE-45D7-9E96-A1FC10302137}"/>
    <cellStyle name="Date 3" xfId="1049" xr:uid="{00000000-0005-0000-0000-000026040000}"/>
    <cellStyle name="Date 3 2" xfId="2944" xr:uid="{FBAF911D-796A-4585-A164-1FC933C5E5A8}"/>
    <cellStyle name="Date 4" xfId="2941" xr:uid="{9422A202-B5DE-4A12-A68A-AF8C682F9555}"/>
    <cellStyle name="Date Short" xfId="1050" xr:uid="{00000000-0005-0000-0000-000027040000}"/>
    <cellStyle name="Dollar (zero dec)" xfId="1051" xr:uid="{00000000-0005-0000-0000-000028040000}"/>
    <cellStyle name="Enter Currency (0)" xfId="1052" xr:uid="{00000000-0005-0000-0000-000029040000}"/>
    <cellStyle name="Enter Currency (0) 2" xfId="1053" xr:uid="{00000000-0005-0000-0000-00002A040000}"/>
    <cellStyle name="Enter Currency (0)_Equipment" xfId="1054" xr:uid="{00000000-0005-0000-0000-00002B040000}"/>
    <cellStyle name="Enter Currency (2)" xfId="1055" xr:uid="{00000000-0005-0000-0000-00002C040000}"/>
    <cellStyle name="Enter Currency (2) 2" xfId="1056" xr:uid="{00000000-0005-0000-0000-00002D040000}"/>
    <cellStyle name="Enter Currency (2)_Equipment" xfId="1057" xr:uid="{00000000-0005-0000-0000-00002E040000}"/>
    <cellStyle name="Enter Units (0)" xfId="1058" xr:uid="{00000000-0005-0000-0000-00002F040000}"/>
    <cellStyle name="Enter Units (0) 2" xfId="1059" xr:uid="{00000000-0005-0000-0000-000030040000}"/>
    <cellStyle name="Enter Units (0)_Equipment" xfId="1060" xr:uid="{00000000-0005-0000-0000-000031040000}"/>
    <cellStyle name="Enter Units (1)" xfId="1061" xr:uid="{00000000-0005-0000-0000-000032040000}"/>
    <cellStyle name="Enter Units (1) 2" xfId="1062" xr:uid="{00000000-0005-0000-0000-000033040000}"/>
    <cellStyle name="Enter Units (1)_Equipment" xfId="1063" xr:uid="{00000000-0005-0000-0000-000034040000}"/>
    <cellStyle name="Enter Units (2)" xfId="1064" xr:uid="{00000000-0005-0000-0000-000035040000}"/>
    <cellStyle name="Enter Units (2) 2" xfId="1065" xr:uid="{00000000-0005-0000-0000-000036040000}"/>
    <cellStyle name="Enter Units (2)_Equipment" xfId="1066" xr:uid="{00000000-0005-0000-0000-000037040000}"/>
    <cellStyle name="Excel Built-in Comma" xfId="1067" xr:uid="{00000000-0005-0000-0000-000038040000}"/>
    <cellStyle name="Excel Built-in Comma [0]" xfId="1068" xr:uid="{00000000-0005-0000-0000-000039040000}"/>
    <cellStyle name="Excel Built-in Comma_Buma Equipment List update" xfId="1069" xr:uid="{00000000-0005-0000-0000-00003A040000}"/>
    <cellStyle name="Excel Built-in Normal" xfId="1070" xr:uid="{00000000-0005-0000-0000-00003B040000}"/>
    <cellStyle name="Excel Built-in Normal 2" xfId="1071" xr:uid="{00000000-0005-0000-0000-00003C040000}"/>
    <cellStyle name="Excel Built-in Normal 3" xfId="2945" xr:uid="{277B7E79-8092-4160-AD5B-7308215041F0}"/>
    <cellStyle name="Excel Built-in Normal_Buma Equipment List update" xfId="1072" xr:uid="{00000000-0005-0000-0000-00003D040000}"/>
    <cellStyle name="Excel_BuiltIn_Percent 1" xfId="1073" xr:uid="{00000000-0005-0000-0000-00003E040000}"/>
    <cellStyle name="Explanatory Text" xfId="1074" builtinId="53" customBuiltin="1"/>
    <cellStyle name="Explanatory Text 2" xfId="1075" xr:uid="{00000000-0005-0000-0000-000040040000}"/>
    <cellStyle name="Explanatory Text 2 2" xfId="1076" xr:uid="{00000000-0005-0000-0000-000041040000}"/>
    <cellStyle name="Explanatory Text 2 2 2" xfId="2947" xr:uid="{ABEA2351-4FF0-4B0B-8A0D-961DB2DD9B97}"/>
    <cellStyle name="Explanatory Text 2 3" xfId="1077" xr:uid="{00000000-0005-0000-0000-000042040000}"/>
    <cellStyle name="Explanatory Text 2 3 2" xfId="2948" xr:uid="{A69709CD-60AE-4400-8EB4-27B55EBA4B03}"/>
    <cellStyle name="Explanatory Text 2 4" xfId="1078" xr:uid="{00000000-0005-0000-0000-000043040000}"/>
    <cellStyle name="Explanatory Text 2 4 2" xfId="2949" xr:uid="{D45ACE86-D65E-4CD7-9D22-55BB8006973B}"/>
    <cellStyle name="Explanatory Text 2 5" xfId="1079" xr:uid="{00000000-0005-0000-0000-000044040000}"/>
    <cellStyle name="Explanatory Text 2 5 2" xfId="2950" xr:uid="{DC6BFDF7-B2FC-4677-B3C5-687C5988AB86}"/>
    <cellStyle name="Explanatory Text 2 6" xfId="1080" xr:uid="{00000000-0005-0000-0000-000045040000}"/>
    <cellStyle name="Explanatory Text 2 6 2" xfId="2951" xr:uid="{5335A72E-5A18-46EF-918D-1B6B9AE2E77E}"/>
    <cellStyle name="Explanatory Text 2 7" xfId="2946" xr:uid="{7E53568E-6063-44FC-8501-3B64E1F40BA6}"/>
    <cellStyle name="Explanatory Text 3" xfId="1081" xr:uid="{00000000-0005-0000-0000-000046040000}"/>
    <cellStyle name="Explanatory Text 3 2" xfId="1082" xr:uid="{00000000-0005-0000-0000-000047040000}"/>
    <cellStyle name="Explanatory Text 3 2 2" xfId="2953" xr:uid="{C9AD3DA2-610D-4200-9EA3-632C43490986}"/>
    <cellStyle name="Explanatory Text 3 3" xfId="2952" xr:uid="{DDFB32A4-6474-4B35-8A9E-CF1FE9460784}"/>
    <cellStyle name="Explanatory Text 4" xfId="1083" xr:uid="{00000000-0005-0000-0000-000048040000}"/>
    <cellStyle name="Explanatory Text 4 2" xfId="1084" xr:uid="{00000000-0005-0000-0000-000049040000}"/>
    <cellStyle name="Explanatory Text 4 2 2" xfId="2955" xr:uid="{8D1059A6-0CE7-4675-ACC0-FAF50EDD7F08}"/>
    <cellStyle name="Explanatory Text 4 3" xfId="2954" xr:uid="{B735C080-5C4F-4591-AAC6-834A830356FE}"/>
    <cellStyle name="Explanatory Text 5" xfId="4018" xr:uid="{E4B2A1BF-4F65-4404-B48E-BEF96110BB17}"/>
    <cellStyle name="Fixed" xfId="1085" xr:uid="{00000000-0005-0000-0000-00004A040000}"/>
    <cellStyle name="Fixed 2" xfId="2956" xr:uid="{45397DCB-FA47-4A33-863A-FF64CE4FE528}"/>
    <cellStyle name="Good" xfId="1086" builtinId="26" customBuiltin="1"/>
    <cellStyle name="Good 2" xfId="1087" xr:uid="{00000000-0005-0000-0000-00004C040000}"/>
    <cellStyle name="Good 2 2" xfId="1088" xr:uid="{00000000-0005-0000-0000-00004D040000}"/>
    <cellStyle name="Good 2 2 2" xfId="2958" xr:uid="{5E8ED375-CF9F-4608-852D-E994730CEA5C}"/>
    <cellStyle name="Good 2 3" xfId="1089" xr:uid="{00000000-0005-0000-0000-00004E040000}"/>
    <cellStyle name="Good 2 3 2" xfId="2959" xr:uid="{61E6501F-3096-44D4-A737-57C353134C96}"/>
    <cellStyle name="Good 2 4" xfId="1090" xr:uid="{00000000-0005-0000-0000-00004F040000}"/>
    <cellStyle name="Good 2 4 2" xfId="2960" xr:uid="{ABE872C8-EEF8-467C-B4DA-238FFA1FE83B}"/>
    <cellStyle name="Good 2 5" xfId="1091" xr:uid="{00000000-0005-0000-0000-000050040000}"/>
    <cellStyle name="Good 2 5 2" xfId="2961" xr:uid="{EA5D0BB7-62E5-4387-8205-2BFC0815F7F7}"/>
    <cellStyle name="Good 2 6" xfId="1092" xr:uid="{00000000-0005-0000-0000-000051040000}"/>
    <cellStyle name="Good 2 6 2" xfId="2962" xr:uid="{5FB54F3E-23A5-43E5-8CC0-ABDCA2A8877C}"/>
    <cellStyle name="Good 2 7" xfId="2957" xr:uid="{B9F34682-4297-4870-A160-7F133EB8FB13}"/>
    <cellStyle name="Good 3" xfId="1093" xr:uid="{00000000-0005-0000-0000-000052040000}"/>
    <cellStyle name="Good 3 2" xfId="1094" xr:uid="{00000000-0005-0000-0000-000053040000}"/>
    <cellStyle name="Good 3 2 2" xfId="2964" xr:uid="{2BE4C75D-D737-4A00-A08F-0F8D23E8EF95}"/>
    <cellStyle name="Good 3 3" xfId="2963" xr:uid="{49D63763-63F0-4A92-BCB6-8BC674D53335}"/>
    <cellStyle name="Good 4" xfId="1095" xr:uid="{00000000-0005-0000-0000-000054040000}"/>
    <cellStyle name="Good 4 2" xfId="1096" xr:uid="{00000000-0005-0000-0000-000055040000}"/>
    <cellStyle name="Good 4 2 2" xfId="2966" xr:uid="{7BE85419-E04A-4108-9763-968DF0391521}"/>
    <cellStyle name="Good 4 3" xfId="2965" xr:uid="{B62E4FB0-A2F1-4CEC-82C4-B0BC187229B2}"/>
    <cellStyle name="Grey" xfId="1097" xr:uid="{00000000-0005-0000-0000-000056040000}"/>
    <cellStyle name="Grey 2" xfId="2967" xr:uid="{3B560A97-B0DC-413F-8A39-9FA7CE81F524}"/>
    <cellStyle name="header" xfId="1098" xr:uid="{00000000-0005-0000-0000-000057040000}"/>
    <cellStyle name="header 2" xfId="1099" xr:uid="{00000000-0005-0000-0000-000058040000}"/>
    <cellStyle name="header 2 2" xfId="1100" xr:uid="{00000000-0005-0000-0000-000059040000}"/>
    <cellStyle name="header 2 2 2" xfId="2970" xr:uid="{3E7AAE36-65A2-4AFD-B612-773D1F5B1066}"/>
    <cellStyle name="header 2 3" xfId="2969" xr:uid="{FCD9388D-F387-4A81-BD44-E4618E148932}"/>
    <cellStyle name="header 3" xfId="1101" xr:uid="{00000000-0005-0000-0000-00005A040000}"/>
    <cellStyle name="header 3 2" xfId="2971" xr:uid="{AF339AB1-D59F-4407-861A-F6BC7D4744B2}"/>
    <cellStyle name="header 4" xfId="2968" xr:uid="{57B25968-B624-4132-AED4-145F54828F6A}"/>
    <cellStyle name="HEADER_08. Monthly Report_Aug_2011" xfId="1102" xr:uid="{00000000-0005-0000-0000-00005B040000}"/>
    <cellStyle name="Header1" xfId="1103" xr:uid="{00000000-0005-0000-0000-00005C040000}"/>
    <cellStyle name="Header1 2" xfId="1104" xr:uid="{00000000-0005-0000-0000-00005D040000}"/>
    <cellStyle name="Header1 2 2" xfId="1105" xr:uid="{00000000-0005-0000-0000-00005E040000}"/>
    <cellStyle name="Header1 2 2 2" xfId="2974" xr:uid="{9AA0250D-89D3-4757-BDC0-2574A2575141}"/>
    <cellStyle name="Header1 2 3" xfId="2973" xr:uid="{F054ECEF-2E13-45C2-9849-9C5EBBC1EE74}"/>
    <cellStyle name="Header1 3" xfId="1106" xr:uid="{00000000-0005-0000-0000-00005F040000}"/>
    <cellStyle name="Header1 3 2" xfId="2975" xr:uid="{36085EEF-94AB-46B1-96E3-07AC74D2FDDB}"/>
    <cellStyle name="Header1 4" xfId="1107" xr:uid="{00000000-0005-0000-0000-000060040000}"/>
    <cellStyle name="Header1 4 2" xfId="2976" xr:uid="{23F9FAAB-2F23-4FB8-9556-563A5685E0DF}"/>
    <cellStyle name="Header1 5" xfId="1108" xr:uid="{00000000-0005-0000-0000-000061040000}"/>
    <cellStyle name="Header1 5 2" xfId="2977" xr:uid="{60606781-7577-4062-9F06-50294211EF65}"/>
    <cellStyle name="Header1 6" xfId="2972" xr:uid="{82E22B27-69DF-4FDD-9FD4-04810FBEF021}"/>
    <cellStyle name="Header2" xfId="1109" xr:uid="{00000000-0005-0000-0000-000062040000}"/>
    <cellStyle name="Header2 10" xfId="3987" xr:uid="{C23DB501-6219-4EE3-8ED8-0AFF3D464D45}"/>
    <cellStyle name="Header2 11" xfId="3982" xr:uid="{C1B7F3E0-3981-4C8A-9C34-92E1531A8B19}"/>
    <cellStyle name="Header2 2" xfId="1110" xr:uid="{00000000-0005-0000-0000-000063040000}"/>
    <cellStyle name="Header2 2 2" xfId="1111" xr:uid="{00000000-0005-0000-0000-000064040000}"/>
    <cellStyle name="Header2 2 2 2" xfId="2980" xr:uid="{D64A4FC1-0E50-4636-AB51-0BAF06C8406F}"/>
    <cellStyle name="Header2 2 2 3" xfId="3793" xr:uid="{D8153317-FCA0-44E8-8474-8DB53331463C}"/>
    <cellStyle name="Header2 2 2 4" xfId="3786" xr:uid="{F90A3351-D8FD-450F-A96A-ADB08F6FDB2A}"/>
    <cellStyle name="Header2 2 2 5" xfId="3933" xr:uid="{E2BBD81B-9E52-47B9-A920-47F970FFD839}"/>
    <cellStyle name="Header2 2 2 6" xfId="3989" xr:uid="{5C5E943F-E918-4726-9F20-652D782E6721}"/>
    <cellStyle name="Header2 2 2 7" xfId="3980" xr:uid="{DB25174D-4B97-41B5-8E7C-648C9A6A2414}"/>
    <cellStyle name="Header2 2 3" xfId="2979" xr:uid="{2F545E71-9025-4E20-8797-D8BD68D31BDE}"/>
    <cellStyle name="Header2 2 4" xfId="3792" xr:uid="{F128070D-05A7-47B5-BA88-211C6EA700B7}"/>
    <cellStyle name="Header2 2 5" xfId="3787" xr:uid="{B15A6AC7-B18B-4292-960B-F7BE08110ACC}"/>
    <cellStyle name="Header2 2 6" xfId="3934" xr:uid="{3BF429EF-C5A4-4665-80A6-E2286CC9BF19}"/>
    <cellStyle name="Header2 2 7" xfId="3988" xr:uid="{DD63EE4A-5F5C-4BC6-8A5B-8A466A48AE02}"/>
    <cellStyle name="Header2 2 8" xfId="3981" xr:uid="{AA77525A-6421-4EF9-94A9-675351385C86}"/>
    <cellStyle name="Header2 3" xfId="1112" xr:uid="{00000000-0005-0000-0000-000065040000}"/>
    <cellStyle name="Header2 3 2" xfId="2981" xr:uid="{0B8BBB73-8FD8-4C57-B82F-3BABFE2F9ECC}"/>
    <cellStyle name="Header2 3 3" xfId="3794" xr:uid="{828652C6-A3AD-4E9C-A0A4-3F01343D74AF}"/>
    <cellStyle name="Header2 3 4" xfId="3785" xr:uid="{E49EFED4-9FF8-4202-AD1E-3FF98FC7AAE0}"/>
    <cellStyle name="Header2 3 5" xfId="3932" xr:uid="{7532BB63-B25C-44B5-AEF1-2FC59497695E}"/>
    <cellStyle name="Header2 3 6" xfId="3990" xr:uid="{4CCCB11B-D193-4452-AA1F-96B65FDC4B1D}"/>
    <cellStyle name="Header2 3 7" xfId="3979" xr:uid="{F5E3CFDB-7467-4B91-9C37-ABC755389B7C}"/>
    <cellStyle name="Header2 4" xfId="1113" xr:uid="{00000000-0005-0000-0000-000066040000}"/>
    <cellStyle name="Header2 4 2" xfId="2982" xr:uid="{B46CDD53-47BF-4A59-8837-FB197F36F6E0}"/>
    <cellStyle name="Header2 4 3" xfId="3795" xr:uid="{ECB12D91-2412-47B9-9CEB-C8C49CCD9FB1}"/>
    <cellStyle name="Header2 4 4" xfId="3784" xr:uid="{19C4CF32-E2EB-4BBA-9CAC-E3C7AB2D8F2B}"/>
    <cellStyle name="Header2 4 5" xfId="3931" xr:uid="{9DF88B71-EBAC-4070-97AA-5F7DE0860F85}"/>
    <cellStyle name="Header2 4 6" xfId="3991" xr:uid="{21F40C61-22DC-4484-9A6F-DAAEFCB15304}"/>
    <cellStyle name="Header2 4 7" xfId="3978" xr:uid="{C1FB197C-773F-444F-8134-8357F19AD063}"/>
    <cellStyle name="Header2 5" xfId="1114" xr:uid="{00000000-0005-0000-0000-000067040000}"/>
    <cellStyle name="Header2 5 2" xfId="2983" xr:uid="{AAA0F530-5353-4DCB-AA05-026A8B3CEAB5}"/>
    <cellStyle name="Header2 5 3" xfId="3796" xr:uid="{D503BACF-FB9F-41A0-82AD-B72D8CC2F56D}"/>
    <cellStyle name="Header2 5 4" xfId="3783" xr:uid="{BBC88EAB-4686-486A-8CAD-E244714292AB}"/>
    <cellStyle name="Header2 5 5" xfId="3930" xr:uid="{B9D2029F-812A-4B13-BBA7-2E15CF91BB7E}"/>
    <cellStyle name="Header2 5 6" xfId="3992" xr:uid="{CA5A4F70-79C1-4D32-9156-E4B8E7AFF4D3}"/>
    <cellStyle name="Header2 5 7" xfId="3977" xr:uid="{91302317-A976-4C2F-BB74-B30C304F9358}"/>
    <cellStyle name="Header2 6" xfId="2978" xr:uid="{3079EC1D-0A9C-48C9-B97F-C396A4ADF9FF}"/>
    <cellStyle name="Header2 7" xfId="3791" xr:uid="{3EF1644F-92F7-4724-BB8C-7A2A9FEF499A}"/>
    <cellStyle name="Header2 8" xfId="3788" xr:uid="{03BCFEE0-22C0-4DBC-84ED-361AD2F50209}"/>
    <cellStyle name="Header2 9" xfId="3935" xr:uid="{2AB430FD-9A5C-4851-BB72-3607D6C494FE}"/>
    <cellStyle name="Header2_Equipment" xfId="1115" xr:uid="{00000000-0005-0000-0000-000068040000}"/>
    <cellStyle name="Heading 1" xfId="1116" builtinId="16" customBuiltin="1"/>
    <cellStyle name="Heading 1 2" xfId="1117" xr:uid="{00000000-0005-0000-0000-00006A040000}"/>
    <cellStyle name="Heading 1 2 10" xfId="3993" xr:uid="{49D76F6D-C350-4EC0-99AA-9146BE07CD85}"/>
    <cellStyle name="Heading 1 2 2" xfId="1118" xr:uid="{00000000-0005-0000-0000-00006B040000}"/>
    <cellStyle name="Heading 1 2 2 2" xfId="1119" xr:uid="{00000000-0005-0000-0000-00006C040000}"/>
    <cellStyle name="Heading 1 2 2 2 2" xfId="2986" xr:uid="{1F19CF69-8D48-48B7-A2C2-42E15447328C}"/>
    <cellStyle name="Heading 1 2 2 3" xfId="1120" xr:uid="{00000000-0005-0000-0000-00006D040000}"/>
    <cellStyle name="Heading 1 2 2 3 2" xfId="2987" xr:uid="{FFCCFD96-D28D-41E2-A26D-B250625FE264}"/>
    <cellStyle name="Heading 1 2 2 4" xfId="2985" xr:uid="{DBC39064-C1B5-4331-BFDD-CEDEAE2C7B01}"/>
    <cellStyle name="Heading 1 2 2_Buma Equipment List update" xfId="1121" xr:uid="{00000000-0005-0000-0000-00006E040000}"/>
    <cellStyle name="Heading 1 2 3" xfId="1122" xr:uid="{00000000-0005-0000-0000-00006F040000}"/>
    <cellStyle name="Heading 1 2 3 2" xfId="2988" xr:uid="{89E2E077-BA7C-47CB-BCAA-96A9A83697B8}"/>
    <cellStyle name="Heading 1 2 4" xfId="1123" xr:uid="{00000000-0005-0000-0000-000070040000}"/>
    <cellStyle name="Heading 1 2 4 2" xfId="2989" xr:uid="{2D9B9BAB-5B67-409A-9CFA-205F8CF3F9A3}"/>
    <cellStyle name="Heading 1 2 5" xfId="1124" xr:uid="{00000000-0005-0000-0000-000071040000}"/>
    <cellStyle name="Heading 1 2 5 2" xfId="2990" xr:uid="{A050620E-5A21-430A-B472-0E83F1756ACA}"/>
    <cellStyle name="Heading 1 2 6" xfId="1125" xr:uid="{00000000-0005-0000-0000-000072040000}"/>
    <cellStyle name="Heading 1 2 6 2" xfId="2991" xr:uid="{85C63C0F-07C6-4B6D-B046-D0443FB2FB4D}"/>
    <cellStyle name="Heading 1 2 7" xfId="1126" xr:uid="{00000000-0005-0000-0000-000073040000}"/>
    <cellStyle name="Heading 1 2 7 2" xfId="2992" xr:uid="{CA4C0887-8075-4D0F-A9E7-DB09ACDF6AD8}"/>
    <cellStyle name="Heading 1 2 8" xfId="2984" xr:uid="{7CC4DAC7-FBA0-4210-96A5-39C9EACF2204}"/>
    <cellStyle name="Heading 1 2 9" xfId="3551" xr:uid="{C5CC9D98-5A83-4E16-AA3D-7C9FEBB8EEB8}"/>
    <cellStyle name="Heading 1 3" xfId="1127" xr:uid="{00000000-0005-0000-0000-000074040000}"/>
    <cellStyle name="Heading 1 3 2" xfId="1128" xr:uid="{00000000-0005-0000-0000-000075040000}"/>
    <cellStyle name="Heading 1 3 2 2" xfId="2994" xr:uid="{A06BEE7F-97FE-434C-A01F-2198A3557149}"/>
    <cellStyle name="Heading 1 3 3" xfId="2993" xr:uid="{029D4C92-FCB8-4D8D-BACD-75FCFFFAAC73}"/>
    <cellStyle name="Heading 1 3_Buma Equipment List update" xfId="1129" xr:uid="{00000000-0005-0000-0000-000076040000}"/>
    <cellStyle name="Heading 1 4" xfId="1130" xr:uid="{00000000-0005-0000-0000-000077040000}"/>
    <cellStyle name="Heading 1 4 2" xfId="1131" xr:uid="{00000000-0005-0000-0000-000078040000}"/>
    <cellStyle name="Heading 1 4 2 2" xfId="2996" xr:uid="{E71AC738-216B-4DE9-AB6C-FD8D0186381A}"/>
    <cellStyle name="Heading 1 4 3" xfId="2995" xr:uid="{16F8AACF-957A-43F4-959A-72522CF5F5BD}"/>
    <cellStyle name="Heading 1 4_Buma Equipment List update" xfId="1132" xr:uid="{00000000-0005-0000-0000-000079040000}"/>
    <cellStyle name="Heading 2" xfId="1133" builtinId="17" customBuiltin="1"/>
    <cellStyle name="Heading 2 2" xfId="1134" xr:uid="{00000000-0005-0000-0000-00007B040000}"/>
    <cellStyle name="Heading 2 2 10" xfId="3994" xr:uid="{FFA89402-2A22-439D-97A9-8BE24C0C573F}"/>
    <cellStyle name="Heading 2 2 2" xfId="1135" xr:uid="{00000000-0005-0000-0000-00007C040000}"/>
    <cellStyle name="Heading 2 2 2 2" xfId="1136" xr:uid="{00000000-0005-0000-0000-00007D040000}"/>
    <cellStyle name="Heading 2 2 2 2 2" xfId="2999" xr:uid="{3CB6248A-6A2E-449E-A979-F1764185023F}"/>
    <cellStyle name="Heading 2 2 2 3" xfId="1137" xr:uid="{00000000-0005-0000-0000-00007E040000}"/>
    <cellStyle name="Heading 2 2 2 3 2" xfId="3000" xr:uid="{41F347FB-E581-40FB-969A-7BA4C4284643}"/>
    <cellStyle name="Heading 2 2 2 4" xfId="2998" xr:uid="{9DA95740-289F-4802-9CEA-D425C4200E20}"/>
    <cellStyle name="Heading 2 2 2_Buma Equipment List update" xfId="1138" xr:uid="{00000000-0005-0000-0000-00007F040000}"/>
    <cellStyle name="Heading 2 2 3" xfId="1139" xr:uid="{00000000-0005-0000-0000-000080040000}"/>
    <cellStyle name="Heading 2 2 3 2" xfId="3001" xr:uid="{44C60946-0AD4-4C4A-A481-5A80F622D34D}"/>
    <cellStyle name="Heading 2 2 4" xfId="1140" xr:uid="{00000000-0005-0000-0000-000081040000}"/>
    <cellStyle name="Heading 2 2 4 2" xfId="3002" xr:uid="{80B69E09-6688-4DB7-8DAA-001DBF8F5717}"/>
    <cellStyle name="Heading 2 2 5" xfId="1141" xr:uid="{00000000-0005-0000-0000-000082040000}"/>
    <cellStyle name="Heading 2 2 5 2" xfId="3003" xr:uid="{01A59C2F-BCA2-4FD8-8AD7-78F4B3347BC7}"/>
    <cellStyle name="Heading 2 2 6" xfId="1142" xr:uid="{00000000-0005-0000-0000-000083040000}"/>
    <cellStyle name="Heading 2 2 6 2" xfId="3004" xr:uid="{2926EEBF-B549-44E2-A25C-04F272346FEC}"/>
    <cellStyle name="Heading 2 2 7" xfId="1143" xr:uid="{00000000-0005-0000-0000-000084040000}"/>
    <cellStyle name="Heading 2 2 7 2" xfId="3005" xr:uid="{780E13E6-A76D-447D-B3DB-58ADE6EE73C9}"/>
    <cellStyle name="Heading 2 2 8" xfId="2997" xr:uid="{193AD640-8A59-41F1-A386-990AD65370B7}"/>
    <cellStyle name="Heading 2 2 9" xfId="3552" xr:uid="{4ACDCC2F-D7E5-4036-83CE-FA6798FA988A}"/>
    <cellStyle name="Heading 2 3" xfId="1144" xr:uid="{00000000-0005-0000-0000-000085040000}"/>
    <cellStyle name="Heading 2 3 2" xfId="1145" xr:uid="{00000000-0005-0000-0000-000086040000}"/>
    <cellStyle name="Heading 2 3 2 2" xfId="3007" xr:uid="{CE274C31-A487-4244-A295-AE6D1DF81676}"/>
    <cellStyle name="Heading 2 3 3" xfId="3006" xr:uid="{18D3C524-0AEF-4201-9DA2-68CBA4FF2E17}"/>
    <cellStyle name="Heading 2 3_Buma Equipment List update" xfId="1146" xr:uid="{00000000-0005-0000-0000-000087040000}"/>
    <cellStyle name="Heading 2 4" xfId="1147" xr:uid="{00000000-0005-0000-0000-000088040000}"/>
    <cellStyle name="Heading 2 4 2" xfId="1148" xr:uid="{00000000-0005-0000-0000-000089040000}"/>
    <cellStyle name="Heading 2 4 2 2" xfId="3009" xr:uid="{16C006B4-2CD7-4A0E-97CA-95BFEF44279E}"/>
    <cellStyle name="Heading 2 4 3" xfId="3008" xr:uid="{0AC1B98C-5CD8-48DD-96FB-6DE1E4E944C1}"/>
    <cellStyle name="Heading 2 4_Buma Equipment List update" xfId="1149" xr:uid="{00000000-0005-0000-0000-00008A040000}"/>
    <cellStyle name="Heading 3" xfId="1150" builtinId="18" customBuiltin="1"/>
    <cellStyle name="Heading 3 2" xfId="1151" xr:uid="{00000000-0005-0000-0000-00008C040000}"/>
    <cellStyle name="Heading 3 2 2" xfId="1152" xr:uid="{00000000-0005-0000-0000-00008D040000}"/>
    <cellStyle name="Heading 3 2 2 2" xfId="3011" xr:uid="{EBDB900F-E483-4E55-8D03-48DFD0218284}"/>
    <cellStyle name="Heading 3 2 3" xfId="1153" xr:uid="{00000000-0005-0000-0000-00008E040000}"/>
    <cellStyle name="Heading 3 2 3 2" xfId="3012" xr:uid="{F733FD02-FA52-4FB8-876D-19F79CECF06C}"/>
    <cellStyle name="Heading 3 2 4" xfId="1154" xr:uid="{00000000-0005-0000-0000-00008F040000}"/>
    <cellStyle name="Heading 3 2 4 2" xfId="3013" xr:uid="{9C55B456-8AFB-4075-AB75-45BF621F6438}"/>
    <cellStyle name="Heading 3 2 5" xfId="1155" xr:uid="{00000000-0005-0000-0000-000090040000}"/>
    <cellStyle name="Heading 3 2 5 2" xfId="3014" xr:uid="{5DBB756B-79D6-4337-9352-E46EB4490DA2}"/>
    <cellStyle name="Heading 3 2 6" xfId="1156" xr:uid="{00000000-0005-0000-0000-000091040000}"/>
    <cellStyle name="Heading 3 2 6 2" xfId="3015" xr:uid="{23AA0AA1-869B-4917-AAC8-18AEDA005136}"/>
    <cellStyle name="Heading 3 2 7" xfId="2074" xr:uid="{00000000-0005-0000-0000-000092040000}"/>
    <cellStyle name="Heading 3 2 8" xfId="3010" xr:uid="{1B5A2A27-C213-4E2B-A94C-F865A1D1378F}"/>
    <cellStyle name="Heading 3 2_Buma Equipment List update" xfId="1157" xr:uid="{00000000-0005-0000-0000-000093040000}"/>
    <cellStyle name="Heading 3 3" xfId="1158" xr:uid="{00000000-0005-0000-0000-000094040000}"/>
    <cellStyle name="Heading 3 3 2" xfId="1159" xr:uid="{00000000-0005-0000-0000-000095040000}"/>
    <cellStyle name="Heading 3 3 2 2" xfId="3017" xr:uid="{F13B6AAB-1A75-4414-9BF5-DE97EA407B03}"/>
    <cellStyle name="Heading 3 3 3" xfId="3016" xr:uid="{C1D98A1C-0078-402E-8B6B-0FD05E2C0F9E}"/>
    <cellStyle name="Heading 3 3_Buma Equipment List update" xfId="1160" xr:uid="{00000000-0005-0000-0000-000096040000}"/>
    <cellStyle name="Heading 3 4" xfId="1161" xr:uid="{00000000-0005-0000-0000-000097040000}"/>
    <cellStyle name="Heading 3 4 2" xfId="1162" xr:uid="{00000000-0005-0000-0000-000098040000}"/>
    <cellStyle name="Heading 3 4 2 2" xfId="3019" xr:uid="{1E376374-121B-467B-854F-C9B3CBD3593D}"/>
    <cellStyle name="Heading 3 4 3" xfId="3018" xr:uid="{D1431753-C964-434C-8B31-10E1B8D53911}"/>
    <cellStyle name="Heading 3 4_Buma Equipment List update" xfId="1163" xr:uid="{00000000-0005-0000-0000-000099040000}"/>
    <cellStyle name="Heading 4" xfId="1164" builtinId="19" customBuiltin="1"/>
    <cellStyle name="Heading 4 2" xfId="1165" xr:uid="{00000000-0005-0000-0000-00009B040000}"/>
    <cellStyle name="Heading 4 2 2" xfId="1166" xr:uid="{00000000-0005-0000-0000-00009C040000}"/>
    <cellStyle name="Heading 4 2 2 2" xfId="3021" xr:uid="{E0B20C6B-E8FF-4F64-A78B-D5CA8BE5A5B8}"/>
    <cellStyle name="Heading 4 2 3" xfId="1167" xr:uid="{00000000-0005-0000-0000-00009D040000}"/>
    <cellStyle name="Heading 4 2 3 2" xfId="3022" xr:uid="{383C75D9-0F9E-4C29-8291-78B358C3898E}"/>
    <cellStyle name="Heading 4 2 4" xfId="1168" xr:uid="{00000000-0005-0000-0000-00009E040000}"/>
    <cellStyle name="Heading 4 2 4 2" xfId="3023" xr:uid="{CD1C7002-5E98-440A-829A-E28829C47544}"/>
    <cellStyle name="Heading 4 2 5" xfId="1169" xr:uid="{00000000-0005-0000-0000-00009F040000}"/>
    <cellStyle name="Heading 4 2 5 2" xfId="3024" xr:uid="{1B2FDBB8-0A2A-42BC-8E34-40FC97515519}"/>
    <cellStyle name="Heading 4 2 6" xfId="1170" xr:uid="{00000000-0005-0000-0000-0000A0040000}"/>
    <cellStyle name="Heading 4 2 6 2" xfId="3025" xr:uid="{164EE7F4-3505-446B-8A0F-4B11E42376CB}"/>
    <cellStyle name="Heading 4 2 7" xfId="3020" xr:uid="{5425D204-AF66-4C62-900C-8B2CC799FF8E}"/>
    <cellStyle name="Heading 4 3" xfId="1171" xr:uid="{00000000-0005-0000-0000-0000A1040000}"/>
    <cellStyle name="Heading 4 3 2" xfId="1172" xr:uid="{00000000-0005-0000-0000-0000A2040000}"/>
    <cellStyle name="Heading 4 3 2 2" xfId="3027" xr:uid="{2007447D-94E5-4D12-9423-02B3DDA1B816}"/>
    <cellStyle name="Heading 4 3 3" xfId="3026" xr:uid="{A4D4518B-C375-4545-A358-4305BDE8D4CF}"/>
    <cellStyle name="Heading 4 4" xfId="1173" xr:uid="{00000000-0005-0000-0000-0000A3040000}"/>
    <cellStyle name="Heading 4 4 2" xfId="1174" xr:uid="{00000000-0005-0000-0000-0000A4040000}"/>
    <cellStyle name="Heading 4 4 2 2" xfId="3029" xr:uid="{E865CD52-ADD4-4525-AF31-B1661D9DFE20}"/>
    <cellStyle name="Heading 4 4 3" xfId="3028" xr:uid="{7A5BEB60-3B70-4532-843D-71CB3F17543C}"/>
    <cellStyle name="Heading1" xfId="3696" xr:uid="{10DBFDD3-F845-4DCE-BE12-123519F3C09C}"/>
    <cellStyle name="Heading2" xfId="3697" xr:uid="{B17955EF-F8A9-4610-86A9-52B9523E606D}"/>
    <cellStyle name="Input" xfId="1175" builtinId="20" customBuiltin="1"/>
    <cellStyle name="Input [yellow]" xfId="1176" xr:uid="{00000000-0005-0000-0000-0000A6040000}"/>
    <cellStyle name="Input [yellow] 2" xfId="3030" xr:uid="{54C8B93A-1226-43A3-AF2E-DF495406961D}"/>
    <cellStyle name="Input [yellow] 3" xfId="3797" xr:uid="{A36FDFB1-FA6C-4775-8E19-BC6F51A187BC}"/>
    <cellStyle name="Input 2" xfId="1177" xr:uid="{00000000-0005-0000-0000-0000A7040000}"/>
    <cellStyle name="Input 2 10" xfId="3995" xr:uid="{437D0EB4-7743-4445-B530-071A7693C238}"/>
    <cellStyle name="Input 2 11" xfId="3976" xr:uid="{811EE89C-B78E-4808-B81E-AC41E2F988F7}"/>
    <cellStyle name="Input 2 2" xfId="1178" xr:uid="{00000000-0005-0000-0000-0000A8040000}"/>
    <cellStyle name="Input 2 2 2" xfId="3032" xr:uid="{6EEDAE06-A18A-498D-88D4-16DA2467986C}"/>
    <cellStyle name="Input 2 2 3" xfId="3781" xr:uid="{441DE587-DDA2-4879-A78B-320D13C33CB6}"/>
    <cellStyle name="Input 2 2 4" xfId="3928" xr:uid="{E2F37927-9B68-4232-9B17-84D432450A67}"/>
    <cellStyle name="Input 2 2 5" xfId="3996" xr:uid="{282222AD-9168-4FAA-BBF4-FBCDDDC52892}"/>
    <cellStyle name="Input 2 2 6" xfId="3975" xr:uid="{86273592-C5E2-4B2C-92D1-869C22BB01AD}"/>
    <cellStyle name="Input 2 3" xfId="1179" xr:uid="{00000000-0005-0000-0000-0000A9040000}"/>
    <cellStyle name="Input 2 3 2" xfId="3033" xr:uid="{D9A7BDE3-DF12-40ED-A229-4CA1C92FAE04}"/>
    <cellStyle name="Input 2 3 3" xfId="3780" xr:uid="{1EE8D5C6-464E-4E9C-9885-77B9DAE7DC01}"/>
    <cellStyle name="Input 2 3 4" xfId="3927" xr:uid="{34B9D6CC-94E5-4104-98DB-49B7248EEFF3}"/>
    <cellStyle name="Input 2 3 5" xfId="3997" xr:uid="{638EED01-0D2E-4EA4-8030-F0A43D9D700A}"/>
    <cellStyle name="Input 2 3 6" xfId="3974" xr:uid="{3E7B6417-CA41-4E60-AE74-838DBCAB19BF}"/>
    <cellStyle name="Input 2 4" xfId="1180" xr:uid="{00000000-0005-0000-0000-0000AA040000}"/>
    <cellStyle name="Input 2 4 2" xfId="3034" xr:uid="{9A3DF5E6-93C9-4148-B90D-48BDA291708D}"/>
    <cellStyle name="Input 2 4 3" xfId="3779" xr:uid="{B364B2AE-D46F-4131-BB2E-2D91EB10692D}"/>
    <cellStyle name="Input 2 4 4" xfId="3926" xr:uid="{66D9842C-547A-41C1-9578-9BA2251D8F60}"/>
    <cellStyle name="Input 2 4 5" xfId="3998" xr:uid="{42C2542C-7B65-46C4-9128-A7542315748F}"/>
    <cellStyle name="Input 2 4 6" xfId="3973" xr:uid="{69E65692-6346-4B47-AE2E-C610109A1763}"/>
    <cellStyle name="Input 2 5" xfId="1181" xr:uid="{00000000-0005-0000-0000-0000AB040000}"/>
    <cellStyle name="Input 2 5 2" xfId="3035" xr:uid="{EE2A4E11-17DB-40C0-B467-35992D4FAB48}"/>
    <cellStyle name="Input 2 5 3" xfId="3778" xr:uid="{F1ADE505-C421-4E4F-BD47-737273D18F7B}"/>
    <cellStyle name="Input 2 5 4" xfId="3925" xr:uid="{8CF96BB7-9C25-47BE-9CD0-D1CCBDCC6964}"/>
    <cellStyle name="Input 2 5 5" xfId="3999" xr:uid="{37398738-D374-4602-8005-73BA5895B8A9}"/>
    <cellStyle name="Input 2 5 6" xfId="3972" xr:uid="{BE247D9A-AEEC-408B-A71A-8806FACBA55E}"/>
    <cellStyle name="Input 2 6" xfId="1182" xr:uid="{00000000-0005-0000-0000-0000AC040000}"/>
    <cellStyle name="Input 2 6 2" xfId="3036" xr:uid="{6A2F942D-D3ED-41CA-80FD-FFD2F3CFD9F6}"/>
    <cellStyle name="Input 2 6 3" xfId="3777" xr:uid="{E5C6BF12-0FA7-41FE-8B13-CC6A765D6431}"/>
    <cellStyle name="Input 2 6 4" xfId="3924" xr:uid="{5C9D0550-0BBB-4AFF-AD36-E41F857FD883}"/>
    <cellStyle name="Input 2 6 5" xfId="4000" xr:uid="{0308CB1B-A4F2-4498-9944-9811531C7D31}"/>
    <cellStyle name="Input 2 6 6" xfId="3971" xr:uid="{6EF3895C-4936-4E8D-B4BB-7D3A018FDA58}"/>
    <cellStyle name="Input 2 7" xfId="3031" xr:uid="{CD1D200C-82C7-4AD5-B1D1-4581063416D0}"/>
    <cellStyle name="Input 2 8" xfId="3782" xr:uid="{EA3A21DF-0FB4-4112-BBAB-CADF51751946}"/>
    <cellStyle name="Input 2 9" xfId="3929" xr:uid="{E7C8F2E4-CDA6-4E1C-BA8B-333EBA7A72C3}"/>
    <cellStyle name="Input 2_Buma Equipment List update" xfId="1183" xr:uid="{00000000-0005-0000-0000-0000AD040000}"/>
    <cellStyle name="Input 3" xfId="1184" xr:uid="{00000000-0005-0000-0000-0000AE040000}"/>
    <cellStyle name="Input 3 2" xfId="1185" xr:uid="{00000000-0005-0000-0000-0000AF040000}"/>
    <cellStyle name="Input 3 2 2" xfId="3038" xr:uid="{7C27030D-3698-4670-8F39-DC3D81A47CBE}"/>
    <cellStyle name="Input 3 2 3" xfId="3775" xr:uid="{26D8801E-DAF3-4A07-8099-DD67767D7A84}"/>
    <cellStyle name="Input 3 2 4" xfId="3922" xr:uid="{561D8C80-F706-4945-9A5C-4ED6FB968144}"/>
    <cellStyle name="Input 3 2 5" xfId="4002" xr:uid="{639D7435-B25E-4ECA-906E-10A7E62120EF}"/>
    <cellStyle name="Input 3 2 6" xfId="3969" xr:uid="{4DE12855-0F22-4836-B587-C755B5F9251C}"/>
    <cellStyle name="Input 3 3" xfId="3037" xr:uid="{AD5AC177-5AFD-4E91-B1B8-E11CDEEC0EBE}"/>
    <cellStyle name="Input 3 4" xfId="3776" xr:uid="{3B1F6300-41D4-4978-BC1A-A10864B0E1DA}"/>
    <cellStyle name="Input 3 5" xfId="3923" xr:uid="{F9D31AE2-C3C8-4F5A-861A-25F3A82251E1}"/>
    <cellStyle name="Input 3 6" xfId="4001" xr:uid="{A5E020C0-39A8-494D-9D3E-153FE42D5998}"/>
    <cellStyle name="Input 3 7" xfId="3970" xr:uid="{19A3DCAF-7199-4D99-BC15-AFA9597D6A0E}"/>
    <cellStyle name="Input 3_Buma Equipment List update" xfId="1186" xr:uid="{00000000-0005-0000-0000-0000B0040000}"/>
    <cellStyle name="Input 4" xfId="1187" xr:uid="{00000000-0005-0000-0000-0000B1040000}"/>
    <cellStyle name="Input 4 2" xfId="1188" xr:uid="{00000000-0005-0000-0000-0000B2040000}"/>
    <cellStyle name="Input 4 2 2" xfId="3040" xr:uid="{950628EA-F2B3-4EB5-9676-05BE017CF0ED}"/>
    <cellStyle name="Input 4 2 3" xfId="3773" xr:uid="{469326C0-FE0E-49AE-87E9-57690B83D2A1}"/>
    <cellStyle name="Input 4 2 4" xfId="3920" xr:uid="{790EE5A2-0FA2-4446-B5CA-9813EAE2A715}"/>
    <cellStyle name="Input 4 2 5" xfId="4004" xr:uid="{D2D3C79F-5028-487F-B8E1-913A860BC6DD}"/>
    <cellStyle name="Input 4 2 6" xfId="3967" xr:uid="{1EB786A3-F2EB-401B-949A-AB8B32BC32C6}"/>
    <cellStyle name="Input 4 3" xfId="3039" xr:uid="{06FFEC81-722D-4C37-B8DA-6CFD915FCE4B}"/>
    <cellStyle name="Input 4 4" xfId="3774" xr:uid="{5F5EEAAB-9719-453E-8736-F389FD73DEE6}"/>
    <cellStyle name="Input 4 5" xfId="3921" xr:uid="{11DF75D4-D742-4CDD-80AB-59C42FEA1E99}"/>
    <cellStyle name="Input 4 6" xfId="4003" xr:uid="{08406EEC-2056-4E9E-9EAA-D70A20B460DE}"/>
    <cellStyle name="Input 4 7" xfId="3968" xr:uid="{2B8EADE2-8971-464B-BA8C-40BBDF337945}"/>
    <cellStyle name="Input 4_Buma Equipment List update" xfId="1189" xr:uid="{00000000-0005-0000-0000-0000B3040000}"/>
    <cellStyle name="Link Currency (0)" xfId="1190" xr:uid="{00000000-0005-0000-0000-0000B4040000}"/>
    <cellStyle name="Link Currency (0) 2" xfId="1191" xr:uid="{00000000-0005-0000-0000-0000B5040000}"/>
    <cellStyle name="Link Currency (0)_Equipment" xfId="1192" xr:uid="{00000000-0005-0000-0000-0000B6040000}"/>
    <cellStyle name="Link Currency (2)" xfId="1193" xr:uid="{00000000-0005-0000-0000-0000B7040000}"/>
    <cellStyle name="Link Currency (2) 2" xfId="1194" xr:uid="{00000000-0005-0000-0000-0000B8040000}"/>
    <cellStyle name="Link Currency (2)_Equipment" xfId="1195" xr:uid="{00000000-0005-0000-0000-0000B9040000}"/>
    <cellStyle name="Link Units (0)" xfId="1196" xr:uid="{00000000-0005-0000-0000-0000BA040000}"/>
    <cellStyle name="Link Units (0) 2" xfId="1197" xr:uid="{00000000-0005-0000-0000-0000BB040000}"/>
    <cellStyle name="Link Units (0)_Equipment" xfId="1198" xr:uid="{00000000-0005-0000-0000-0000BC040000}"/>
    <cellStyle name="Link Units (1)" xfId="1199" xr:uid="{00000000-0005-0000-0000-0000BD040000}"/>
    <cellStyle name="Link Units (1) 2" xfId="1200" xr:uid="{00000000-0005-0000-0000-0000BE040000}"/>
    <cellStyle name="Link Units (1)_Equipment" xfId="1201" xr:uid="{00000000-0005-0000-0000-0000BF040000}"/>
    <cellStyle name="Link Units (2)" xfId="1202" xr:uid="{00000000-0005-0000-0000-0000C0040000}"/>
    <cellStyle name="Link Units (2) 2" xfId="1203" xr:uid="{00000000-0005-0000-0000-0000C1040000}"/>
    <cellStyle name="Link Units (2)_Equipment" xfId="1204" xr:uid="{00000000-0005-0000-0000-0000C2040000}"/>
    <cellStyle name="Linked Cell" xfId="1205" builtinId="24" customBuiltin="1"/>
    <cellStyle name="Linked Cell 2" xfId="1206" xr:uid="{00000000-0005-0000-0000-0000C4040000}"/>
    <cellStyle name="Linked Cell 2 2" xfId="1207" xr:uid="{00000000-0005-0000-0000-0000C5040000}"/>
    <cellStyle name="Linked Cell 2 2 2" xfId="2128" xr:uid="{394FBB95-BEC1-4457-AA9C-CBB5254F6C76}"/>
    <cellStyle name="Linked Cell 2 2 3" xfId="3042" xr:uid="{1E9B82DC-04D1-470C-8122-1B4ED0C1DA1E}"/>
    <cellStyle name="Linked Cell 2 3" xfId="1208" xr:uid="{00000000-0005-0000-0000-0000C6040000}"/>
    <cellStyle name="Linked Cell 2 3 2" xfId="2129" xr:uid="{89C1C70F-482B-4A2A-87A8-694A6DCC2381}"/>
    <cellStyle name="Linked Cell 2 3 3" xfId="3043" xr:uid="{EC3B349E-E5C0-4F65-9A46-01564CC8682B}"/>
    <cellStyle name="Linked Cell 2 4" xfId="1209" xr:uid="{00000000-0005-0000-0000-0000C7040000}"/>
    <cellStyle name="Linked Cell 2 4 2" xfId="2130" xr:uid="{618B6674-7897-42BA-9976-B55E3AC3E09B}"/>
    <cellStyle name="Linked Cell 2 4 3" xfId="3044" xr:uid="{2B93020E-279D-4F28-AE3F-C038F9DA308A}"/>
    <cellStyle name="Linked Cell 2 5" xfId="1210" xr:uid="{00000000-0005-0000-0000-0000C8040000}"/>
    <cellStyle name="Linked Cell 2 5 2" xfId="2131" xr:uid="{EA3FE2C5-0711-4C06-A07F-49C1365CAD06}"/>
    <cellStyle name="Linked Cell 2 5 3" xfId="3045" xr:uid="{B135B345-AFF1-4188-8CA0-BA54F6435D56}"/>
    <cellStyle name="Linked Cell 2 6" xfId="1211" xr:uid="{00000000-0005-0000-0000-0000C9040000}"/>
    <cellStyle name="Linked Cell 2 6 2" xfId="2132" xr:uid="{4A62E394-8291-45D9-9DF7-5032A4194883}"/>
    <cellStyle name="Linked Cell 2 6 3" xfId="3046" xr:uid="{767676BA-03E0-4F0F-82E6-CA6F3D815762}"/>
    <cellStyle name="Linked Cell 2 7" xfId="2127" xr:uid="{C624AB52-606F-45EB-B799-40824A8860E5}"/>
    <cellStyle name="Linked Cell 2 8" xfId="3041" xr:uid="{02ABD770-6F84-42A6-9445-1107A3A32222}"/>
    <cellStyle name="Linked Cell 2_Buma Equipment List update" xfId="1212" xr:uid="{00000000-0005-0000-0000-0000CA040000}"/>
    <cellStyle name="Linked Cell 3" xfId="1213" xr:uid="{00000000-0005-0000-0000-0000CB040000}"/>
    <cellStyle name="Linked Cell 3 2" xfId="1214" xr:uid="{00000000-0005-0000-0000-0000CC040000}"/>
    <cellStyle name="Linked Cell 3 2 2" xfId="2134" xr:uid="{4D3DA2E6-2248-4962-89B9-6B818FF07266}"/>
    <cellStyle name="Linked Cell 3 2 3" xfId="3048" xr:uid="{E43BAF7A-8360-4B4D-9952-EAD2F00C9AEA}"/>
    <cellStyle name="Linked Cell 3 3" xfId="2133" xr:uid="{50CA6176-9B7A-4BF3-96DC-88A3ABEEEC63}"/>
    <cellStyle name="Linked Cell 3 4" xfId="3047" xr:uid="{C3EE5E00-FC58-40E4-8FE4-3DBFDFBA72AB}"/>
    <cellStyle name="Linked Cell 3_Buma Equipment List update" xfId="1215" xr:uid="{00000000-0005-0000-0000-0000CD040000}"/>
    <cellStyle name="Linked Cell 4" xfId="1216" xr:uid="{00000000-0005-0000-0000-0000CE040000}"/>
    <cellStyle name="Linked Cell 4 2" xfId="1217" xr:uid="{00000000-0005-0000-0000-0000CF040000}"/>
    <cellStyle name="Linked Cell 4 2 2" xfId="2136" xr:uid="{96488BF8-2A88-4509-B8CF-D07AB662A8B4}"/>
    <cellStyle name="Linked Cell 4 2 3" xfId="3050" xr:uid="{DAE3141F-5BD4-43AC-B5BB-899A0CCFB088}"/>
    <cellStyle name="Linked Cell 4 3" xfId="2135" xr:uid="{5D0D96C8-FAB3-4642-8632-CBE7C861FBFE}"/>
    <cellStyle name="Linked Cell 4 4" xfId="3049" xr:uid="{3F054F44-B79A-4F24-8205-03A101064683}"/>
    <cellStyle name="Linked Cell 4_Buma Equipment List update" xfId="1218" xr:uid="{00000000-0005-0000-0000-0000D0040000}"/>
    <cellStyle name="Linked Cell 5" xfId="2126" xr:uid="{471C5B13-A918-4052-8C53-E46108264AD5}"/>
    <cellStyle name="Linked Cell 6" xfId="2122" xr:uid="{49AFFCDD-9081-4C95-87E3-1D8AE16738C3}"/>
    <cellStyle name="Linked Cell 7" xfId="2125" xr:uid="{9087629D-4ACE-43C5-983D-05E49B0425E2}"/>
    <cellStyle name="Linked Cell 8" xfId="2123" xr:uid="{17D30A3B-42CE-4CC5-BE78-955D0D6A6E84}"/>
    <cellStyle name="Linked Cell 9" xfId="2124" xr:uid="{7459EDFC-660F-4AE5-BC59-80672A241532}"/>
    <cellStyle name="Milliers [0]_AR1194" xfId="3698" xr:uid="{36CC6AB1-ED70-42AE-9501-437606B04AC5}"/>
    <cellStyle name="Milliers_AR1194" xfId="3699" xr:uid="{0467A5C1-57F4-4FAC-B886-F90FB7C015E1}"/>
    <cellStyle name="Model" xfId="1219" xr:uid="{00000000-0005-0000-0000-0000D1040000}"/>
    <cellStyle name="Model 2" xfId="3051" xr:uid="{3B0E287F-CD64-4FB3-8424-6B2CC68819FA}"/>
    <cellStyle name="Monétaire [0]_AR1194" xfId="3700" xr:uid="{E1C14706-0985-4F4C-847C-4A6723337A8F}"/>
    <cellStyle name="Monétaire_AR1194" xfId="3701" xr:uid="{4EB76980-8DCC-47ED-9120-1D1F7727214D}"/>
    <cellStyle name="Neutral" xfId="1220" builtinId="28" customBuiltin="1"/>
    <cellStyle name="Neutral 2" xfId="1221" xr:uid="{00000000-0005-0000-0000-0000D3040000}"/>
    <cellStyle name="Neutral 2 2" xfId="1222" xr:uid="{00000000-0005-0000-0000-0000D4040000}"/>
    <cellStyle name="Neutral 2 2 2" xfId="3053" xr:uid="{87C13A44-7E3D-4A58-A01D-79A10E08DF03}"/>
    <cellStyle name="Neutral 2 3" xfId="1223" xr:uid="{00000000-0005-0000-0000-0000D5040000}"/>
    <cellStyle name="Neutral 2 3 2" xfId="3054" xr:uid="{2E1A9C0B-F5D6-4012-BB51-B0BE43BAC964}"/>
    <cellStyle name="Neutral 2 4" xfId="1224" xr:uid="{00000000-0005-0000-0000-0000D6040000}"/>
    <cellStyle name="Neutral 2 4 2" xfId="3055" xr:uid="{EE1A9328-5822-428C-ACE4-66A8E149FAE4}"/>
    <cellStyle name="Neutral 2 5" xfId="1225" xr:uid="{00000000-0005-0000-0000-0000D7040000}"/>
    <cellStyle name="Neutral 2 5 2" xfId="3056" xr:uid="{20685BFA-2F09-475D-990E-237EFF02244F}"/>
    <cellStyle name="Neutral 2 6" xfId="1226" xr:uid="{00000000-0005-0000-0000-0000D8040000}"/>
    <cellStyle name="Neutral 2 6 2" xfId="3057" xr:uid="{EF54166B-2846-4475-9E9D-4E1050755314}"/>
    <cellStyle name="Neutral 2 7" xfId="3052" xr:uid="{89DA51C2-B355-46BF-88D1-B528CDFC5702}"/>
    <cellStyle name="Neutral 3" xfId="1227" xr:uid="{00000000-0005-0000-0000-0000D9040000}"/>
    <cellStyle name="Neutral 3 2" xfId="1228" xr:uid="{00000000-0005-0000-0000-0000DA040000}"/>
    <cellStyle name="Neutral 3 2 2" xfId="3059" xr:uid="{5B7468EA-ECAD-4ECD-9551-E8D651B6827F}"/>
    <cellStyle name="Neutral 3 3" xfId="3058" xr:uid="{89E41C93-4514-4DA1-86DB-BCEB5D65E2FE}"/>
    <cellStyle name="Neutral 4" xfId="1229" xr:uid="{00000000-0005-0000-0000-0000DB040000}"/>
    <cellStyle name="Neutral 4 2" xfId="1230" xr:uid="{00000000-0005-0000-0000-0000DC040000}"/>
    <cellStyle name="Neutral 4 2 2" xfId="3061" xr:uid="{140F74FD-E8FA-4549-9E72-66D37DE2A97F}"/>
    <cellStyle name="Neutral 4 3" xfId="3060" xr:uid="{75EE06D3-5395-450D-9DA4-50BE50DBAE65}"/>
    <cellStyle name="Normal" xfId="0" builtinId="0"/>
    <cellStyle name="Normal - Style1" xfId="1231" xr:uid="{00000000-0005-0000-0000-0000DE040000}"/>
    <cellStyle name="Normal - Style1 2" xfId="1232" xr:uid="{00000000-0005-0000-0000-0000DF040000}"/>
    <cellStyle name="Normal - Style1 2 2" xfId="3063" xr:uid="{E95BFA16-2949-4511-B995-C1034C362F5E}"/>
    <cellStyle name="Normal - Style1 3" xfId="1233" xr:uid="{00000000-0005-0000-0000-0000E0040000}"/>
    <cellStyle name="Normal - Style1 3 2" xfId="3064" xr:uid="{3DB91A24-1D36-4568-B8A3-C6501CD2886E}"/>
    <cellStyle name="Normal - Style1 4" xfId="3062" xr:uid="{336713AF-BE10-463E-B655-2089CD3ED251}"/>
    <cellStyle name="Normal - Style1_08. Monthly Report_Aug_2011" xfId="1234" xr:uid="{00000000-0005-0000-0000-0000E1040000}"/>
    <cellStyle name="Normal - Style5" xfId="3702" xr:uid="{E876FB20-62A7-4CC1-9359-440DE5CD05B0}"/>
    <cellStyle name="Normal 10" xfId="1235" xr:uid="{00000000-0005-0000-0000-0000E2040000}"/>
    <cellStyle name="Normal 10 2" xfId="1236" xr:uid="{00000000-0005-0000-0000-0000E3040000}"/>
    <cellStyle name="Normal 10 2 2" xfId="1237" xr:uid="{00000000-0005-0000-0000-0000E4040000}"/>
    <cellStyle name="Normal 10 2 2 2" xfId="3067" xr:uid="{08643CED-67BD-4E8C-B867-93EC2AA82121}"/>
    <cellStyle name="Normal 10 2 3" xfId="3066" xr:uid="{68E78808-C8D5-4969-A9CA-258627EA4CB6}"/>
    <cellStyle name="Normal 10 3" xfId="1238" xr:uid="{00000000-0005-0000-0000-0000E5040000}"/>
    <cellStyle name="Normal 10 3 2" xfId="3068" xr:uid="{21CDAD24-D576-4937-88FC-F2704F8E1EF3}"/>
    <cellStyle name="Normal 10 4" xfId="1239" xr:uid="{00000000-0005-0000-0000-0000E6040000}"/>
    <cellStyle name="Normal 10 5" xfId="1240" xr:uid="{00000000-0005-0000-0000-0000E7040000}"/>
    <cellStyle name="Normal 10 6" xfId="3065" xr:uid="{E289A97B-3F2F-429A-A619-44200E63DDBC}"/>
    <cellStyle name="Normal 10 6 2" xfId="3591" xr:uid="{832E6676-D046-479A-AB1C-FD8A8BFB6000}"/>
    <cellStyle name="Normal 11" xfId="1241" xr:uid="{00000000-0005-0000-0000-0000E8040000}"/>
    <cellStyle name="Normal 11 2" xfId="1242" xr:uid="{00000000-0005-0000-0000-0000E9040000}"/>
    <cellStyle name="Normal 11 2 2" xfId="1243" xr:uid="{00000000-0005-0000-0000-0000EA040000}"/>
    <cellStyle name="Normal 11 2 2 2" xfId="3071" xr:uid="{902EBAFE-6EA5-44D0-B9AA-BB67F4BB21B3}"/>
    <cellStyle name="Normal 11 2 3" xfId="3070" xr:uid="{40493876-4EF3-440A-99F5-18228CF05B61}"/>
    <cellStyle name="Normal 11 3" xfId="1244" xr:uid="{00000000-0005-0000-0000-0000EB040000}"/>
    <cellStyle name="Normal 11 3 2" xfId="3072" xr:uid="{89FEB21F-4F95-4E4A-99C2-E395C80641CE}"/>
    <cellStyle name="Normal 11 4" xfId="3069" xr:uid="{388D70E3-AC4A-4B4B-A333-DD871D2175CF}"/>
    <cellStyle name="Normal 11 4 2" xfId="3592" xr:uid="{9B0D01AA-FE3C-4423-ADAC-C012274183F6}"/>
    <cellStyle name="Normal 12" xfId="1245" xr:uid="{00000000-0005-0000-0000-0000EC040000}"/>
    <cellStyle name="Normal 12 2" xfId="1246" xr:uid="{00000000-0005-0000-0000-0000ED040000}"/>
    <cellStyle name="Normal 12 2 2" xfId="1247" xr:uid="{00000000-0005-0000-0000-0000EE040000}"/>
    <cellStyle name="Normal 12 2 2 2" xfId="3075" xr:uid="{26D82B6C-F660-41DA-A118-36C95C1CE6D8}"/>
    <cellStyle name="Normal 12 2 3" xfId="3074" xr:uid="{874466C7-CAC9-490B-B0B1-1F21E38383CB}"/>
    <cellStyle name="Normal 12 3" xfId="1248" xr:uid="{00000000-0005-0000-0000-0000EF040000}"/>
    <cellStyle name="Normal 12 3 2" xfId="3076" xr:uid="{18FF6BC5-A966-47DC-8CE8-63B5F81F94C8}"/>
    <cellStyle name="Normal 12 4" xfId="3073" xr:uid="{7DC9FA5F-FD5C-42C9-9C49-12331FB39E6F}"/>
    <cellStyle name="Normal 13" xfId="1249" xr:uid="{00000000-0005-0000-0000-0000F0040000}"/>
    <cellStyle name="Normal 13 10" xfId="3966" xr:uid="{8EAA8C79-9366-4A5E-B65F-2E0C36CE6098}"/>
    <cellStyle name="Normal 13 2" xfId="1250" xr:uid="{00000000-0005-0000-0000-0000F1040000}"/>
    <cellStyle name="Normal 13 2 2" xfId="1251" xr:uid="{00000000-0005-0000-0000-0000F2040000}"/>
    <cellStyle name="Normal 13 2 2 2" xfId="3079" xr:uid="{9ED1731A-0D6A-4922-89FF-F4D5EF1A6DA3}"/>
    <cellStyle name="Normal 13 2 3" xfId="3078" xr:uid="{7EA961F8-584E-4026-A5C8-50C5DF2DB74C}"/>
    <cellStyle name="Normal 13 2_Buma Equipment List update" xfId="1252" xr:uid="{00000000-0005-0000-0000-0000F3040000}"/>
    <cellStyle name="Normal 13 3" xfId="1253" xr:uid="{00000000-0005-0000-0000-0000F4040000}"/>
    <cellStyle name="Normal 13 3 2" xfId="3080" xr:uid="{A5C8F173-14A7-4316-8FFE-880F11392845}"/>
    <cellStyle name="Normal 13 4" xfId="1254" xr:uid="{00000000-0005-0000-0000-0000F5040000}"/>
    <cellStyle name="Normal 13 4 2" xfId="3081" xr:uid="{0A568D79-1214-48AD-8DB8-45D448E81BFE}"/>
    <cellStyle name="Normal 13 5" xfId="1255" xr:uid="{00000000-0005-0000-0000-0000F6040000}"/>
    <cellStyle name="Normal 13 5 2" xfId="3082" xr:uid="{670D43D6-95E3-4865-AAAF-29F6266CE876}"/>
    <cellStyle name="Normal 13 6" xfId="1256" xr:uid="{00000000-0005-0000-0000-0000F7040000}"/>
    <cellStyle name="Normal 13 6 2" xfId="3083" xr:uid="{6550E442-5F1D-47CE-AFB0-467508F406FE}"/>
    <cellStyle name="Normal 13 7" xfId="3077" xr:uid="{ABA10CC6-F90F-48F1-8080-EF280A0E83DC}"/>
    <cellStyle name="Normal 13 7 2" xfId="3594" xr:uid="{931512A6-D7EC-4A23-B3BC-D3AA218A9880}"/>
    <cellStyle name="Normal 13 8" xfId="3553" xr:uid="{905D0E1F-493D-4859-B512-1B5EBC5FE061}"/>
    <cellStyle name="Normal 13 8 2" xfId="3607" xr:uid="{64FE9AA7-28B5-4FED-847C-973B71F319A3}"/>
    <cellStyle name="Normal 13 9" xfId="4005" xr:uid="{5E311E0A-0E90-4B28-894B-6BF9AC9236B1}"/>
    <cellStyle name="Normal 13_Buma Equipment List update" xfId="1257" xr:uid="{00000000-0005-0000-0000-0000F8040000}"/>
    <cellStyle name="Normal 14" xfId="1258" xr:uid="{00000000-0005-0000-0000-0000F9040000}"/>
    <cellStyle name="Normal 14 2" xfId="1259" xr:uid="{00000000-0005-0000-0000-0000FA040000}"/>
    <cellStyle name="Normal 14 2 2" xfId="1260" xr:uid="{00000000-0005-0000-0000-0000FB040000}"/>
    <cellStyle name="Normal 14 2 2 2" xfId="3086" xr:uid="{D80DA8AE-B9D6-4C43-897D-BDCA7D5B238E}"/>
    <cellStyle name="Normal 14 2 3" xfId="3085" xr:uid="{A3715AC5-B087-4DB7-8FA9-9F57A9BA1AE4}"/>
    <cellStyle name="Normal 14 3" xfId="1261" xr:uid="{00000000-0005-0000-0000-0000FC040000}"/>
    <cellStyle name="Normal 14 3 2" xfId="3087" xr:uid="{E26F69F3-DC95-4FD2-A6F9-AA40AADFBDC0}"/>
    <cellStyle name="Normal 14 4" xfId="3084" xr:uid="{326B3968-BC0A-4519-A9A3-0E6FF6815F7F}"/>
    <cellStyle name="Normal 14 4 2" xfId="3593" xr:uid="{B4FCEF1C-B9EB-45ED-8599-D2CF9B3BAAB5}"/>
    <cellStyle name="Normal 15" xfId="1262" xr:uid="{00000000-0005-0000-0000-0000FD040000}"/>
    <cellStyle name="Normal 15 2" xfId="1263" xr:uid="{00000000-0005-0000-0000-0000FE040000}"/>
    <cellStyle name="Normal 16" xfId="1264" xr:uid="{00000000-0005-0000-0000-0000FF040000}"/>
    <cellStyle name="Normal 17" xfId="1265" xr:uid="{00000000-0005-0000-0000-000000050000}"/>
    <cellStyle name="Normal 18" xfId="1266" xr:uid="{00000000-0005-0000-0000-000001050000}"/>
    <cellStyle name="Normal 18 2" xfId="3088" xr:uid="{E37375D1-48A3-4C6A-B3D8-176F1813E4D8}"/>
    <cellStyle name="Normal 18 2 2" xfId="3597" xr:uid="{CA06544C-5C74-45B0-A683-D60D66E88BA8}"/>
    <cellStyle name="Normal 19" xfId="1267" xr:uid="{00000000-0005-0000-0000-000002050000}"/>
    <cellStyle name="Normal 19 2" xfId="3089" xr:uid="{9D9467AA-1C0C-43BC-BDF6-341FB9377CD0}"/>
    <cellStyle name="Normal 19 2 2" xfId="3598" xr:uid="{40433E28-AB06-458B-815F-07DC039A3B6D}"/>
    <cellStyle name="Normal 2" xfId="1268" xr:uid="{00000000-0005-0000-0000-000003050000}"/>
    <cellStyle name="Normal 2 10" xfId="1269" xr:uid="{00000000-0005-0000-0000-000004050000}"/>
    <cellStyle name="Normal 2 11" xfId="3605" xr:uid="{5FAFDA7D-3F18-4857-8DCC-8F06BCCD2D04}"/>
    <cellStyle name="Normal 2 12" xfId="3703" xr:uid="{B1C15450-51E6-474F-AAD8-9422F4E31F41}"/>
    <cellStyle name="Normal 2 12 2" xfId="3873" xr:uid="{404AA94F-9452-4A96-B19F-5A661DF0F9D3}"/>
    <cellStyle name="Normal 2 13" xfId="3704" xr:uid="{262ACBC9-3D49-4820-9D4A-9B7CEB375450}"/>
    <cellStyle name="Normal 2 13 2" xfId="3874" xr:uid="{6AD718B5-EF0D-4C89-BD79-8CE7DD94ABBB}"/>
    <cellStyle name="Normal 2 14" xfId="3705" xr:uid="{4853B74F-41AD-402D-9EF4-937BD1D964B1}"/>
    <cellStyle name="Normal 2 14 2" xfId="3875" xr:uid="{DBD5219F-593B-478A-8E0B-663EDCD13A29}"/>
    <cellStyle name="Normal 2 2" xfId="1270" xr:uid="{00000000-0005-0000-0000-000005050000}"/>
    <cellStyle name="Normal 2 2 2" xfId="1271" xr:uid="{00000000-0005-0000-0000-000006050000}"/>
    <cellStyle name="Normal 2 2 2 2" xfId="1272" xr:uid="{00000000-0005-0000-0000-000007050000}"/>
    <cellStyle name="Normal 2 2 2 2 2" xfId="1273" xr:uid="{00000000-0005-0000-0000-000008050000}"/>
    <cellStyle name="Normal 2 2 2 2 2 2" xfId="1274" xr:uid="{00000000-0005-0000-0000-000009050000}"/>
    <cellStyle name="Normal 2 2 2 2 2 2 2" xfId="3093" xr:uid="{309153BF-6D8B-4E3F-8247-6C8DCFFE7815}"/>
    <cellStyle name="Normal 2 2 2 2 2 3" xfId="1275" xr:uid="{00000000-0005-0000-0000-00000A050000}"/>
    <cellStyle name="Normal 2 2 2 2 2 3 2" xfId="3094" xr:uid="{83B768BA-EBD2-4C81-96FA-897393100EA0}"/>
    <cellStyle name="Normal 2 2 2 2 2 4" xfId="3092" xr:uid="{9E3EF3D1-BD2F-4539-90C6-9B35E5E59B22}"/>
    <cellStyle name="Normal 2 2 2 2 3" xfId="1276" xr:uid="{00000000-0005-0000-0000-00000B050000}"/>
    <cellStyle name="Normal 2 2 2 2 3 2" xfId="3095" xr:uid="{592BED7E-F678-4684-B037-6421FCC03378}"/>
    <cellStyle name="Normal 2 2 2 2 4" xfId="3091" xr:uid="{15972171-CD5E-4A77-8DAB-33928874C033}"/>
    <cellStyle name="Normal 2 2 2 3" xfId="1277" xr:uid="{00000000-0005-0000-0000-00000C050000}"/>
    <cellStyle name="Normal 2 2 2 3 2" xfId="1278" xr:uid="{00000000-0005-0000-0000-00000D050000}"/>
    <cellStyle name="Normal 2 2 2 3 2 2" xfId="3097" xr:uid="{677422E4-D8FA-4CAD-B322-6869BA197970}"/>
    <cellStyle name="Normal 2 2 2 3 3" xfId="3096" xr:uid="{082A9255-2044-44E2-8F28-BAD72D2B25E1}"/>
    <cellStyle name="Normal 2 2 2 4" xfId="1279" xr:uid="{00000000-0005-0000-0000-00000E050000}"/>
    <cellStyle name="Normal 2 2 2 4 2" xfId="1280" xr:uid="{00000000-0005-0000-0000-00000F050000}"/>
    <cellStyle name="Normal 2 2 2 4 2 2" xfId="3099" xr:uid="{92A7E700-7852-427A-B181-4C310260B18D}"/>
    <cellStyle name="Normal 2 2 2 4 3" xfId="3098" xr:uid="{11318CD9-809E-4A7E-9D1E-9819F6898606}"/>
    <cellStyle name="Normal 2 2 2 5" xfId="1281" xr:uid="{00000000-0005-0000-0000-000010050000}"/>
    <cellStyle name="Normal 2 2 2 5 2" xfId="3100" xr:uid="{9FEC326C-E6BE-42BE-9BE4-B1ED0A4D4134}"/>
    <cellStyle name="Normal 2 2 2 6" xfId="1282" xr:uid="{00000000-0005-0000-0000-000011050000}"/>
    <cellStyle name="Normal 2 2 2 6 2" xfId="3101" xr:uid="{90226644-D623-451D-A94F-D8D52820E1BE}"/>
    <cellStyle name="Normal 2 2 2 7" xfId="1283" xr:uid="{00000000-0005-0000-0000-000012050000}"/>
    <cellStyle name="Normal 2 2 2 7 2" xfId="3102" xr:uid="{7207DB91-2280-461A-91F3-20D6C2069FE7}"/>
    <cellStyle name="Normal 2 2 2 8" xfId="3090" xr:uid="{1717A7D1-9473-4453-B6CE-FEE4430A65E5}"/>
    <cellStyle name="Normal 2 2 3" xfId="1284" xr:uid="{00000000-0005-0000-0000-000013050000}"/>
    <cellStyle name="Normal 2 2 3 2" xfId="1285" xr:uid="{00000000-0005-0000-0000-000014050000}"/>
    <cellStyle name="Normal 2 2 3 2 2" xfId="3104" xr:uid="{2BE79488-3010-4D17-84EC-04170E9F868E}"/>
    <cellStyle name="Normal 2 2 3 3" xfId="1286" xr:uid="{00000000-0005-0000-0000-000015050000}"/>
    <cellStyle name="Normal 2 2 3 3 2" xfId="3105" xr:uid="{F18ABE7E-B4F2-455F-AAAB-FC6330E43571}"/>
    <cellStyle name="Normal 2 2 3 4" xfId="1287" xr:uid="{00000000-0005-0000-0000-000016050000}"/>
    <cellStyle name="Normal 2 2 3 4 2" xfId="3106" xr:uid="{924E693C-48D6-4062-A211-AB6F6CF5A59F}"/>
    <cellStyle name="Normal 2 2 3 5" xfId="3103" xr:uid="{1686C005-4509-4406-B69E-1BC626D083C6}"/>
    <cellStyle name="Normal 2 2 4" xfId="1288" xr:uid="{00000000-0005-0000-0000-000017050000}"/>
    <cellStyle name="Normal 2 2 4 2" xfId="1289" xr:uid="{00000000-0005-0000-0000-000018050000}"/>
    <cellStyle name="Normal 2 2 4 2 2" xfId="3108" xr:uid="{A729634F-13BF-4E1F-94B2-BFE4AB541395}"/>
    <cellStyle name="Normal 2 2 4 3" xfId="1290" xr:uid="{00000000-0005-0000-0000-000019050000}"/>
    <cellStyle name="Normal 2 2 4 3 2" xfId="3109" xr:uid="{76F32AE6-8B92-408F-B4C4-38BA097525EF}"/>
    <cellStyle name="Normal 2 2 4 4" xfId="1291" xr:uid="{00000000-0005-0000-0000-00001A050000}"/>
    <cellStyle name="Normal 2 2 4 4 2" xfId="3110" xr:uid="{D67B8E18-C5B3-4DBF-8BFE-72760EED7E83}"/>
    <cellStyle name="Normal 2 2 4 5" xfId="3107" xr:uid="{9691120F-EF31-4C7E-ADFB-351EA6C82C2E}"/>
    <cellStyle name="Normal 2 2 5" xfId="1292" xr:uid="{00000000-0005-0000-0000-00001B050000}"/>
    <cellStyle name="Normal 2 2 5 2" xfId="1293" xr:uid="{00000000-0005-0000-0000-00001C050000}"/>
    <cellStyle name="Normal 2 2 5 2 2" xfId="3111" xr:uid="{5BE26FAF-89F0-4A7B-B23E-D9933D095AD1}"/>
    <cellStyle name="Normal 2 2 5 3" xfId="1294" xr:uid="{00000000-0005-0000-0000-00001D050000}"/>
    <cellStyle name="Normal 2 2 5 3 2" xfId="3112" xr:uid="{3E69530E-234F-4887-AA28-86241F5EC379}"/>
    <cellStyle name="Normal 2 2 6" xfId="1295" xr:uid="{00000000-0005-0000-0000-00001E050000}"/>
    <cellStyle name="Normal 2 2 6 2" xfId="1296" xr:uid="{00000000-0005-0000-0000-00001F050000}"/>
    <cellStyle name="Normal 2 2 6 3" xfId="1297" xr:uid="{00000000-0005-0000-0000-000020050000}"/>
    <cellStyle name="Normal 2 2 6 4" xfId="3113" xr:uid="{519F6759-221E-4FB6-A936-1E93487E56D4}"/>
    <cellStyle name="Normal 2 2 7" xfId="1298" xr:uid="{00000000-0005-0000-0000-000021050000}"/>
    <cellStyle name="Normal 2 2 8" xfId="1299" xr:uid="{00000000-0005-0000-0000-000022050000}"/>
    <cellStyle name="Normal 2 2 9" xfId="3582" xr:uid="{8B5F1B6B-65B9-49C3-8F25-3A9C86928E15}"/>
    <cellStyle name="Normal 2 2_Equipment" xfId="1300" xr:uid="{00000000-0005-0000-0000-000023050000}"/>
    <cellStyle name="Normal 2 3" xfId="1301" xr:uid="{00000000-0005-0000-0000-000024050000}"/>
    <cellStyle name="Normal 2 3 2" xfId="1302" xr:uid="{00000000-0005-0000-0000-000025050000}"/>
    <cellStyle name="Normal 2 3 2 2" xfId="1303" xr:uid="{00000000-0005-0000-0000-000026050000}"/>
    <cellStyle name="Normal 2 3 2 2 2" xfId="3115" xr:uid="{D1DD942D-1585-45C7-9E72-D5AE8A7D221A}"/>
    <cellStyle name="Normal 2 3 2 3" xfId="1304" xr:uid="{00000000-0005-0000-0000-000027050000}"/>
    <cellStyle name="Normal 2 3 2 3 2" xfId="3116" xr:uid="{EF2FD409-15C5-4860-A302-7BC1BABCE187}"/>
    <cellStyle name="Normal 2 3 2 4" xfId="1305" xr:uid="{00000000-0005-0000-0000-000028050000}"/>
    <cellStyle name="Normal 2 3 2 4 2" xfId="3117" xr:uid="{B1F49640-92EC-4F75-8DF9-07D662A0298D}"/>
    <cellStyle name="Normal 2 3 2 5" xfId="3114" xr:uid="{BBB26F77-4656-4798-B1FB-401307B6B7EB}"/>
    <cellStyle name="Normal 2 3 3" xfId="1306" xr:uid="{00000000-0005-0000-0000-000029050000}"/>
    <cellStyle name="Normal 2 3 3 2" xfId="1307" xr:uid="{00000000-0005-0000-0000-00002A050000}"/>
    <cellStyle name="Normal 2 3 3 3" xfId="1308" xr:uid="{00000000-0005-0000-0000-00002B050000}"/>
    <cellStyle name="Normal 2 3 3 4" xfId="3118" xr:uid="{5D50625C-EE33-4A27-A5F3-0871065CCC46}"/>
    <cellStyle name="Normal 2 3 4" xfId="1309" xr:uid="{00000000-0005-0000-0000-00002C050000}"/>
    <cellStyle name="Normal 2 3 4 2" xfId="3119" xr:uid="{909B7D20-95ED-49F0-9B35-479B3D24EA4C}"/>
    <cellStyle name="Normal 2 3 5" xfId="1310" xr:uid="{00000000-0005-0000-0000-00002D050000}"/>
    <cellStyle name="Normal 2 3 5 2" xfId="3120" xr:uid="{F540A03A-E243-4FC5-9883-95951A91085C}"/>
    <cellStyle name="Normal 2 3 6" xfId="3706" xr:uid="{DDFA2A59-A993-4634-B7C4-322C8A42EC25}"/>
    <cellStyle name="Normal 2 3 7" xfId="3707" xr:uid="{FF203536-1227-415D-A68D-FF84B178460D}"/>
    <cellStyle name="Normal 2 3_Equipment" xfId="1311" xr:uid="{00000000-0005-0000-0000-00002E050000}"/>
    <cellStyle name="Normal 2 4" xfId="1312" xr:uid="{00000000-0005-0000-0000-00002F050000}"/>
    <cellStyle name="Normal 2 4 2" xfId="1313" xr:uid="{00000000-0005-0000-0000-000030050000}"/>
    <cellStyle name="Normal 2 4 2 2" xfId="1314" xr:uid="{00000000-0005-0000-0000-000031050000}"/>
    <cellStyle name="Normal 2 4 2 2 2" xfId="1315" xr:uid="{00000000-0005-0000-0000-000032050000}"/>
    <cellStyle name="Normal 2 4 2 2 3" xfId="1316" xr:uid="{00000000-0005-0000-0000-000033050000}"/>
    <cellStyle name="Normal 2 4 2 2 4" xfId="3123" xr:uid="{1130A1F5-B249-44EA-B8BB-B9AE212F399D}"/>
    <cellStyle name="Normal 2 4 2 3" xfId="1317" xr:uid="{00000000-0005-0000-0000-000034050000}"/>
    <cellStyle name="Normal 2 4 2 4" xfId="1318" xr:uid="{00000000-0005-0000-0000-000035050000}"/>
    <cellStyle name="Normal 2 4 2 5" xfId="3122" xr:uid="{04F886F4-4500-4AA5-8E5E-D65468655B14}"/>
    <cellStyle name="Normal 2 4 3" xfId="1319" xr:uid="{00000000-0005-0000-0000-000036050000}"/>
    <cellStyle name="Normal 2 4 3 2" xfId="3124" xr:uid="{C09113B5-DCB2-43BE-882C-F49A3B75C7D1}"/>
    <cellStyle name="Normal 2 4 4" xfId="1320" xr:uid="{00000000-0005-0000-0000-000037050000}"/>
    <cellStyle name="Normal 2 4 5" xfId="1321" xr:uid="{00000000-0005-0000-0000-000038050000}"/>
    <cellStyle name="Normal 2 4 6" xfId="3121" xr:uid="{8ABC66C9-4951-4D10-9483-BFFE73DF5E4C}"/>
    <cellStyle name="Normal 2 5" xfId="1322" xr:uid="{00000000-0005-0000-0000-000039050000}"/>
    <cellStyle name="Normal 2 5 2" xfId="1323" xr:uid="{00000000-0005-0000-0000-00003A050000}"/>
    <cellStyle name="Normal 2 5 2 2" xfId="1324" xr:uid="{00000000-0005-0000-0000-00003B050000}"/>
    <cellStyle name="Normal 2 5 2 2 2" xfId="3127" xr:uid="{0383316F-069E-49A4-8674-057DBA2C718E}"/>
    <cellStyle name="Normal 2 5 2 3" xfId="3126" xr:uid="{528BB3A4-8A70-401C-BAFD-466D1B0DFFE9}"/>
    <cellStyle name="Normal 2 5 2 3 2" xfId="3721" xr:uid="{DC3AC37D-CFE5-4307-AC40-1F8EB9C57575}"/>
    <cellStyle name="Normal 2 5 2_Buma Equipment List update" xfId="1325" xr:uid="{00000000-0005-0000-0000-00003C050000}"/>
    <cellStyle name="Normal 2 5 3" xfId="1326" xr:uid="{00000000-0005-0000-0000-00003D050000}"/>
    <cellStyle name="Normal 2 5 3 2" xfId="1327" xr:uid="{00000000-0005-0000-0000-00003E050000}"/>
    <cellStyle name="Normal 2 5 3 2 2" xfId="3129" xr:uid="{023963C0-7698-477B-80A8-ACFFA050E383}"/>
    <cellStyle name="Normal 2 5 3 3" xfId="3128" xr:uid="{09D42F3B-0902-4EAD-A8F3-25185F4DE8CE}"/>
    <cellStyle name="Normal 2 5 3_Buma Equipment List update" xfId="1328" xr:uid="{00000000-0005-0000-0000-00003F050000}"/>
    <cellStyle name="Normal 2 5 4" xfId="1329" xr:uid="{00000000-0005-0000-0000-000040050000}"/>
    <cellStyle name="Normal 2 5 4 2" xfId="3130" xr:uid="{D1AE66B9-5EAF-4C71-89A2-A6ACB75CC6C6}"/>
    <cellStyle name="Normal 2 5 5" xfId="1330" xr:uid="{00000000-0005-0000-0000-000041050000}"/>
    <cellStyle name="Normal 2 5 5 2" xfId="3131" xr:uid="{50022F20-998A-4BF1-BC6E-DF0260E70276}"/>
    <cellStyle name="Normal 2 5 6" xfId="1331" xr:uid="{00000000-0005-0000-0000-000042050000}"/>
    <cellStyle name="Normal 2 5 6 2" xfId="3132" xr:uid="{B005F1E3-C263-4224-92FD-D16D6D8EE4C1}"/>
    <cellStyle name="Normal 2 5 7" xfId="3125" xr:uid="{6BCC26A1-084C-4F7D-8C9E-82307D2445C4}"/>
    <cellStyle name="Normal 2 5_Buma Equipment List update" xfId="1332" xr:uid="{00000000-0005-0000-0000-000043050000}"/>
    <cellStyle name="Normal 2 6" xfId="1333" xr:uid="{00000000-0005-0000-0000-000044050000}"/>
    <cellStyle name="Normal 2 6 2" xfId="1334" xr:uid="{00000000-0005-0000-0000-000045050000}"/>
    <cellStyle name="Normal 2 6 2 2" xfId="3134" xr:uid="{0121E755-DDB9-4594-88F9-C33A75F83D13}"/>
    <cellStyle name="Normal 2 6 2 2 2" xfId="3708" xr:uid="{B41D106B-D811-4111-80B1-E5B63EFAA0DE}"/>
    <cellStyle name="Normal 2 6 2 2 3" xfId="3876" xr:uid="{770E6007-95BE-422D-AF15-E00382D89093}"/>
    <cellStyle name="Normal 2 6 3" xfId="1335" xr:uid="{00000000-0005-0000-0000-000046050000}"/>
    <cellStyle name="Normal 2 6 3 2" xfId="3135" xr:uid="{54691505-6AB9-4907-92A5-27004A80DCD7}"/>
    <cellStyle name="Normal 2 6 4" xfId="1336" xr:uid="{00000000-0005-0000-0000-000047050000}"/>
    <cellStyle name="Normal 2 6 4 2" xfId="3136" xr:uid="{A0B46CA6-8B7F-4C19-AEDC-2D524BB71861}"/>
    <cellStyle name="Normal 2 6 5" xfId="1337" xr:uid="{00000000-0005-0000-0000-000048050000}"/>
    <cellStyle name="Normal 2 6 5 2" xfId="3137" xr:uid="{303423CC-855E-47F5-A30E-AF8425E57FFC}"/>
    <cellStyle name="Normal 2 6 6" xfId="3133" xr:uid="{97794503-B1FE-46D4-BFE0-D8D3D3596891}"/>
    <cellStyle name="Normal 2 7" xfId="1338" xr:uid="{00000000-0005-0000-0000-000049050000}"/>
    <cellStyle name="Normal 2 7 2" xfId="1339" xr:uid="{00000000-0005-0000-0000-00004A050000}"/>
    <cellStyle name="Normal 2 7 2 2" xfId="3139" xr:uid="{71F56C10-4B50-4F0F-9CC2-47522E592A8F}"/>
    <cellStyle name="Normal 2 7 3" xfId="1340" xr:uid="{00000000-0005-0000-0000-00004B050000}"/>
    <cellStyle name="Normal 2 7 4" xfId="1341" xr:uid="{00000000-0005-0000-0000-00004C050000}"/>
    <cellStyle name="Normal 2 7 5" xfId="3138" xr:uid="{C7C747BE-43AD-4CA3-9F46-9DC652739CCA}"/>
    <cellStyle name="Normal 2 8" xfId="1342" xr:uid="{00000000-0005-0000-0000-00004D050000}"/>
    <cellStyle name="Normal 2 8 2" xfId="3140" xr:uid="{D7C4F09A-8042-4D74-BD35-8098855B5737}"/>
    <cellStyle name="Normal 2 8 2 2" xfId="3623" xr:uid="{BB3E7C32-E3B6-471C-8E8F-DE15093E09AB}"/>
    <cellStyle name="Normal 2 8 2 3" xfId="3867" xr:uid="{8F4C658F-8E0A-43E1-9316-7A17B7A6EDA2}"/>
    <cellStyle name="Normal 2 8 3" xfId="3626" xr:uid="{B860788D-2A2D-4797-AB38-8B26D145558C}"/>
    <cellStyle name="Normal 2 8 3 2" xfId="3870" xr:uid="{29AF6F75-1DA9-4638-AC51-4E0F020F480E}"/>
    <cellStyle name="Normal 2 9" xfId="1343" xr:uid="{00000000-0005-0000-0000-00004E050000}"/>
    <cellStyle name="Normal 2_08. Monthly Report_Aug_2011" xfId="1344" xr:uid="{00000000-0005-0000-0000-00004F050000}"/>
    <cellStyle name="Normal 20" xfId="1345" xr:uid="{00000000-0005-0000-0000-000050050000}"/>
    <cellStyle name="Normal 20 2" xfId="3141" xr:uid="{8AE1E374-0A47-4266-A7AE-1AC4A4CCDEEA}"/>
    <cellStyle name="Normal 20 2 2" xfId="3599" xr:uid="{17A57C2F-74E6-4CF1-94D7-F262B510AD4A}"/>
    <cellStyle name="Normal 21" xfId="1346" xr:uid="{00000000-0005-0000-0000-000051050000}"/>
    <cellStyle name="Normal 21 2" xfId="3142" xr:uid="{DAADCD0A-45B0-4E5F-9EB4-3E17E78D76B4}"/>
    <cellStyle name="Normal 21 2 2" xfId="3600" xr:uid="{7C416055-0F21-4ED4-A946-99692788FB98}"/>
    <cellStyle name="Normal 22" xfId="1347" xr:uid="{00000000-0005-0000-0000-000052050000}"/>
    <cellStyle name="Normal 22 2" xfId="3143" xr:uid="{BD33CC35-6BE8-49C8-BD95-10D720C1B5C3}"/>
    <cellStyle name="Normal 22 2 2" xfId="3602" xr:uid="{B80CCDEA-C3A2-4AF8-9DAF-720330532743}"/>
    <cellStyle name="Normal 23" xfId="2064" xr:uid="{00000000-0005-0000-0000-000053050000}"/>
    <cellStyle name="Normal 23 2" xfId="2152" xr:uid="{1D8BF573-9977-4E0B-BE4D-FE01863215FA}"/>
    <cellStyle name="Normal 23 3" xfId="3603" xr:uid="{62EDF951-ACDD-431C-B26B-0548F39BAF44}"/>
    <cellStyle name="Normal 24" xfId="2085" xr:uid="{00000000-0005-0000-0000-000054050000}"/>
    <cellStyle name="Normal 24 2" xfId="2160" xr:uid="{3EF4721B-7555-4CD1-9E48-D2B546A1CD35}"/>
    <cellStyle name="Normal 24 3" xfId="3604" xr:uid="{DE0FF38C-44A8-4965-BB2B-AB25F4C37CA9}"/>
    <cellStyle name="Normal 25" xfId="2062" xr:uid="{00000000-0005-0000-0000-000055050000}"/>
    <cellStyle name="Normal 25 2" xfId="2150" xr:uid="{9D7F0AC4-3BE9-40CA-93F3-FFB35E442979}"/>
    <cellStyle name="Normal 25 3" xfId="3580" xr:uid="{5871E7EB-A415-427F-955F-48367BDBD7D9}"/>
    <cellStyle name="Normal 25 4" xfId="3846" xr:uid="{DFC4F899-81D9-46DC-AF3D-CBFB907EDB8A}"/>
    <cellStyle name="Normal 26" xfId="2063" xr:uid="{00000000-0005-0000-0000-000056050000}"/>
    <cellStyle name="Normal 26 2" xfId="2151" xr:uid="{A7B6F93D-5FD9-4AC6-A8FA-803B5747590B}"/>
    <cellStyle name="Normal 26 3" xfId="3585" xr:uid="{EF10157C-762C-407B-8D54-F4DB62D76108}"/>
    <cellStyle name="Normal 26 4" xfId="3850" xr:uid="{470CD063-75B4-4E6E-871C-F2C02AAFEAC5}"/>
    <cellStyle name="Normal 27" xfId="2089" xr:uid="{00000000-0005-0000-0000-000057050000}"/>
    <cellStyle name="Normal 27 2" xfId="2164" xr:uid="{F7268667-B30C-46B9-942A-D3791D7A3512}"/>
    <cellStyle name="Normal 27 3" xfId="3595" xr:uid="{7763B4C4-6E62-4E32-8F62-21A82E491497}"/>
    <cellStyle name="Normal 28" xfId="2092" xr:uid="{00000000-0005-0000-0000-000058050000}"/>
    <cellStyle name="Normal 28 2" xfId="2167" xr:uid="{72C15850-BE59-4265-979E-59FB65E3306E}"/>
    <cellStyle name="Normal 28 3" xfId="3601" xr:uid="{644B2094-D5AC-43EC-AD40-50CE35E0CEFE}"/>
    <cellStyle name="Normal 29" xfId="2094" xr:uid="{00000000-0005-0000-0000-000059050000}"/>
    <cellStyle name="Normal 29 2" xfId="2169" xr:uid="{09D796A1-CAB1-4E04-A8DA-14723CC75194}"/>
    <cellStyle name="Normal 29 3" xfId="3608" xr:uid="{E17B73B9-0BB2-49CD-A237-18DE08526FC4}"/>
    <cellStyle name="Normal 29 4" xfId="3853" xr:uid="{FFB34CBC-295C-4EB6-AF59-E29AFD487ECA}"/>
    <cellStyle name="Normal 3" xfId="1348" xr:uid="{00000000-0005-0000-0000-00005A050000}"/>
    <cellStyle name="Normal 3 2" xfId="1349" xr:uid="{00000000-0005-0000-0000-00005B050000}"/>
    <cellStyle name="Normal 3 2 2" xfId="1350" xr:uid="{00000000-0005-0000-0000-00005C050000}"/>
    <cellStyle name="Normal 3 2 2 2" xfId="1351" xr:uid="{00000000-0005-0000-0000-00005D050000}"/>
    <cellStyle name="Normal 3 2 2 2 2" xfId="1352" xr:uid="{00000000-0005-0000-0000-00005E050000}"/>
    <cellStyle name="Normal 3 2 2 2 2 2" xfId="3147" xr:uid="{3A1D899B-659C-4EA6-B0AE-FB3AFD9A0426}"/>
    <cellStyle name="Normal 3 2 2 2 3" xfId="3146" xr:uid="{98535B24-5AB4-4F68-B292-C4BCEC76434E}"/>
    <cellStyle name="Normal 3 2 2 3" xfId="1353" xr:uid="{00000000-0005-0000-0000-00005F050000}"/>
    <cellStyle name="Normal 3 2 2 3 2" xfId="3148" xr:uid="{67F4CD6A-1F59-4F8C-9B6F-7CDBB648A23A}"/>
    <cellStyle name="Normal 3 2 2 4" xfId="3145" xr:uid="{1039A3D4-FD45-4DFA-A9EF-6DD3DB555D9B}"/>
    <cellStyle name="Normal 3 2 3" xfId="1354" xr:uid="{00000000-0005-0000-0000-000060050000}"/>
    <cellStyle name="Normal 3 2 3 2" xfId="1355" xr:uid="{00000000-0005-0000-0000-000061050000}"/>
    <cellStyle name="Normal 3 2 3 2 2" xfId="3150" xr:uid="{CDBBD002-6194-4A81-8B38-EEF32940717B}"/>
    <cellStyle name="Normal 3 2 3 3" xfId="3149" xr:uid="{C45BD46B-14E5-4655-9F12-ED786F8AD802}"/>
    <cellStyle name="Normal 3 2 4" xfId="1356" xr:uid="{00000000-0005-0000-0000-000062050000}"/>
    <cellStyle name="Normal 3 2 4 2" xfId="3151" xr:uid="{9A81537F-BABF-46FA-B705-47CD2055C025}"/>
    <cellStyle name="Normal 3 2 5" xfId="1357" xr:uid="{00000000-0005-0000-0000-000063050000}"/>
    <cellStyle name="Normal 3 2 5 2" xfId="3152" xr:uid="{A197CB49-5635-4D3B-874D-00269D47E7A7}"/>
    <cellStyle name="Normal 3 2 6" xfId="1358" xr:uid="{00000000-0005-0000-0000-000064050000}"/>
    <cellStyle name="Normal 3 2 6 2" xfId="3153" xr:uid="{E5AD2656-ED99-4516-B9AA-BCD2F28EEB02}"/>
    <cellStyle name="Normal 3 2 7" xfId="2066" xr:uid="{00000000-0005-0000-0000-000065050000}"/>
    <cellStyle name="Normal 3 2 8" xfId="3144" xr:uid="{6F1519D5-FBD5-4EE4-8222-4243BA01008E}"/>
    <cellStyle name="Normal 3 3" xfId="1359" xr:uid="{00000000-0005-0000-0000-000066050000}"/>
    <cellStyle name="Normal 3 3 2" xfId="1360" xr:uid="{00000000-0005-0000-0000-000067050000}"/>
    <cellStyle name="Normal 3 3 2 2" xfId="1361" xr:uid="{00000000-0005-0000-0000-000068050000}"/>
    <cellStyle name="Normal 3 3 2 2 2" xfId="3156" xr:uid="{FE9AD742-61EA-49DB-8B64-6DFE676F5EC6}"/>
    <cellStyle name="Normal 3 3 2 3" xfId="3155" xr:uid="{8732D0E6-90C3-46DA-87BA-C99AC6A3A278}"/>
    <cellStyle name="Normal 3 3 3" xfId="1362" xr:uid="{00000000-0005-0000-0000-000069050000}"/>
    <cellStyle name="Normal 3 3 3 2" xfId="3157" xr:uid="{809FDB54-F51D-4D77-A8F4-EF5B050BD191}"/>
    <cellStyle name="Normal 3 3 4" xfId="3154" xr:uid="{13926F8F-EDED-4E0E-84CA-EBE04EE87478}"/>
    <cellStyle name="Normal 3 4" xfId="1363" xr:uid="{00000000-0005-0000-0000-00006A050000}"/>
    <cellStyle name="Normal 3 4 2" xfId="1364" xr:uid="{00000000-0005-0000-0000-00006B050000}"/>
    <cellStyle name="Normal 3 4 2 2" xfId="1365" xr:uid="{00000000-0005-0000-0000-00006C050000}"/>
    <cellStyle name="Normal 3 4 2 2 2" xfId="3160" xr:uid="{541CC05D-2CFD-4720-BF88-E46345C844AC}"/>
    <cellStyle name="Normal 3 4 2 3" xfId="3159" xr:uid="{99104AD4-21BC-4855-A78A-71B3AA478B04}"/>
    <cellStyle name="Normal 3 4 3" xfId="1366" xr:uid="{00000000-0005-0000-0000-00006D050000}"/>
    <cellStyle name="Normal 3 4 3 2" xfId="3161" xr:uid="{2EC65995-7BA0-4DDD-9A42-A4962271CBBE}"/>
    <cellStyle name="Normal 3 4 4" xfId="3158" xr:uid="{37CD48B2-62E2-4AF7-AE78-33D7534F03EC}"/>
    <cellStyle name="Normal 3 5" xfId="1367" xr:uid="{00000000-0005-0000-0000-00006E050000}"/>
    <cellStyle name="Normal 3 5 2" xfId="1368" xr:uid="{00000000-0005-0000-0000-00006F050000}"/>
    <cellStyle name="Normal 3 5 2 2" xfId="3163" xr:uid="{21E423E2-C1B1-4B75-80A9-84244AD3DE98}"/>
    <cellStyle name="Normal 3 5 3" xfId="3162" xr:uid="{3AFC9979-B500-4DDD-A4D0-43C05F9DA7F4}"/>
    <cellStyle name="Normal 3 6" xfId="1369" xr:uid="{00000000-0005-0000-0000-000070050000}"/>
    <cellStyle name="Normal 3 6 2" xfId="3164" xr:uid="{BD50317A-5F76-4951-9C7C-2F749E6AA3DF}"/>
    <cellStyle name="Normal 3 7" xfId="1370" xr:uid="{00000000-0005-0000-0000-000071050000}"/>
    <cellStyle name="Normal 3 7 2" xfId="3165" xr:uid="{E18E3B90-1CAE-4121-B6EF-D709EED6A5F7}"/>
    <cellStyle name="Normal 3 8" xfId="1371" xr:uid="{00000000-0005-0000-0000-000072050000}"/>
    <cellStyle name="Normal 3 8 2" xfId="3166" xr:uid="{54B85C3F-C842-4413-8D84-30FC5D7CD57C}"/>
    <cellStyle name="Normal 3 9" xfId="2071" xr:uid="{00000000-0005-0000-0000-000073050000}"/>
    <cellStyle name="Normal 3 9 2" xfId="3584" xr:uid="{D78EAFEC-6506-4840-83FE-F241835A3D65}"/>
    <cellStyle name="Normal 3 9 3" xfId="3849" xr:uid="{BCB9E595-ED58-4374-AC10-4B5A38580969}"/>
    <cellStyle name="Normal 3_08. Monthly Report_Aug_2011" xfId="1372" xr:uid="{00000000-0005-0000-0000-000074050000}"/>
    <cellStyle name="Normal 30" xfId="2058" xr:uid="{00000000-0005-0000-0000-000075050000}"/>
    <cellStyle name="Normal 30 2" xfId="2146" xr:uid="{0A0BEE65-31F3-4113-8A1E-C3F355594FEC}"/>
    <cellStyle name="Normal 30 3" xfId="3610" xr:uid="{DB34F92A-165F-43B2-B819-3F9F7F40985A}"/>
    <cellStyle name="Normal 30 4" xfId="3855" xr:uid="{3909C23C-FCB4-45DC-B7BE-AAEA4349E852}"/>
    <cellStyle name="Normal 31" xfId="2059" xr:uid="{00000000-0005-0000-0000-000076050000}"/>
    <cellStyle name="Normal 31 2" xfId="2147" xr:uid="{74307C2C-DD5D-4AD7-9EF5-A9EE33A7428B}"/>
    <cellStyle name="Normal 31 3" xfId="3612" xr:uid="{16121BB4-FF03-4D4C-9B17-4AEB7E1292FD}"/>
    <cellStyle name="Normal 31 4" xfId="3857" xr:uid="{B795DB4F-337A-440E-B89E-DF23859AD69C}"/>
    <cellStyle name="Normal 32" xfId="2097" xr:uid="{00000000-0005-0000-0000-000077050000}"/>
    <cellStyle name="Normal 32 2" xfId="2172" xr:uid="{23CD4F44-C154-494E-966B-323A49C26CF6}"/>
    <cellStyle name="Normal 32 3" xfId="3614" xr:uid="{2645DF58-2A9A-4F17-9B22-CCC0A2F9D449}"/>
    <cellStyle name="Normal 32 4" xfId="3859" xr:uid="{DC5BC275-2F31-4749-972A-3C26383C5814}"/>
    <cellStyle name="Normal 33" xfId="2060" xr:uid="{00000000-0005-0000-0000-000078050000}"/>
    <cellStyle name="Normal 33 2" xfId="2148" xr:uid="{903C6EEE-F358-4E08-B983-474BDB301456}"/>
    <cellStyle name="Normal 33 3" xfId="3616" xr:uid="{ED4BB49C-6571-411C-8A2F-AAA89C309229}"/>
    <cellStyle name="Normal 33 4" xfId="3861" xr:uid="{72A3EAAB-3DC1-4397-8580-135EEE8D455E}"/>
    <cellStyle name="Normal 34" xfId="3618" xr:uid="{48CE8FB3-D68B-4B0D-A237-99C1A11D84C9}"/>
    <cellStyle name="Normal 34 2" xfId="3863" xr:uid="{0D3B6947-7F2F-4F64-ACCB-FCFC685424B3}"/>
    <cellStyle name="Normal 35" xfId="3620" xr:uid="{4F6EE64F-5EDC-485E-8C65-67562C5B9377}"/>
    <cellStyle name="Normal 35 2" xfId="3865" xr:uid="{49405FE5-CF75-410C-A2C3-7F6E24D9BA11}"/>
    <cellStyle name="Normal 36" xfId="3622" xr:uid="{494B063E-2230-46DF-8FFA-9A420E9C3CFF}"/>
    <cellStyle name="Normal 36 2" xfId="3866" xr:uid="{6F662B55-1A85-4FC6-96D8-0EA3B3D5F0F2}"/>
    <cellStyle name="Normal 37" xfId="3555" xr:uid="{10B5E9F2-8BD5-44BF-9D9A-B5F63BB2936B}"/>
    <cellStyle name="Normal 38" xfId="3577" xr:uid="{B534BAF6-AE29-40C6-A94D-DF5BD713BC89}"/>
    <cellStyle name="Normal 39" xfId="3723" xr:uid="{0B0C33C5-B2B9-4C8E-9CE4-F5265E9230BB}"/>
    <cellStyle name="Normal 4" xfId="1373" xr:uid="{00000000-0005-0000-0000-000079050000}"/>
    <cellStyle name="Normal 4 2" xfId="1374" xr:uid="{00000000-0005-0000-0000-00007A050000}"/>
    <cellStyle name="Normal 4 2 2" xfId="1375" xr:uid="{00000000-0005-0000-0000-00007B050000}"/>
    <cellStyle name="Normal 4 2 2 2" xfId="1376" xr:uid="{00000000-0005-0000-0000-00007C050000}"/>
    <cellStyle name="Normal 4 2 2 2 2" xfId="3169" xr:uid="{6FE1A2AD-9D8E-491C-B5F0-F3B372E6D836}"/>
    <cellStyle name="Normal 4 2 2 2 2 2 2 3 2 2" xfId="2073" xr:uid="{00000000-0005-0000-0000-00007D050000}"/>
    <cellStyle name="Normal 4 2 2 3" xfId="1377" xr:uid="{00000000-0005-0000-0000-00007E050000}"/>
    <cellStyle name="Normal 4 2 2 3 2" xfId="3170" xr:uid="{5EB3D1AB-7E2D-41F9-9197-AEEE7FC73B76}"/>
    <cellStyle name="Normal 4 2 2 4" xfId="1378" xr:uid="{00000000-0005-0000-0000-00007F050000}"/>
    <cellStyle name="Normal 4 2 2 4 2" xfId="3171" xr:uid="{82425EC7-CD4B-4134-816E-1AEA85C02AD7}"/>
    <cellStyle name="Normal 4 2 2 5" xfId="3168" xr:uid="{6296BC07-92FF-4176-851E-CE16148818E7}"/>
    <cellStyle name="Normal 4 2 3" xfId="1379" xr:uid="{00000000-0005-0000-0000-000080050000}"/>
    <cellStyle name="Normal 4 2 3 2" xfId="3172" xr:uid="{EF090C43-4F4A-46DD-8F5D-A911D7F94359}"/>
    <cellStyle name="Normal 4 2 4" xfId="1380" xr:uid="{00000000-0005-0000-0000-000081050000}"/>
    <cellStyle name="Normal 4 2 4 2" xfId="3173" xr:uid="{35787FE8-5A5B-47AD-801D-D60D9094D61F}"/>
    <cellStyle name="Normal 4 2 5" xfId="1381" xr:uid="{00000000-0005-0000-0000-000082050000}"/>
    <cellStyle name="Normal 4 2 5 2" xfId="3174" xr:uid="{C0AD5394-B651-4C66-BEF0-2CEAFAB2A6F4}"/>
    <cellStyle name="Normal 4 2 6" xfId="3167" xr:uid="{91F1F245-8989-47AE-BC21-9B962AFD16D0}"/>
    <cellStyle name="Normal 4 3" xfId="1382" xr:uid="{00000000-0005-0000-0000-000083050000}"/>
    <cellStyle name="Normal 4 3 2" xfId="1383" xr:uid="{00000000-0005-0000-0000-000084050000}"/>
    <cellStyle name="Normal 4 3 2 2" xfId="1384" xr:uid="{00000000-0005-0000-0000-000085050000}"/>
    <cellStyle name="Normal 4 3 2 2 2" xfId="3177" xr:uid="{E74743EB-6079-4B32-88C4-C5837F5A3310}"/>
    <cellStyle name="Normal 4 3 2 3" xfId="3176" xr:uid="{177A4C8A-574B-4A80-9042-D6B843496619}"/>
    <cellStyle name="Normal 4 3 3" xfId="1385" xr:uid="{00000000-0005-0000-0000-000086050000}"/>
    <cellStyle name="Normal 4 3 3 2" xfId="3178" xr:uid="{B4FEDD74-5028-4303-A0CC-FBE884E30937}"/>
    <cellStyle name="Normal 4 3 4" xfId="1386" xr:uid="{00000000-0005-0000-0000-000087050000}"/>
    <cellStyle name="Normal 4 3 5" xfId="1387" xr:uid="{00000000-0005-0000-0000-000088050000}"/>
    <cellStyle name="Normal 4 3 6" xfId="3175" xr:uid="{00F84B8F-4AAD-4920-83C3-2C9315063AD2}"/>
    <cellStyle name="Normal 4 4" xfId="1388" xr:uid="{00000000-0005-0000-0000-000089050000}"/>
    <cellStyle name="Normal 4 4 2" xfId="1389" xr:uid="{00000000-0005-0000-0000-00008A050000}"/>
    <cellStyle name="Normal 4 4 2 2" xfId="1390" xr:uid="{00000000-0005-0000-0000-00008B050000}"/>
    <cellStyle name="Normal 4 4 2 2 2" xfId="3181" xr:uid="{48B8193F-3D93-4947-8E27-A31277C75946}"/>
    <cellStyle name="Normal 4 4 2 3" xfId="3180" xr:uid="{CDA6F9F9-77E6-447D-A4F3-E819C71051F7}"/>
    <cellStyle name="Normal 4 4 3" xfId="1391" xr:uid="{00000000-0005-0000-0000-00008C050000}"/>
    <cellStyle name="Normal 4 4 3 2" xfId="3182" xr:uid="{048312AB-031A-40A9-8ED3-1A25C29D84E6}"/>
    <cellStyle name="Normal 4 4 4" xfId="3179" xr:uid="{DDE8FBEC-4FC7-412F-913D-EBB9242E1E78}"/>
    <cellStyle name="Normal 4 5" xfId="1392" xr:uid="{00000000-0005-0000-0000-00008D050000}"/>
    <cellStyle name="Normal 4 5 2" xfId="1393" xr:uid="{00000000-0005-0000-0000-00008E050000}"/>
    <cellStyle name="Normal 4 5 2 2" xfId="1394" xr:uid="{00000000-0005-0000-0000-00008F050000}"/>
    <cellStyle name="Normal 4 5 2 2 2" xfId="3185" xr:uid="{76E3465B-7CBC-44BE-95F7-4F9B1AF901B6}"/>
    <cellStyle name="Normal 4 5 2 3" xfId="3184" xr:uid="{AA548108-1392-4225-B90F-5A12C2E2A9B5}"/>
    <cellStyle name="Normal 4 5 3" xfId="1395" xr:uid="{00000000-0005-0000-0000-000090050000}"/>
    <cellStyle name="Normal 4 5 3 2" xfId="3186" xr:uid="{B7962804-61E6-483B-B223-37675030AE5B}"/>
    <cellStyle name="Normal 4 5 4" xfId="3183" xr:uid="{1A135212-7167-4DD7-A2A0-97841F236307}"/>
    <cellStyle name="Normal 4 6" xfId="1396" xr:uid="{00000000-0005-0000-0000-000091050000}"/>
    <cellStyle name="Normal 4 6 2" xfId="1397" xr:uid="{00000000-0005-0000-0000-000092050000}"/>
    <cellStyle name="Normal 4 6 2 2" xfId="3188" xr:uid="{F6B2F8EA-24D7-49DE-BA91-BE5080D48E3C}"/>
    <cellStyle name="Normal 4 6 3" xfId="3187" xr:uid="{4244AC35-4D8E-410E-8B98-1B9C263521CD}"/>
    <cellStyle name="Normal 4 7" xfId="1398" xr:uid="{00000000-0005-0000-0000-000093050000}"/>
    <cellStyle name="Normal 4 7 2" xfId="3189" xr:uid="{8706EAFF-BEDC-450E-8F57-43D951E2FD8D}"/>
    <cellStyle name="Normal 4 8" xfId="1399" xr:uid="{00000000-0005-0000-0000-000094050000}"/>
    <cellStyle name="Normal 4 9" xfId="1400" xr:uid="{00000000-0005-0000-0000-000095050000}"/>
    <cellStyle name="Normal 4_Equipment" xfId="1401" xr:uid="{00000000-0005-0000-0000-000096050000}"/>
    <cellStyle name="Normal 40" xfId="3727" xr:uid="{D4365A6D-1033-438A-87F4-E4CFA4FF360E}"/>
    <cellStyle name="Normal 41" xfId="3575" xr:uid="{E958BCC4-8EDD-451F-B8EF-C3F9DDE7B966}"/>
    <cellStyle name="Normal 42" xfId="3556" xr:uid="{BF8B1F49-76AF-4C85-A3A6-63E72A369FAB}"/>
    <cellStyle name="Normal 43" xfId="3571" xr:uid="{50608DDE-3D11-473E-8793-758E5EE3A9B7}"/>
    <cellStyle name="Normal 44" xfId="3559" xr:uid="{FC348C97-D284-4AB6-9B76-65C345297871}"/>
    <cellStyle name="Normal 45" xfId="3709" xr:uid="{84739D20-7558-4C96-943C-713C691E29DC}"/>
    <cellStyle name="Normal 46" xfId="3568" xr:uid="{E044042A-B7BB-4435-8BF4-84835A125618}"/>
    <cellStyle name="Normal 47" xfId="3562" xr:uid="{E5D42CCA-71C5-4CFE-B2C3-CFDEF50FAF21}"/>
    <cellStyle name="Normal 48" xfId="3728" xr:uid="{806C0B43-11F9-42CF-8267-A4979AD7ED61}"/>
    <cellStyle name="Normal 49" xfId="3843" xr:uid="{95731069-AD9D-4BA9-AEE0-F933D4B74122}"/>
    <cellStyle name="Normal 5" xfId="1402" xr:uid="{00000000-0005-0000-0000-000097050000}"/>
    <cellStyle name="Normal 5 10" xfId="1403" xr:uid="{00000000-0005-0000-0000-000098050000}"/>
    <cellStyle name="Normal 5 11" xfId="1404" xr:uid="{00000000-0005-0000-0000-000099050000}"/>
    <cellStyle name="Normal 5 12" xfId="3586" xr:uid="{68A89D16-F2E9-47EE-B78A-C32508917F73}"/>
    <cellStyle name="Normal 5 2" xfId="1405" xr:uid="{00000000-0005-0000-0000-00009A050000}"/>
    <cellStyle name="Normal 5 2 10" xfId="1406" xr:uid="{00000000-0005-0000-0000-00009B050000}"/>
    <cellStyle name="Normal 5 2 10 2" xfId="1407" xr:uid="{00000000-0005-0000-0000-00009C050000}"/>
    <cellStyle name="Normal 5 2 10 2 2" xfId="1408" xr:uid="{00000000-0005-0000-0000-00009D050000}"/>
    <cellStyle name="Normal 5 2 10 2 2 2" xfId="3193" xr:uid="{9EEFD618-0107-4635-A7B6-9F95667A9413}"/>
    <cellStyle name="Normal 5 2 10 2 3" xfId="3192" xr:uid="{A1970275-5263-41DA-8DF4-A17962A8AD23}"/>
    <cellStyle name="Normal 5 2 10 3" xfId="1409" xr:uid="{00000000-0005-0000-0000-00009E050000}"/>
    <cellStyle name="Normal 5 2 10 3 2" xfId="3194" xr:uid="{61948EC8-E56F-493E-8645-98396B455DB9}"/>
    <cellStyle name="Normal 5 2 10 4" xfId="3191" xr:uid="{35FDC430-080E-4F98-ACFD-1AB4A5BFF2E8}"/>
    <cellStyle name="Normal 5 2 11" xfId="1410" xr:uid="{00000000-0005-0000-0000-00009F050000}"/>
    <cellStyle name="Normal 5 2 11 2" xfId="1411" xr:uid="{00000000-0005-0000-0000-0000A0050000}"/>
    <cellStyle name="Normal 5 2 11 2 2" xfId="1412" xr:uid="{00000000-0005-0000-0000-0000A1050000}"/>
    <cellStyle name="Normal 5 2 11 2 2 2" xfId="3197" xr:uid="{4CD16408-AE05-4926-B47D-EF2799BA91F6}"/>
    <cellStyle name="Normal 5 2 11 2 3" xfId="3196" xr:uid="{29BD8F49-17F8-4294-83E7-BF52D3AA3C21}"/>
    <cellStyle name="Normal 5 2 11 3" xfId="1413" xr:uid="{00000000-0005-0000-0000-0000A2050000}"/>
    <cellStyle name="Normal 5 2 11 3 2" xfId="3198" xr:uid="{B779B572-EB8A-4AE2-93AC-6A901471FDB8}"/>
    <cellStyle name="Normal 5 2 11 4" xfId="3195" xr:uid="{F56886B6-CAD8-4673-B3F6-AF1D967A4AA9}"/>
    <cellStyle name="Normal 5 2 12" xfId="1414" xr:uid="{00000000-0005-0000-0000-0000A3050000}"/>
    <cellStyle name="Normal 5 2 12 2" xfId="1415" xr:uid="{00000000-0005-0000-0000-0000A4050000}"/>
    <cellStyle name="Normal 5 2 12 2 2" xfId="1416" xr:uid="{00000000-0005-0000-0000-0000A5050000}"/>
    <cellStyle name="Normal 5 2 12 2 2 2" xfId="3201" xr:uid="{0A32BB18-F030-4C9A-8ED9-9271F2E95A50}"/>
    <cellStyle name="Normal 5 2 12 2 3" xfId="3200" xr:uid="{A5BA6A02-0EBF-4D3C-8471-017E9B644B60}"/>
    <cellStyle name="Normal 5 2 12 3" xfId="1417" xr:uid="{00000000-0005-0000-0000-0000A6050000}"/>
    <cellStyle name="Normal 5 2 12 3 2" xfId="3202" xr:uid="{12F9C575-E7A3-44D2-93C3-7BB3D696F62C}"/>
    <cellStyle name="Normal 5 2 12 4" xfId="3199" xr:uid="{9E49D733-44B0-4A05-8DE7-8980F62FF5EF}"/>
    <cellStyle name="Normal 5 2 13" xfId="1418" xr:uid="{00000000-0005-0000-0000-0000A7050000}"/>
    <cellStyle name="Normal 5 2 13 2" xfId="1419" xr:uid="{00000000-0005-0000-0000-0000A8050000}"/>
    <cellStyle name="Normal 5 2 13 2 2" xfId="1420" xr:uid="{00000000-0005-0000-0000-0000A9050000}"/>
    <cellStyle name="Normal 5 2 13 2 2 2" xfId="3205" xr:uid="{988F26ED-8840-4393-A5BE-2DD7E5869E3D}"/>
    <cellStyle name="Normal 5 2 13 2 3" xfId="3204" xr:uid="{B2D872C6-B092-4E31-AF5B-1B9A76330F62}"/>
    <cellStyle name="Normal 5 2 13 3" xfId="1421" xr:uid="{00000000-0005-0000-0000-0000AA050000}"/>
    <cellStyle name="Normal 5 2 13 3 2" xfId="3206" xr:uid="{A7E44331-27FD-40CE-8AA9-E37A4397EEB3}"/>
    <cellStyle name="Normal 5 2 13 4" xfId="3203" xr:uid="{59DC4466-FE66-4D0B-9FB1-CE73B857D962}"/>
    <cellStyle name="Normal 5 2 14" xfId="1422" xr:uid="{00000000-0005-0000-0000-0000AB050000}"/>
    <cellStyle name="Normal 5 2 14 2" xfId="1423" xr:uid="{00000000-0005-0000-0000-0000AC050000}"/>
    <cellStyle name="Normal 5 2 14 2 2" xfId="1424" xr:uid="{00000000-0005-0000-0000-0000AD050000}"/>
    <cellStyle name="Normal 5 2 14 2 2 2" xfId="3209" xr:uid="{D1133FFB-AE88-494A-A58E-87D92BBBD1B3}"/>
    <cellStyle name="Normal 5 2 14 2 3" xfId="3208" xr:uid="{067C3C08-20FA-4772-ADDB-E3CC90C980BF}"/>
    <cellStyle name="Normal 5 2 14 3" xfId="1425" xr:uid="{00000000-0005-0000-0000-0000AE050000}"/>
    <cellStyle name="Normal 5 2 14 3 2" xfId="3210" xr:uid="{F3C484B6-CAF2-40D1-80D9-442C1227687A}"/>
    <cellStyle name="Normal 5 2 14 4" xfId="3207" xr:uid="{684F5995-23F3-45FF-94C9-E5E722A669DE}"/>
    <cellStyle name="Normal 5 2 15" xfId="1426" xr:uid="{00000000-0005-0000-0000-0000AF050000}"/>
    <cellStyle name="Normal 5 2 15 2" xfId="1427" xr:uid="{00000000-0005-0000-0000-0000B0050000}"/>
    <cellStyle name="Normal 5 2 15 2 2" xfId="1428" xr:uid="{00000000-0005-0000-0000-0000B1050000}"/>
    <cellStyle name="Normal 5 2 15 2 2 2" xfId="3213" xr:uid="{A72E0B7E-74FF-4DF9-A965-6E2DF55B8BE5}"/>
    <cellStyle name="Normal 5 2 15 2 3" xfId="3212" xr:uid="{7D8AAA90-7887-42F2-91BB-17BEE2025163}"/>
    <cellStyle name="Normal 5 2 15 3" xfId="1429" xr:uid="{00000000-0005-0000-0000-0000B2050000}"/>
    <cellStyle name="Normal 5 2 15 3 2" xfId="3214" xr:uid="{E848D007-AA0F-4843-9C15-4AD427EA8C6A}"/>
    <cellStyle name="Normal 5 2 15 4" xfId="3211" xr:uid="{591D6A4F-EA70-4303-A884-DA6B7E66BA21}"/>
    <cellStyle name="Normal 5 2 16" xfId="1430" xr:uid="{00000000-0005-0000-0000-0000B3050000}"/>
    <cellStyle name="Normal 5 2 16 2" xfId="1431" xr:uid="{00000000-0005-0000-0000-0000B4050000}"/>
    <cellStyle name="Normal 5 2 16 2 2" xfId="1432" xr:uid="{00000000-0005-0000-0000-0000B5050000}"/>
    <cellStyle name="Normal 5 2 16 2 2 2" xfId="3217" xr:uid="{2801C0A3-D72C-4414-9C80-7E7D4F3E795B}"/>
    <cellStyle name="Normal 5 2 16 2 3" xfId="3216" xr:uid="{D25B9EB7-759B-4C4B-9C68-03C028ECB2A0}"/>
    <cellStyle name="Normal 5 2 16 3" xfId="1433" xr:uid="{00000000-0005-0000-0000-0000B6050000}"/>
    <cellStyle name="Normal 5 2 16 3 2" xfId="3218" xr:uid="{EAD446F9-EACE-4247-97EC-02B40ED7A807}"/>
    <cellStyle name="Normal 5 2 16 4" xfId="3215" xr:uid="{D1C07F97-1968-4BEB-A542-35A2D4D0E38C}"/>
    <cellStyle name="Normal 5 2 17" xfId="1434" xr:uid="{00000000-0005-0000-0000-0000B7050000}"/>
    <cellStyle name="Normal 5 2 17 2" xfId="1435" xr:uid="{00000000-0005-0000-0000-0000B8050000}"/>
    <cellStyle name="Normal 5 2 17 2 2" xfId="1436" xr:uid="{00000000-0005-0000-0000-0000B9050000}"/>
    <cellStyle name="Normal 5 2 17 2 2 2" xfId="3221" xr:uid="{F4D472A6-BBC5-453E-88DD-70276EB86BB8}"/>
    <cellStyle name="Normal 5 2 17 2 3" xfId="3220" xr:uid="{645AC3CA-4500-4AC2-B866-375BC95CE9C4}"/>
    <cellStyle name="Normal 5 2 17 3" xfId="1437" xr:uid="{00000000-0005-0000-0000-0000BA050000}"/>
    <cellStyle name="Normal 5 2 17 3 2" xfId="3222" xr:uid="{FC0B8D34-D755-4FF1-B2B5-807EDB0829DC}"/>
    <cellStyle name="Normal 5 2 17 4" xfId="3219" xr:uid="{1208FFCC-8335-4D1B-B563-0A07C59E0F18}"/>
    <cellStyle name="Normal 5 2 18" xfId="1438" xr:uid="{00000000-0005-0000-0000-0000BB050000}"/>
    <cellStyle name="Normal 5 2 18 2" xfId="1439" xr:uid="{00000000-0005-0000-0000-0000BC050000}"/>
    <cellStyle name="Normal 5 2 18 2 2" xfId="1440" xr:uid="{00000000-0005-0000-0000-0000BD050000}"/>
    <cellStyle name="Normal 5 2 18 2 2 2" xfId="3225" xr:uid="{25A3AC30-AB43-4ED1-AF9D-49FC4EF8D1A3}"/>
    <cellStyle name="Normal 5 2 18 2 3" xfId="3224" xr:uid="{CAFCE21D-83C7-4D30-92EB-8E96F6E7EA9E}"/>
    <cellStyle name="Normal 5 2 18 3" xfId="1441" xr:uid="{00000000-0005-0000-0000-0000BE050000}"/>
    <cellStyle name="Normal 5 2 18 3 2" xfId="3226" xr:uid="{35804CCC-B918-4F7D-9809-E4CF86C07ECA}"/>
    <cellStyle name="Normal 5 2 18 4" xfId="3223" xr:uid="{620E3BCA-F030-4CAB-B43D-05E6C112774D}"/>
    <cellStyle name="Normal 5 2 19" xfId="1442" xr:uid="{00000000-0005-0000-0000-0000BF050000}"/>
    <cellStyle name="Normal 5 2 19 2" xfId="1443" xr:uid="{00000000-0005-0000-0000-0000C0050000}"/>
    <cellStyle name="Normal 5 2 19 2 2" xfId="1444" xr:uid="{00000000-0005-0000-0000-0000C1050000}"/>
    <cellStyle name="Normal 5 2 19 2 2 2" xfId="3229" xr:uid="{BB7D7F3A-E303-456B-B119-83CE10FDC3A5}"/>
    <cellStyle name="Normal 5 2 19 2 3" xfId="3228" xr:uid="{EEB70FB8-C0D6-4A87-B1C4-E8CE33E06412}"/>
    <cellStyle name="Normal 5 2 19 3" xfId="1445" xr:uid="{00000000-0005-0000-0000-0000C2050000}"/>
    <cellStyle name="Normal 5 2 19 3 2" xfId="3230" xr:uid="{DE55221B-49C9-4105-B901-22D7BF5C0015}"/>
    <cellStyle name="Normal 5 2 19 4" xfId="3227" xr:uid="{CFCB7C27-DBDE-41DF-A64B-072A4A83E2C3}"/>
    <cellStyle name="Normal 5 2 2" xfId="1446" xr:uid="{00000000-0005-0000-0000-0000C3050000}"/>
    <cellStyle name="Normal 5 2 2 2" xfId="1447" xr:uid="{00000000-0005-0000-0000-0000C4050000}"/>
    <cellStyle name="Normal 5 2 2 2 2" xfId="1448" xr:uid="{00000000-0005-0000-0000-0000C5050000}"/>
    <cellStyle name="Normal 5 2 2 2 2 2" xfId="3233" xr:uid="{5A6989A1-F429-40B3-A9CD-38914667483C}"/>
    <cellStyle name="Normal 5 2 2 2 3" xfId="3232" xr:uid="{63AC5E24-21AE-454C-834E-5BE2DCE223D5}"/>
    <cellStyle name="Normal 5 2 2 3" xfId="1449" xr:uid="{00000000-0005-0000-0000-0000C6050000}"/>
    <cellStyle name="Normal 5 2 2 3 2" xfId="3234" xr:uid="{650A250A-C50F-48FD-814F-3B969EE9510D}"/>
    <cellStyle name="Normal 5 2 2 4" xfId="3231" xr:uid="{1A349457-5B0A-44C8-8E21-7024D2C725BD}"/>
    <cellStyle name="Normal 5 2 20" xfId="1450" xr:uid="{00000000-0005-0000-0000-0000C7050000}"/>
    <cellStyle name="Normal 5 2 20 2" xfId="1451" xr:uid="{00000000-0005-0000-0000-0000C8050000}"/>
    <cellStyle name="Normal 5 2 20 2 2" xfId="1452" xr:uid="{00000000-0005-0000-0000-0000C9050000}"/>
    <cellStyle name="Normal 5 2 20 2 2 2" xfId="3237" xr:uid="{169C58CE-C8BF-4F6F-BE2A-57FAB6DB097E}"/>
    <cellStyle name="Normal 5 2 20 2 3" xfId="3236" xr:uid="{11AB8081-DCFE-4440-ACBB-C6ED9A8325F8}"/>
    <cellStyle name="Normal 5 2 20 3" xfId="1453" xr:uid="{00000000-0005-0000-0000-0000CA050000}"/>
    <cellStyle name="Normal 5 2 20 3 2" xfId="3238" xr:uid="{17D62FBA-F345-40AD-8DE6-B1DAFBE12F20}"/>
    <cellStyle name="Normal 5 2 20 4" xfId="3235" xr:uid="{0912AC3D-1DA1-423B-ADF0-EEF11CF97412}"/>
    <cellStyle name="Normal 5 2 21" xfId="1454" xr:uid="{00000000-0005-0000-0000-0000CB050000}"/>
    <cellStyle name="Normal 5 2 21 2" xfId="1455" xr:uid="{00000000-0005-0000-0000-0000CC050000}"/>
    <cellStyle name="Normal 5 2 21 2 2" xfId="1456" xr:uid="{00000000-0005-0000-0000-0000CD050000}"/>
    <cellStyle name="Normal 5 2 21 2 2 2" xfId="3241" xr:uid="{A6768C36-0386-46EC-A453-D5043FE4ECBA}"/>
    <cellStyle name="Normal 5 2 21 2 3" xfId="3240" xr:uid="{16D23087-26FE-4FE5-A388-8C29E3CCAF35}"/>
    <cellStyle name="Normal 5 2 21 3" xfId="1457" xr:uid="{00000000-0005-0000-0000-0000CE050000}"/>
    <cellStyle name="Normal 5 2 21 3 2" xfId="3242" xr:uid="{66F16AE2-A90B-4454-B50C-43289C52CAAB}"/>
    <cellStyle name="Normal 5 2 21 4" xfId="3239" xr:uid="{816B7AC4-6F95-43FE-A3BB-D552EEF97DFC}"/>
    <cellStyle name="Normal 5 2 22" xfId="1458" xr:uid="{00000000-0005-0000-0000-0000CF050000}"/>
    <cellStyle name="Normal 5 2 22 2" xfId="1459" xr:uid="{00000000-0005-0000-0000-0000D0050000}"/>
    <cellStyle name="Normal 5 2 22 2 2" xfId="1460" xr:uid="{00000000-0005-0000-0000-0000D1050000}"/>
    <cellStyle name="Normal 5 2 22 2 2 2" xfId="3245" xr:uid="{CA5B395E-5CB1-4C95-8345-B61E564E6B58}"/>
    <cellStyle name="Normal 5 2 22 2 3" xfId="3244" xr:uid="{FC7B7437-30EA-4954-B10F-B7B60594DBA7}"/>
    <cellStyle name="Normal 5 2 22 3" xfId="1461" xr:uid="{00000000-0005-0000-0000-0000D2050000}"/>
    <cellStyle name="Normal 5 2 22 3 2" xfId="3246" xr:uid="{2599F6E0-DA0C-4934-856E-D716421FAE14}"/>
    <cellStyle name="Normal 5 2 22 4" xfId="3243" xr:uid="{B8D66DC3-DE96-40B5-8265-512674F6F33B}"/>
    <cellStyle name="Normal 5 2 23" xfId="1462" xr:uid="{00000000-0005-0000-0000-0000D3050000}"/>
    <cellStyle name="Normal 5 2 23 2" xfId="1463" xr:uid="{00000000-0005-0000-0000-0000D4050000}"/>
    <cellStyle name="Normal 5 2 23 2 2" xfId="1464" xr:uid="{00000000-0005-0000-0000-0000D5050000}"/>
    <cellStyle name="Normal 5 2 23 2 2 2" xfId="3249" xr:uid="{8012A882-1491-40A5-A21A-5E70B628BF2F}"/>
    <cellStyle name="Normal 5 2 23 2 3" xfId="3248" xr:uid="{7EA2889F-7D46-4FC3-A07B-1D79BD936230}"/>
    <cellStyle name="Normal 5 2 23 3" xfId="1465" xr:uid="{00000000-0005-0000-0000-0000D6050000}"/>
    <cellStyle name="Normal 5 2 23 3 2" xfId="3250" xr:uid="{2E2AFC08-0E30-46CE-BDB0-9D4C7C9876EB}"/>
    <cellStyle name="Normal 5 2 23 4" xfId="3247" xr:uid="{43EDC331-10AF-4835-A5B8-D49468BB1D1A}"/>
    <cellStyle name="Normal 5 2 24" xfId="1466" xr:uid="{00000000-0005-0000-0000-0000D7050000}"/>
    <cellStyle name="Normal 5 2 24 2" xfId="1467" xr:uid="{00000000-0005-0000-0000-0000D8050000}"/>
    <cellStyle name="Normal 5 2 24 2 2" xfId="1468" xr:uid="{00000000-0005-0000-0000-0000D9050000}"/>
    <cellStyle name="Normal 5 2 24 2 2 2" xfId="3253" xr:uid="{87939E6B-6D83-4219-8672-EE34E459CB71}"/>
    <cellStyle name="Normal 5 2 24 2 3" xfId="3252" xr:uid="{9686D631-4C13-40ED-A7FD-41943CD82187}"/>
    <cellStyle name="Normal 5 2 24 3" xfId="1469" xr:uid="{00000000-0005-0000-0000-0000DA050000}"/>
    <cellStyle name="Normal 5 2 24 3 2" xfId="3254" xr:uid="{2EC28CAF-5106-4CF3-A2B1-192A7FCFDD87}"/>
    <cellStyle name="Normal 5 2 24 4" xfId="3251" xr:uid="{C8AF7A41-1DF5-4F54-AFBC-D8FCD2B48C29}"/>
    <cellStyle name="Normal 5 2 25" xfId="1470" xr:uid="{00000000-0005-0000-0000-0000DB050000}"/>
    <cellStyle name="Normal 5 2 25 2" xfId="1471" xr:uid="{00000000-0005-0000-0000-0000DC050000}"/>
    <cellStyle name="Normal 5 2 25 2 2" xfId="1472" xr:uid="{00000000-0005-0000-0000-0000DD050000}"/>
    <cellStyle name="Normal 5 2 25 2 2 2" xfId="3257" xr:uid="{35F5897A-8732-49BB-8133-7018C6304DD7}"/>
    <cellStyle name="Normal 5 2 25 2 3" xfId="3256" xr:uid="{86C3431C-C660-476F-8FBF-B19B0FAB7FA2}"/>
    <cellStyle name="Normal 5 2 25 3" xfId="1473" xr:uid="{00000000-0005-0000-0000-0000DE050000}"/>
    <cellStyle name="Normal 5 2 25 3 2" xfId="3258" xr:uid="{5B53ECB5-A1C1-454C-B5E1-EDFB2A756D99}"/>
    <cellStyle name="Normal 5 2 25 4" xfId="3255" xr:uid="{0A73F2CE-7AC7-44F4-8520-43F4DC372F6B}"/>
    <cellStyle name="Normal 5 2 26" xfId="1474" xr:uid="{00000000-0005-0000-0000-0000DF050000}"/>
    <cellStyle name="Normal 5 2 26 2" xfId="1475" xr:uid="{00000000-0005-0000-0000-0000E0050000}"/>
    <cellStyle name="Normal 5 2 26 2 2" xfId="1476" xr:uid="{00000000-0005-0000-0000-0000E1050000}"/>
    <cellStyle name="Normal 5 2 26 2 2 2" xfId="3261" xr:uid="{3217F64D-189B-4E72-B08E-87F5845524E8}"/>
    <cellStyle name="Normal 5 2 26 2 3" xfId="3260" xr:uid="{58951835-635F-4E56-AC5E-C99EF534139E}"/>
    <cellStyle name="Normal 5 2 26 3" xfId="1477" xr:uid="{00000000-0005-0000-0000-0000E2050000}"/>
    <cellStyle name="Normal 5 2 26 3 2" xfId="3262" xr:uid="{E9C1AB3F-0F02-411D-9045-0AEF8E9E3D6C}"/>
    <cellStyle name="Normal 5 2 26 4" xfId="3259" xr:uid="{01EEAB2D-D8CD-452E-9E5C-F7C67D01CAE0}"/>
    <cellStyle name="Normal 5 2 27" xfId="1478" xr:uid="{00000000-0005-0000-0000-0000E3050000}"/>
    <cellStyle name="Normal 5 2 27 2" xfId="1479" xr:uid="{00000000-0005-0000-0000-0000E4050000}"/>
    <cellStyle name="Normal 5 2 27 2 2" xfId="1480" xr:uid="{00000000-0005-0000-0000-0000E5050000}"/>
    <cellStyle name="Normal 5 2 27 2 2 2" xfId="3265" xr:uid="{53DB6A17-0261-4099-B074-E8BCB9B50D9C}"/>
    <cellStyle name="Normal 5 2 27 2 3" xfId="3264" xr:uid="{FB1A7C0B-AEE7-4A0A-8891-EC4F826C58E5}"/>
    <cellStyle name="Normal 5 2 27 3" xfId="1481" xr:uid="{00000000-0005-0000-0000-0000E6050000}"/>
    <cellStyle name="Normal 5 2 27 3 2" xfId="3266" xr:uid="{95257A5F-0FC5-4615-BCA7-C7EE25DB1BD5}"/>
    <cellStyle name="Normal 5 2 27 4" xfId="3263" xr:uid="{E9EBCF60-DF65-4622-B880-60C468FE21F4}"/>
    <cellStyle name="Normal 5 2 28" xfId="1482" xr:uid="{00000000-0005-0000-0000-0000E7050000}"/>
    <cellStyle name="Normal 5 2 28 2" xfId="1483" xr:uid="{00000000-0005-0000-0000-0000E8050000}"/>
    <cellStyle name="Normal 5 2 28 2 2" xfId="1484" xr:uid="{00000000-0005-0000-0000-0000E9050000}"/>
    <cellStyle name="Normal 5 2 28 2 2 2" xfId="3269" xr:uid="{A6AC5C30-AC0D-4842-A02D-C972CBCEEA3F}"/>
    <cellStyle name="Normal 5 2 28 2 3" xfId="3268" xr:uid="{7DC7BF38-F644-448B-971E-47D3C18AF6A3}"/>
    <cellStyle name="Normal 5 2 28 3" xfId="1485" xr:uid="{00000000-0005-0000-0000-0000EA050000}"/>
    <cellStyle name="Normal 5 2 28 3 2" xfId="3270" xr:uid="{75EFD3E2-2A08-4334-AC4E-943285C7637F}"/>
    <cellStyle name="Normal 5 2 28 4" xfId="3267" xr:uid="{AFE61F28-C98A-460E-ABEC-B06979824B23}"/>
    <cellStyle name="Normal 5 2 29" xfId="1486" xr:uid="{00000000-0005-0000-0000-0000EB050000}"/>
    <cellStyle name="Normal 5 2 29 2" xfId="1487" xr:uid="{00000000-0005-0000-0000-0000EC050000}"/>
    <cellStyle name="Normal 5 2 29 2 2" xfId="1488" xr:uid="{00000000-0005-0000-0000-0000ED050000}"/>
    <cellStyle name="Normal 5 2 29 2 2 2" xfId="3273" xr:uid="{8F25A604-4395-40CF-9387-E9F57FBEEE5F}"/>
    <cellStyle name="Normal 5 2 29 2 3" xfId="3272" xr:uid="{4F2E2AB2-81C3-4185-B031-370BAA3D78EA}"/>
    <cellStyle name="Normal 5 2 29 3" xfId="1489" xr:uid="{00000000-0005-0000-0000-0000EE050000}"/>
    <cellStyle name="Normal 5 2 29 3 2" xfId="3274" xr:uid="{661AF534-8C75-4231-A882-71F91F986061}"/>
    <cellStyle name="Normal 5 2 29 4" xfId="3271" xr:uid="{08694714-887C-4BC0-ABD0-C506D7C84E90}"/>
    <cellStyle name="Normal 5 2 3" xfId="1490" xr:uid="{00000000-0005-0000-0000-0000EF050000}"/>
    <cellStyle name="Normal 5 2 3 2" xfId="1491" xr:uid="{00000000-0005-0000-0000-0000F0050000}"/>
    <cellStyle name="Normal 5 2 3 2 2" xfId="1492" xr:uid="{00000000-0005-0000-0000-0000F1050000}"/>
    <cellStyle name="Normal 5 2 3 2 2 2" xfId="3277" xr:uid="{401093E8-C708-489A-AC60-3DD4DA8907AA}"/>
    <cellStyle name="Normal 5 2 3 2 3" xfId="3276" xr:uid="{FA538309-F459-4AB3-9E36-2A2CA2846A2B}"/>
    <cellStyle name="Normal 5 2 3 3" xfId="1493" xr:uid="{00000000-0005-0000-0000-0000F2050000}"/>
    <cellStyle name="Normal 5 2 3 3 2" xfId="3278" xr:uid="{1B094191-38D8-46F9-A32C-DF3DE22AD446}"/>
    <cellStyle name="Normal 5 2 3 4" xfId="3275" xr:uid="{64B61623-C5BC-488A-9BC8-13A55F171C83}"/>
    <cellStyle name="Normal 5 2 30" xfId="1494" xr:uid="{00000000-0005-0000-0000-0000F3050000}"/>
    <cellStyle name="Normal 5 2 30 2" xfId="1495" xr:uid="{00000000-0005-0000-0000-0000F4050000}"/>
    <cellStyle name="Normal 5 2 30 2 2" xfId="1496" xr:uid="{00000000-0005-0000-0000-0000F5050000}"/>
    <cellStyle name="Normal 5 2 30 2 2 2" xfId="3281" xr:uid="{0FBB4993-BA55-44FA-BA9E-D8AE942C7B9F}"/>
    <cellStyle name="Normal 5 2 30 2 3" xfId="3280" xr:uid="{05313E73-13AE-441B-A588-4856DB5A3F41}"/>
    <cellStyle name="Normal 5 2 30 3" xfId="1497" xr:uid="{00000000-0005-0000-0000-0000F6050000}"/>
    <cellStyle name="Normal 5 2 30 3 2" xfId="3282" xr:uid="{866DFA2D-3A1D-4A05-B18F-303F4A3784A9}"/>
    <cellStyle name="Normal 5 2 30 4" xfId="3279" xr:uid="{6CA384EA-444B-4F86-B308-6A8124F605B5}"/>
    <cellStyle name="Normal 5 2 31" xfId="1498" xr:uid="{00000000-0005-0000-0000-0000F7050000}"/>
    <cellStyle name="Normal 5 2 31 2" xfId="1499" xr:uid="{00000000-0005-0000-0000-0000F8050000}"/>
    <cellStyle name="Normal 5 2 31 2 2" xfId="1500" xr:uid="{00000000-0005-0000-0000-0000F9050000}"/>
    <cellStyle name="Normal 5 2 31 2 2 2" xfId="3285" xr:uid="{B8F53482-4E33-428B-A3D4-B64A3A0E3A77}"/>
    <cellStyle name="Normal 5 2 31 2 3" xfId="3284" xr:uid="{ABA8C991-5F05-486B-9551-C7751165BC4C}"/>
    <cellStyle name="Normal 5 2 31 3" xfId="1501" xr:uid="{00000000-0005-0000-0000-0000FA050000}"/>
    <cellStyle name="Normal 5 2 31 3 2" xfId="3286" xr:uid="{ABDCC79D-9F9B-493C-86F0-81D1B0355F19}"/>
    <cellStyle name="Normal 5 2 31 4" xfId="3283" xr:uid="{95776745-55FA-45F9-A1E9-41C16C45FF5A}"/>
    <cellStyle name="Normal 5 2 32" xfId="1502" xr:uid="{00000000-0005-0000-0000-0000FB050000}"/>
    <cellStyle name="Normal 5 2 32 2" xfId="1503" xr:uid="{00000000-0005-0000-0000-0000FC050000}"/>
    <cellStyle name="Normal 5 2 32 2 2" xfId="1504" xr:uid="{00000000-0005-0000-0000-0000FD050000}"/>
    <cellStyle name="Normal 5 2 32 2 2 2" xfId="3289" xr:uid="{7CCB4253-6881-4D0E-BCA8-09D223B0DF3A}"/>
    <cellStyle name="Normal 5 2 32 2 3" xfId="3288" xr:uid="{3C09F9B9-62B4-4D04-8768-53DADCEED60D}"/>
    <cellStyle name="Normal 5 2 32 3" xfId="1505" xr:uid="{00000000-0005-0000-0000-0000FE050000}"/>
    <cellStyle name="Normal 5 2 32 3 2" xfId="3290" xr:uid="{DEBEF8ED-9C6B-4811-B7C7-C36ACA6E4F55}"/>
    <cellStyle name="Normal 5 2 32 4" xfId="3287" xr:uid="{91F3957A-226F-4E6F-B63E-B95B6A7F5654}"/>
    <cellStyle name="Normal 5 2 33" xfId="1506" xr:uid="{00000000-0005-0000-0000-0000FF050000}"/>
    <cellStyle name="Normal 5 2 33 2" xfId="1507" xr:uid="{00000000-0005-0000-0000-000000060000}"/>
    <cellStyle name="Normal 5 2 33 2 2" xfId="1508" xr:uid="{00000000-0005-0000-0000-000001060000}"/>
    <cellStyle name="Normal 5 2 33 2 2 2" xfId="3293" xr:uid="{10263177-6C95-4051-8A7F-42D8642F7772}"/>
    <cellStyle name="Normal 5 2 33 2 3" xfId="3292" xr:uid="{108CC6F1-2BB5-40C1-8AD0-C39BC1E5D3FF}"/>
    <cellStyle name="Normal 5 2 33 3" xfId="1509" xr:uid="{00000000-0005-0000-0000-000002060000}"/>
    <cellStyle name="Normal 5 2 33 3 2" xfId="3294" xr:uid="{B2035933-8BB2-4E58-94CA-4C40848D1B08}"/>
    <cellStyle name="Normal 5 2 33 4" xfId="3291" xr:uid="{249BC728-43ED-47ED-B9A8-809841FC4A42}"/>
    <cellStyle name="Normal 5 2 34" xfId="1510" xr:uid="{00000000-0005-0000-0000-000003060000}"/>
    <cellStyle name="Normal 5 2 34 2" xfId="1511" xr:uid="{00000000-0005-0000-0000-000004060000}"/>
    <cellStyle name="Normal 5 2 34 2 2" xfId="1512" xr:uid="{00000000-0005-0000-0000-000005060000}"/>
    <cellStyle name="Normal 5 2 34 2 2 2" xfId="3297" xr:uid="{485C501D-04A7-4D38-B3C1-079D19AF791F}"/>
    <cellStyle name="Normal 5 2 34 2 3" xfId="3296" xr:uid="{C465716A-69B0-4BA9-A653-A5C792F628A6}"/>
    <cellStyle name="Normal 5 2 34 3" xfId="1513" xr:uid="{00000000-0005-0000-0000-000006060000}"/>
    <cellStyle name="Normal 5 2 34 3 2" xfId="3298" xr:uid="{784C4B1B-DE79-4646-B19A-72F1F0E18018}"/>
    <cellStyle name="Normal 5 2 34 4" xfId="3295" xr:uid="{10A316C0-89FD-4B91-8329-BA3B4F438908}"/>
    <cellStyle name="Normal 5 2 35" xfId="1514" xr:uid="{00000000-0005-0000-0000-000007060000}"/>
    <cellStyle name="Normal 5 2 35 2" xfId="1515" xr:uid="{00000000-0005-0000-0000-000008060000}"/>
    <cellStyle name="Normal 5 2 35 2 2" xfId="1516" xr:uid="{00000000-0005-0000-0000-000009060000}"/>
    <cellStyle name="Normal 5 2 35 2 2 2" xfId="3301" xr:uid="{E3D35F6E-C372-4C43-8CD3-60C3659311BE}"/>
    <cellStyle name="Normal 5 2 35 2 3" xfId="3300" xr:uid="{1DC28854-C8C9-45CF-BC57-BC8ABCB9B2DC}"/>
    <cellStyle name="Normal 5 2 35 3" xfId="1517" xr:uid="{00000000-0005-0000-0000-00000A060000}"/>
    <cellStyle name="Normal 5 2 35 3 2" xfId="3302" xr:uid="{8CADD171-9BDB-42E2-97AF-6B1D97B45DD2}"/>
    <cellStyle name="Normal 5 2 35 4" xfId="3299" xr:uid="{2D11DA56-3C50-43EA-8115-7A678E977B62}"/>
    <cellStyle name="Normal 5 2 36" xfId="1518" xr:uid="{00000000-0005-0000-0000-00000B060000}"/>
    <cellStyle name="Normal 5 2 36 2" xfId="1519" xr:uid="{00000000-0005-0000-0000-00000C060000}"/>
    <cellStyle name="Normal 5 2 36 2 2" xfId="1520" xr:uid="{00000000-0005-0000-0000-00000D060000}"/>
    <cellStyle name="Normal 5 2 36 2 2 2" xfId="3305" xr:uid="{4A03AFB2-0166-435E-B0BD-9C653AE7A53F}"/>
    <cellStyle name="Normal 5 2 36 2 3" xfId="3304" xr:uid="{28A332CF-710C-4426-ACCC-4F9375A0053A}"/>
    <cellStyle name="Normal 5 2 36 3" xfId="1521" xr:uid="{00000000-0005-0000-0000-00000E060000}"/>
    <cellStyle name="Normal 5 2 36 3 2" xfId="3306" xr:uid="{4F32406D-C1C2-4C6E-A4E4-9B4BD338CB02}"/>
    <cellStyle name="Normal 5 2 36 4" xfId="3303" xr:uid="{560C2531-0E5D-4041-9443-640DFE827CA3}"/>
    <cellStyle name="Normal 5 2 37" xfId="1522" xr:uid="{00000000-0005-0000-0000-00000F060000}"/>
    <cellStyle name="Normal 5 2 37 2" xfId="1523" xr:uid="{00000000-0005-0000-0000-000010060000}"/>
    <cellStyle name="Normal 5 2 37 2 2" xfId="1524" xr:uid="{00000000-0005-0000-0000-000011060000}"/>
    <cellStyle name="Normal 5 2 37 2 2 2" xfId="3309" xr:uid="{23087331-6B08-4CF4-95A7-DEDEBD39CB34}"/>
    <cellStyle name="Normal 5 2 37 2 3" xfId="3308" xr:uid="{C87E57F9-0715-4552-91DA-7578C57CEB32}"/>
    <cellStyle name="Normal 5 2 37 3" xfId="1525" xr:uid="{00000000-0005-0000-0000-000012060000}"/>
    <cellStyle name="Normal 5 2 37 3 2" xfId="3310" xr:uid="{2CEAB78E-CC3A-4D4A-A2A8-C3A52EC424AD}"/>
    <cellStyle name="Normal 5 2 37 4" xfId="3307" xr:uid="{90DD4B42-FB2D-4040-8829-C286F2869DAF}"/>
    <cellStyle name="Normal 5 2 38" xfId="1526" xr:uid="{00000000-0005-0000-0000-000013060000}"/>
    <cellStyle name="Normal 5 2 38 2" xfId="1527" xr:uid="{00000000-0005-0000-0000-000014060000}"/>
    <cellStyle name="Normal 5 2 38 2 2" xfId="1528" xr:uid="{00000000-0005-0000-0000-000015060000}"/>
    <cellStyle name="Normal 5 2 38 2 2 2" xfId="3313" xr:uid="{92F54B6D-6BD4-495F-AC07-BBA1FFA05F24}"/>
    <cellStyle name="Normal 5 2 38 2 3" xfId="3312" xr:uid="{BDD5B4BA-A84E-4DB3-A56F-DECA02197DD8}"/>
    <cellStyle name="Normal 5 2 38 3" xfId="1529" xr:uid="{00000000-0005-0000-0000-000016060000}"/>
    <cellStyle name="Normal 5 2 38 3 2" xfId="3314" xr:uid="{1331778D-CCF4-4FCF-9DB2-E2E4CDD64E64}"/>
    <cellStyle name="Normal 5 2 38 4" xfId="3311" xr:uid="{3198775A-4299-496F-94DA-12E1518DACED}"/>
    <cellStyle name="Normal 5 2 39" xfId="1530" xr:uid="{00000000-0005-0000-0000-000017060000}"/>
    <cellStyle name="Normal 5 2 39 2" xfId="1531" xr:uid="{00000000-0005-0000-0000-000018060000}"/>
    <cellStyle name="Normal 5 2 39 2 2" xfId="1532" xr:uid="{00000000-0005-0000-0000-000019060000}"/>
    <cellStyle name="Normal 5 2 39 2 2 2" xfId="3317" xr:uid="{3B4F039E-2B80-4927-A829-F85DEF203AE0}"/>
    <cellStyle name="Normal 5 2 39 2 3" xfId="3316" xr:uid="{4611066A-D809-4343-8470-B30154134F01}"/>
    <cellStyle name="Normal 5 2 39 3" xfId="1533" xr:uid="{00000000-0005-0000-0000-00001A060000}"/>
    <cellStyle name="Normal 5 2 39 3 2" xfId="3318" xr:uid="{1AEA80A5-F443-4259-97FB-0734C29759DF}"/>
    <cellStyle name="Normal 5 2 39 4" xfId="3315" xr:uid="{F702DB78-A2A0-498A-BAF8-27EC1A3B88BE}"/>
    <cellStyle name="Normal 5 2 4" xfId="1534" xr:uid="{00000000-0005-0000-0000-00001B060000}"/>
    <cellStyle name="Normal 5 2 4 2" xfId="1535" xr:uid="{00000000-0005-0000-0000-00001C060000}"/>
    <cellStyle name="Normal 5 2 4 2 2" xfId="1536" xr:uid="{00000000-0005-0000-0000-00001D060000}"/>
    <cellStyle name="Normal 5 2 4 2 2 2" xfId="3321" xr:uid="{4DCECCB8-C525-4844-BD5A-000FB70F4F54}"/>
    <cellStyle name="Normal 5 2 4 2 3" xfId="3320" xr:uid="{10666A61-777C-433D-8739-FD42CBB20D42}"/>
    <cellStyle name="Normal 5 2 4 3" xfId="1537" xr:uid="{00000000-0005-0000-0000-00001E060000}"/>
    <cellStyle name="Normal 5 2 4 3 2" xfId="3322" xr:uid="{727B3FE3-72C8-4E1D-B6E4-0B5C6B566E9B}"/>
    <cellStyle name="Normal 5 2 4 4" xfId="3319" xr:uid="{72AAFD42-4F51-41FE-ACD3-E9A6568FD4DF}"/>
    <cellStyle name="Normal 5 2 40" xfId="1538" xr:uid="{00000000-0005-0000-0000-00001F060000}"/>
    <cellStyle name="Normal 5 2 40 2" xfId="1539" xr:uid="{00000000-0005-0000-0000-000020060000}"/>
    <cellStyle name="Normal 5 2 40 2 2" xfId="1540" xr:uid="{00000000-0005-0000-0000-000021060000}"/>
    <cellStyle name="Normal 5 2 40 2 2 2" xfId="3325" xr:uid="{40839E6A-55D2-4AEA-98BB-7C246928A24E}"/>
    <cellStyle name="Normal 5 2 40 2 3" xfId="3324" xr:uid="{4DD535B6-107F-4F85-834C-2F322E9D2F5E}"/>
    <cellStyle name="Normal 5 2 40 3" xfId="1541" xr:uid="{00000000-0005-0000-0000-000022060000}"/>
    <cellStyle name="Normal 5 2 40 3 2" xfId="3326" xr:uid="{29EE4B85-92ED-4D3D-A915-6E832AF63380}"/>
    <cellStyle name="Normal 5 2 40 4" xfId="3323" xr:uid="{01B79AF3-9219-4CA0-B1DF-794158923A94}"/>
    <cellStyle name="Normal 5 2 41" xfId="1542" xr:uid="{00000000-0005-0000-0000-000023060000}"/>
    <cellStyle name="Normal 5 2 41 2" xfId="1543" xr:uid="{00000000-0005-0000-0000-000024060000}"/>
    <cellStyle name="Normal 5 2 41 2 2" xfId="1544" xr:uid="{00000000-0005-0000-0000-000025060000}"/>
    <cellStyle name="Normal 5 2 41 2 2 2" xfId="3329" xr:uid="{A0AF4DEC-4784-4B1C-962D-94B60483B9AE}"/>
    <cellStyle name="Normal 5 2 41 2 3" xfId="3328" xr:uid="{9222F459-9D17-4CFE-88AC-990C2D0CDFFC}"/>
    <cellStyle name="Normal 5 2 41 3" xfId="1545" xr:uid="{00000000-0005-0000-0000-000026060000}"/>
    <cellStyle name="Normal 5 2 41 3 2" xfId="3330" xr:uid="{BACC22A9-31ED-4BE0-AF18-ADBB49C9268F}"/>
    <cellStyle name="Normal 5 2 41 4" xfId="3327" xr:uid="{4CDDAD5B-5D25-4E7D-9D72-01279B7A6D9C}"/>
    <cellStyle name="Normal 5 2 42" xfId="1546" xr:uid="{00000000-0005-0000-0000-000027060000}"/>
    <cellStyle name="Normal 5 2 42 2" xfId="1547" xr:uid="{00000000-0005-0000-0000-000028060000}"/>
    <cellStyle name="Normal 5 2 42 2 2" xfId="1548" xr:uid="{00000000-0005-0000-0000-000029060000}"/>
    <cellStyle name="Normal 5 2 42 2 2 2" xfId="3333" xr:uid="{FCBF1DD5-94DC-46DB-814B-F46C62A05B1A}"/>
    <cellStyle name="Normal 5 2 42 2 3" xfId="3332" xr:uid="{3BAF730B-D576-4490-878D-5DEC93FA3B5B}"/>
    <cellStyle name="Normal 5 2 42 3" xfId="1549" xr:uid="{00000000-0005-0000-0000-00002A060000}"/>
    <cellStyle name="Normal 5 2 42 3 2" xfId="3334" xr:uid="{2F61FEC7-6E26-447C-9329-474DB4B34AE2}"/>
    <cellStyle name="Normal 5 2 42 4" xfId="3331" xr:uid="{2A8E855B-0600-4ABF-9E5F-2A48FA089B47}"/>
    <cellStyle name="Normal 5 2 43" xfId="1550" xr:uid="{00000000-0005-0000-0000-00002B060000}"/>
    <cellStyle name="Normal 5 2 43 2" xfId="1551" xr:uid="{00000000-0005-0000-0000-00002C060000}"/>
    <cellStyle name="Normal 5 2 43 2 2" xfId="1552" xr:uid="{00000000-0005-0000-0000-00002D060000}"/>
    <cellStyle name="Normal 5 2 43 2 2 2" xfId="3337" xr:uid="{1C5B2122-61E3-4D22-935B-121B8ACEEE2C}"/>
    <cellStyle name="Normal 5 2 43 2 3" xfId="3336" xr:uid="{AB9EBB1D-E110-4D69-AF63-3DB1BBBCCF72}"/>
    <cellStyle name="Normal 5 2 43 3" xfId="1553" xr:uid="{00000000-0005-0000-0000-00002E060000}"/>
    <cellStyle name="Normal 5 2 43 3 2" xfId="3338" xr:uid="{69895AF7-BD0B-4780-8016-26155AD0D3B0}"/>
    <cellStyle name="Normal 5 2 43 4" xfId="3335" xr:uid="{959FDB6A-3DAB-46CB-B93C-412B386FFED5}"/>
    <cellStyle name="Normal 5 2 44" xfId="1554" xr:uid="{00000000-0005-0000-0000-00002F060000}"/>
    <cellStyle name="Normal 5 2 44 2" xfId="1555" xr:uid="{00000000-0005-0000-0000-000030060000}"/>
    <cellStyle name="Normal 5 2 44 2 2" xfId="1556" xr:uid="{00000000-0005-0000-0000-000031060000}"/>
    <cellStyle name="Normal 5 2 44 2 2 2" xfId="3341" xr:uid="{9543CE38-8C40-418D-A1D7-27F12B437CC5}"/>
    <cellStyle name="Normal 5 2 44 2 3" xfId="3340" xr:uid="{B51FB9FF-29C4-4DD1-969F-A880CE966D3E}"/>
    <cellStyle name="Normal 5 2 44 3" xfId="1557" xr:uid="{00000000-0005-0000-0000-000032060000}"/>
    <cellStyle name="Normal 5 2 44 3 2" xfId="3342" xr:uid="{F3FFB8B8-E487-4040-9FAB-7DE08AE55742}"/>
    <cellStyle name="Normal 5 2 44 4" xfId="3339" xr:uid="{38C2F7CF-D614-49F7-9171-565FC1887C92}"/>
    <cellStyle name="Normal 5 2 45" xfId="1558" xr:uid="{00000000-0005-0000-0000-000033060000}"/>
    <cellStyle name="Normal 5 2 45 2" xfId="1559" xr:uid="{00000000-0005-0000-0000-000034060000}"/>
    <cellStyle name="Normal 5 2 45 2 2" xfId="1560" xr:uid="{00000000-0005-0000-0000-000035060000}"/>
    <cellStyle name="Normal 5 2 45 2 2 2" xfId="3345" xr:uid="{60167617-A2F5-4CA5-B0E9-3B1DC1A89871}"/>
    <cellStyle name="Normal 5 2 45 2 3" xfId="3344" xr:uid="{89FC41D0-7EB5-4691-A884-E89B69EC8833}"/>
    <cellStyle name="Normal 5 2 45 3" xfId="1561" xr:uid="{00000000-0005-0000-0000-000036060000}"/>
    <cellStyle name="Normal 5 2 45 3 2" xfId="3346" xr:uid="{066E313F-7E54-48B9-B192-04657FB9B99F}"/>
    <cellStyle name="Normal 5 2 45 4" xfId="3343" xr:uid="{357350A2-70B2-4718-859E-1B82739D9BB2}"/>
    <cellStyle name="Normal 5 2 46" xfId="1562" xr:uid="{00000000-0005-0000-0000-000037060000}"/>
    <cellStyle name="Normal 5 2 46 2" xfId="1563" xr:uid="{00000000-0005-0000-0000-000038060000}"/>
    <cellStyle name="Normal 5 2 46 2 2" xfId="1564" xr:uid="{00000000-0005-0000-0000-000039060000}"/>
    <cellStyle name="Normal 5 2 46 2 2 2" xfId="3349" xr:uid="{CFBD0C62-FB84-4D89-80E1-F0294DC32962}"/>
    <cellStyle name="Normal 5 2 46 2 3" xfId="3348" xr:uid="{6895585C-73CF-4ABB-82DB-CE8DA8A1C787}"/>
    <cellStyle name="Normal 5 2 46 3" xfId="1565" xr:uid="{00000000-0005-0000-0000-00003A060000}"/>
    <cellStyle name="Normal 5 2 46 3 2" xfId="3350" xr:uid="{8C8590A5-3BE9-4CAB-B3C0-EFEEC4B6B02C}"/>
    <cellStyle name="Normal 5 2 46 4" xfId="3347" xr:uid="{71D2C355-82BB-48C0-8492-3A36F28C87B8}"/>
    <cellStyle name="Normal 5 2 47" xfId="1566" xr:uid="{00000000-0005-0000-0000-00003B060000}"/>
    <cellStyle name="Normal 5 2 47 2" xfId="1567" xr:uid="{00000000-0005-0000-0000-00003C060000}"/>
    <cellStyle name="Normal 5 2 47 2 2" xfId="1568" xr:uid="{00000000-0005-0000-0000-00003D060000}"/>
    <cellStyle name="Normal 5 2 47 2 2 2" xfId="3353" xr:uid="{7EF73733-1321-4724-BD80-A0F2576648A2}"/>
    <cellStyle name="Normal 5 2 47 2 3" xfId="3352" xr:uid="{1303D609-4C26-4402-90B1-5F3F5D8011FE}"/>
    <cellStyle name="Normal 5 2 47 3" xfId="1569" xr:uid="{00000000-0005-0000-0000-00003E060000}"/>
    <cellStyle name="Normal 5 2 47 3 2" xfId="3354" xr:uid="{DAA98E18-608E-4D2F-B715-58DFC2C6C43C}"/>
    <cellStyle name="Normal 5 2 47 4" xfId="3351" xr:uid="{81BBF1F4-4865-403F-9B9F-E5928C27CCF2}"/>
    <cellStyle name="Normal 5 2 48" xfId="1570" xr:uid="{00000000-0005-0000-0000-00003F060000}"/>
    <cellStyle name="Normal 5 2 48 2" xfId="1571" xr:uid="{00000000-0005-0000-0000-000040060000}"/>
    <cellStyle name="Normal 5 2 48 2 2" xfId="1572" xr:uid="{00000000-0005-0000-0000-000041060000}"/>
    <cellStyle name="Normal 5 2 48 2 2 2" xfId="3357" xr:uid="{C3C69AF9-B716-4854-A213-A87D1C0EEFD0}"/>
    <cellStyle name="Normal 5 2 48 2 3" xfId="3356" xr:uid="{FC9FA3E1-0212-4860-A68A-B4B08B2A11C0}"/>
    <cellStyle name="Normal 5 2 48 3" xfId="1573" xr:uid="{00000000-0005-0000-0000-000042060000}"/>
    <cellStyle name="Normal 5 2 48 3 2" xfId="3358" xr:uid="{D7EDDE25-51ED-483B-8039-2B054B3A2EF3}"/>
    <cellStyle name="Normal 5 2 48 4" xfId="3355" xr:uid="{D5AF123D-DA68-458D-85DB-3FAC9DD8E756}"/>
    <cellStyle name="Normal 5 2 49" xfId="1574" xr:uid="{00000000-0005-0000-0000-000043060000}"/>
    <cellStyle name="Normal 5 2 49 2" xfId="1575" xr:uid="{00000000-0005-0000-0000-000044060000}"/>
    <cellStyle name="Normal 5 2 49 2 2" xfId="1576" xr:uid="{00000000-0005-0000-0000-000045060000}"/>
    <cellStyle name="Normal 5 2 49 2 2 2" xfId="3361" xr:uid="{8CE7DEA4-6212-4A1C-96AA-C10FBD744D27}"/>
    <cellStyle name="Normal 5 2 49 2 3" xfId="3360" xr:uid="{7630E654-C83E-49BF-BE6E-13F2886AB09A}"/>
    <cellStyle name="Normal 5 2 49 3" xfId="1577" xr:uid="{00000000-0005-0000-0000-000046060000}"/>
    <cellStyle name="Normal 5 2 49 3 2" xfId="3362" xr:uid="{6A089D23-E819-4063-9B60-72513C66A5FE}"/>
    <cellStyle name="Normal 5 2 49 4" xfId="3359" xr:uid="{5AD70998-AD40-4FBD-BE23-0C87D5970B0D}"/>
    <cellStyle name="Normal 5 2 5" xfId="1578" xr:uid="{00000000-0005-0000-0000-000047060000}"/>
    <cellStyle name="Normal 5 2 5 2" xfId="1579" xr:uid="{00000000-0005-0000-0000-000048060000}"/>
    <cellStyle name="Normal 5 2 5 2 2" xfId="1580" xr:uid="{00000000-0005-0000-0000-000049060000}"/>
    <cellStyle name="Normal 5 2 5 2 2 2" xfId="3365" xr:uid="{91BBC581-CF3F-4E68-9F09-98C756ECCA21}"/>
    <cellStyle name="Normal 5 2 5 2 3" xfId="3364" xr:uid="{B252CB0F-CBEE-440F-BE0C-FAF52B924D54}"/>
    <cellStyle name="Normal 5 2 5 3" xfId="1581" xr:uid="{00000000-0005-0000-0000-00004A060000}"/>
    <cellStyle name="Normal 5 2 5 3 2" xfId="3366" xr:uid="{034CB7F8-D9C8-445F-ADDA-02D44AF202BA}"/>
    <cellStyle name="Normal 5 2 5 4" xfId="3363" xr:uid="{061DF71E-10CA-4C60-9ED3-CC8C6DCBE7F7}"/>
    <cellStyle name="Normal 5 2 50" xfId="1582" xr:uid="{00000000-0005-0000-0000-00004B060000}"/>
    <cellStyle name="Normal 5 2 50 2" xfId="1583" xr:uid="{00000000-0005-0000-0000-00004C060000}"/>
    <cellStyle name="Normal 5 2 50 2 2" xfId="1584" xr:uid="{00000000-0005-0000-0000-00004D060000}"/>
    <cellStyle name="Normal 5 2 50 2 2 2" xfId="3369" xr:uid="{98486C97-ACDF-4FBB-A15E-6B300B08509F}"/>
    <cellStyle name="Normal 5 2 50 2 3" xfId="3368" xr:uid="{E7515C41-6E1F-4F22-AA5C-1F62A050E826}"/>
    <cellStyle name="Normal 5 2 50 3" xfId="1585" xr:uid="{00000000-0005-0000-0000-00004E060000}"/>
    <cellStyle name="Normal 5 2 50 3 2" xfId="3370" xr:uid="{0D348DD8-36FB-493D-B5DD-6D732616A959}"/>
    <cellStyle name="Normal 5 2 50 4" xfId="3367" xr:uid="{1FD16FDE-3087-4B74-8F67-B2F0837C7D35}"/>
    <cellStyle name="Normal 5 2 51" xfId="1586" xr:uid="{00000000-0005-0000-0000-00004F060000}"/>
    <cellStyle name="Normal 5 2 51 2" xfId="1587" xr:uid="{00000000-0005-0000-0000-000050060000}"/>
    <cellStyle name="Normal 5 2 51 2 2" xfId="1588" xr:uid="{00000000-0005-0000-0000-000051060000}"/>
    <cellStyle name="Normal 5 2 51 2 2 2" xfId="3373" xr:uid="{4B743CE3-6658-4C85-97F6-DAE4A664F92C}"/>
    <cellStyle name="Normal 5 2 51 2 3" xfId="3372" xr:uid="{E3095C9A-DF4C-4A79-8530-38933A742A3D}"/>
    <cellStyle name="Normal 5 2 51 3" xfId="1589" xr:uid="{00000000-0005-0000-0000-000052060000}"/>
    <cellStyle name="Normal 5 2 51 3 2" xfId="3374" xr:uid="{DA4151B1-3DCB-4B0B-9E28-3D8765CEF371}"/>
    <cellStyle name="Normal 5 2 51 4" xfId="3371" xr:uid="{B80191DB-385A-40F8-9AC3-B957D2D7865B}"/>
    <cellStyle name="Normal 5 2 52" xfId="1590" xr:uid="{00000000-0005-0000-0000-000053060000}"/>
    <cellStyle name="Normal 5 2 52 2" xfId="1591" xr:uid="{00000000-0005-0000-0000-000054060000}"/>
    <cellStyle name="Normal 5 2 52 2 2" xfId="1592" xr:uid="{00000000-0005-0000-0000-000055060000}"/>
    <cellStyle name="Normal 5 2 52 2 2 2" xfId="3377" xr:uid="{1705A239-EC1D-47C0-9B5C-3B1E7A220F06}"/>
    <cellStyle name="Normal 5 2 52 2 3" xfId="3376" xr:uid="{CB0C5BE5-0763-4326-9294-9108C114E6AE}"/>
    <cellStyle name="Normal 5 2 52 3" xfId="1593" xr:uid="{00000000-0005-0000-0000-000056060000}"/>
    <cellStyle name="Normal 5 2 52 3 2" xfId="3378" xr:uid="{D5DE39A3-CC53-4C6E-AFA9-B63ABD07DB73}"/>
    <cellStyle name="Normal 5 2 52 4" xfId="3375" xr:uid="{92110BBE-0E9A-4F37-A834-D1B6FCBF7A71}"/>
    <cellStyle name="Normal 5 2 53" xfId="1594" xr:uid="{00000000-0005-0000-0000-000057060000}"/>
    <cellStyle name="Normal 5 2 53 2" xfId="1595" xr:uid="{00000000-0005-0000-0000-000058060000}"/>
    <cellStyle name="Normal 5 2 53 2 2" xfId="1596" xr:uid="{00000000-0005-0000-0000-000059060000}"/>
    <cellStyle name="Normal 5 2 53 2 2 2" xfId="3381" xr:uid="{0073201C-7A82-4D72-864B-90652C13DB16}"/>
    <cellStyle name="Normal 5 2 53 2 3" xfId="3380" xr:uid="{889F81D6-F1FB-4C6D-B75D-0827572634DF}"/>
    <cellStyle name="Normal 5 2 53 3" xfId="1597" xr:uid="{00000000-0005-0000-0000-00005A060000}"/>
    <cellStyle name="Normal 5 2 53 3 2" xfId="3382" xr:uid="{82ABDD57-07D0-4DAE-A0CF-A201C8DD6CA8}"/>
    <cellStyle name="Normal 5 2 53 4" xfId="3379" xr:uid="{901D395A-154B-4D36-8216-93B0245CC540}"/>
    <cellStyle name="Normal 5 2 54" xfId="1598" xr:uid="{00000000-0005-0000-0000-00005B060000}"/>
    <cellStyle name="Normal 5 2 54 2" xfId="1599" xr:uid="{00000000-0005-0000-0000-00005C060000}"/>
    <cellStyle name="Normal 5 2 54 2 2" xfId="1600" xr:uid="{00000000-0005-0000-0000-00005D060000}"/>
    <cellStyle name="Normal 5 2 54 2 2 2" xfId="3385" xr:uid="{05CA7B2F-893B-4A38-80C1-DBB64FA2954F}"/>
    <cellStyle name="Normal 5 2 54 2 3" xfId="3384" xr:uid="{A2ACF73B-F418-488D-96AF-B8969BE7E563}"/>
    <cellStyle name="Normal 5 2 54 3" xfId="1601" xr:uid="{00000000-0005-0000-0000-00005E060000}"/>
    <cellStyle name="Normal 5 2 54 3 2" xfId="3386" xr:uid="{3FD045CD-1976-4B17-8B83-6936F04D0152}"/>
    <cellStyle name="Normal 5 2 54 4" xfId="3383" xr:uid="{068AD1B3-F1C1-4A48-9DC3-2CB7D7582FDB}"/>
    <cellStyle name="Normal 5 2 55" xfId="1602" xr:uid="{00000000-0005-0000-0000-00005F060000}"/>
    <cellStyle name="Normal 5 2 55 2" xfId="1603" xr:uid="{00000000-0005-0000-0000-000060060000}"/>
    <cellStyle name="Normal 5 2 55 2 2" xfId="1604" xr:uid="{00000000-0005-0000-0000-000061060000}"/>
    <cellStyle name="Normal 5 2 55 2 2 2" xfId="3389" xr:uid="{1630801F-1FD7-474F-8872-D74F203BBDDF}"/>
    <cellStyle name="Normal 5 2 55 2 3" xfId="3388" xr:uid="{5C800B7E-5F7D-4D51-BD12-DE2EB19AA08D}"/>
    <cellStyle name="Normal 5 2 55 3" xfId="1605" xr:uid="{00000000-0005-0000-0000-000062060000}"/>
    <cellStyle name="Normal 5 2 55 3 2" xfId="3390" xr:uid="{C52ED59E-F99A-440A-8DD0-45ECCA05DB36}"/>
    <cellStyle name="Normal 5 2 55 4" xfId="3387" xr:uid="{B0BFC9E3-8F7B-4BCB-9DF3-A2DF2BD5CB05}"/>
    <cellStyle name="Normal 5 2 56" xfId="1606" xr:uid="{00000000-0005-0000-0000-000063060000}"/>
    <cellStyle name="Normal 5 2 56 2" xfId="1607" xr:uid="{00000000-0005-0000-0000-000064060000}"/>
    <cellStyle name="Normal 5 2 56 2 2" xfId="1608" xr:uid="{00000000-0005-0000-0000-000065060000}"/>
    <cellStyle name="Normal 5 2 56 2 2 2" xfId="3393" xr:uid="{CDB9BD57-5302-4FF5-A1A9-8B8B0D6C5480}"/>
    <cellStyle name="Normal 5 2 56 2 3" xfId="3392" xr:uid="{78E74774-54E8-4E67-8010-9BA0BADAA372}"/>
    <cellStyle name="Normal 5 2 56 3" xfId="1609" xr:uid="{00000000-0005-0000-0000-000066060000}"/>
    <cellStyle name="Normal 5 2 56 3 2" xfId="3394" xr:uid="{C721E6A9-6D0B-4A46-AE3F-3FB4FCD87031}"/>
    <cellStyle name="Normal 5 2 56 4" xfId="3391" xr:uid="{AC214731-EFED-47FC-A1D5-F29898FF780B}"/>
    <cellStyle name="Normal 5 2 57" xfId="1610" xr:uid="{00000000-0005-0000-0000-000067060000}"/>
    <cellStyle name="Normal 5 2 57 2" xfId="1611" xr:uid="{00000000-0005-0000-0000-000068060000}"/>
    <cellStyle name="Normal 5 2 57 2 2" xfId="1612" xr:uid="{00000000-0005-0000-0000-000069060000}"/>
    <cellStyle name="Normal 5 2 57 2 2 2" xfId="3397" xr:uid="{8CA52965-222E-4C66-9D12-A71F1C48FCE7}"/>
    <cellStyle name="Normal 5 2 57 2 3" xfId="3396" xr:uid="{6CD57BFD-E101-47EE-A251-30664293D495}"/>
    <cellStyle name="Normal 5 2 57 3" xfId="1613" xr:uid="{00000000-0005-0000-0000-00006A060000}"/>
    <cellStyle name="Normal 5 2 57 3 2" xfId="3398" xr:uid="{DCA1518A-A891-45C4-8696-C629CC0E30BA}"/>
    <cellStyle name="Normal 5 2 57 4" xfId="3395" xr:uid="{8D45010D-FF91-4565-8205-E9456BF38C4D}"/>
    <cellStyle name="Normal 5 2 58" xfId="1614" xr:uid="{00000000-0005-0000-0000-00006B060000}"/>
    <cellStyle name="Normal 5 2 58 2" xfId="1615" xr:uid="{00000000-0005-0000-0000-00006C060000}"/>
    <cellStyle name="Normal 5 2 58 2 2" xfId="1616" xr:uid="{00000000-0005-0000-0000-00006D060000}"/>
    <cellStyle name="Normal 5 2 58 2 2 2" xfId="3401" xr:uid="{C0BDD7F8-2323-458A-95CE-3E11EED10BA1}"/>
    <cellStyle name="Normal 5 2 58 2 3" xfId="3400" xr:uid="{B02C4A86-B816-48E8-B692-04EE14D9D99A}"/>
    <cellStyle name="Normal 5 2 58 3" xfId="1617" xr:uid="{00000000-0005-0000-0000-00006E060000}"/>
    <cellStyle name="Normal 5 2 58 3 2" xfId="3402" xr:uid="{BEBA794A-B585-4DE0-80FC-D12642D8A901}"/>
    <cellStyle name="Normal 5 2 58 4" xfId="3399" xr:uid="{D6F6FE71-34FD-492E-B29A-32AD0C933BBF}"/>
    <cellStyle name="Normal 5 2 59" xfId="1618" xr:uid="{00000000-0005-0000-0000-00006F060000}"/>
    <cellStyle name="Normal 5 2 59 2" xfId="1619" xr:uid="{00000000-0005-0000-0000-000070060000}"/>
    <cellStyle name="Normal 5 2 59 2 2" xfId="1620" xr:uid="{00000000-0005-0000-0000-000071060000}"/>
    <cellStyle name="Normal 5 2 59 2 2 2" xfId="3405" xr:uid="{890C9C36-5FE7-42C8-8775-2BD3DE77589F}"/>
    <cellStyle name="Normal 5 2 59 2 3" xfId="3404" xr:uid="{2DE2BF67-DB08-4966-BE4A-6BAAE0A41C4B}"/>
    <cellStyle name="Normal 5 2 59 3" xfId="1621" xr:uid="{00000000-0005-0000-0000-000072060000}"/>
    <cellStyle name="Normal 5 2 59 3 2" xfId="3406" xr:uid="{A1F5D9DD-5C49-480B-9A8E-1A124A943B92}"/>
    <cellStyle name="Normal 5 2 59 4" xfId="3403" xr:uid="{0AED2EA0-AF92-433A-91B7-537E4E2E70D9}"/>
    <cellStyle name="Normal 5 2 6" xfId="1622" xr:uid="{00000000-0005-0000-0000-000073060000}"/>
    <cellStyle name="Normal 5 2 6 2" xfId="1623" xr:uid="{00000000-0005-0000-0000-000074060000}"/>
    <cellStyle name="Normal 5 2 6 2 2" xfId="1624" xr:uid="{00000000-0005-0000-0000-000075060000}"/>
    <cellStyle name="Normal 5 2 6 2 2 2" xfId="3409" xr:uid="{5A20C44B-289D-4738-89CB-A054F54C7DB9}"/>
    <cellStyle name="Normal 5 2 6 2 3" xfId="3408" xr:uid="{A1B80764-4F84-429F-B380-567C6CE7F6FC}"/>
    <cellStyle name="Normal 5 2 6 3" xfId="1625" xr:uid="{00000000-0005-0000-0000-000076060000}"/>
    <cellStyle name="Normal 5 2 6 3 2" xfId="3410" xr:uid="{62AE0B8A-5CBB-443D-84D5-1B22529E63BA}"/>
    <cellStyle name="Normal 5 2 6 4" xfId="3407" xr:uid="{8BFAC3CC-02CF-47F3-8665-0966D69CC40E}"/>
    <cellStyle name="Normal 5 2 60" xfId="1626" xr:uid="{00000000-0005-0000-0000-000077060000}"/>
    <cellStyle name="Normal 5 2 60 2" xfId="1627" xr:uid="{00000000-0005-0000-0000-000078060000}"/>
    <cellStyle name="Normal 5 2 60 2 2" xfId="1628" xr:uid="{00000000-0005-0000-0000-000079060000}"/>
    <cellStyle name="Normal 5 2 60 2 2 2" xfId="3413" xr:uid="{E46FBD26-C473-49F2-A032-9819ECC4216B}"/>
    <cellStyle name="Normal 5 2 60 2 3" xfId="3412" xr:uid="{664876B7-888B-4484-A320-5F2DD56AAA54}"/>
    <cellStyle name="Normal 5 2 60 3" xfId="1629" xr:uid="{00000000-0005-0000-0000-00007A060000}"/>
    <cellStyle name="Normal 5 2 60 3 2" xfId="3414" xr:uid="{65431C70-2ABA-4A13-B72A-32A2B73FF9B6}"/>
    <cellStyle name="Normal 5 2 60 4" xfId="3411" xr:uid="{62F51D54-AE43-4BE1-9148-A964341B092B}"/>
    <cellStyle name="Normal 5 2 61" xfId="1630" xr:uid="{00000000-0005-0000-0000-00007B060000}"/>
    <cellStyle name="Normal 5 2 61 2" xfId="1631" xr:uid="{00000000-0005-0000-0000-00007C060000}"/>
    <cellStyle name="Normal 5 2 61 2 2" xfId="1632" xr:uid="{00000000-0005-0000-0000-00007D060000}"/>
    <cellStyle name="Normal 5 2 61 2 2 2" xfId="3417" xr:uid="{7155C84B-1BBB-4D43-87D4-C2B3D7AE48F0}"/>
    <cellStyle name="Normal 5 2 61 2 3" xfId="3416" xr:uid="{5A6413F7-A636-4FC8-807B-858E20D4481F}"/>
    <cellStyle name="Normal 5 2 61 3" xfId="1633" xr:uid="{00000000-0005-0000-0000-00007E060000}"/>
    <cellStyle name="Normal 5 2 61 3 2" xfId="3418" xr:uid="{F384678E-4BA1-4FD3-A850-F706839D76C6}"/>
    <cellStyle name="Normal 5 2 61 4" xfId="3415" xr:uid="{FE58C6DD-3F86-425F-B4F3-9E3F97239BB6}"/>
    <cellStyle name="Normal 5 2 62" xfId="1634" xr:uid="{00000000-0005-0000-0000-00007F060000}"/>
    <cellStyle name="Normal 5 2 62 2" xfId="1635" xr:uid="{00000000-0005-0000-0000-000080060000}"/>
    <cellStyle name="Normal 5 2 62 2 2" xfId="1636" xr:uid="{00000000-0005-0000-0000-000081060000}"/>
    <cellStyle name="Normal 5 2 62 2 2 2" xfId="3421" xr:uid="{FCC0D9C1-8141-41E8-832E-581CC5ED31C3}"/>
    <cellStyle name="Normal 5 2 62 2 3" xfId="3420" xr:uid="{553E53C7-8F72-4D05-9D3E-91FE59C05568}"/>
    <cellStyle name="Normal 5 2 62 3" xfId="1637" xr:uid="{00000000-0005-0000-0000-000082060000}"/>
    <cellStyle name="Normal 5 2 62 3 2" xfId="3422" xr:uid="{CC3F99F3-42A7-48E7-BA45-04004E043828}"/>
    <cellStyle name="Normal 5 2 62 4" xfId="3419" xr:uid="{7FA71CBA-305F-46ED-ABB9-7822C448C584}"/>
    <cellStyle name="Normal 5 2 63" xfId="1638" xr:uid="{00000000-0005-0000-0000-000083060000}"/>
    <cellStyle name="Normal 5 2 63 2" xfId="1639" xr:uid="{00000000-0005-0000-0000-000084060000}"/>
    <cellStyle name="Normal 5 2 63 2 2" xfId="1640" xr:uid="{00000000-0005-0000-0000-000085060000}"/>
    <cellStyle name="Normal 5 2 63 2 2 2" xfId="3425" xr:uid="{4FA77E77-884C-4797-9BFF-8D6F9F7BE672}"/>
    <cellStyle name="Normal 5 2 63 2 3" xfId="3424" xr:uid="{2A582ED3-52F0-4622-94BC-AC3B13914F94}"/>
    <cellStyle name="Normal 5 2 63 3" xfId="1641" xr:uid="{00000000-0005-0000-0000-000086060000}"/>
    <cellStyle name="Normal 5 2 63 3 2" xfId="3426" xr:uid="{2F09A38B-C1B9-4FD5-BC5F-79200DBED5AD}"/>
    <cellStyle name="Normal 5 2 63 4" xfId="3423" xr:uid="{6417FFFB-05EA-4729-B8DB-3899851FA8A4}"/>
    <cellStyle name="Normal 5 2 64" xfId="1642" xr:uid="{00000000-0005-0000-0000-000087060000}"/>
    <cellStyle name="Normal 5 2 64 2" xfId="1643" xr:uid="{00000000-0005-0000-0000-000088060000}"/>
    <cellStyle name="Normal 5 2 64 2 2" xfId="1644" xr:uid="{00000000-0005-0000-0000-000089060000}"/>
    <cellStyle name="Normal 5 2 64 2 2 2" xfId="3429" xr:uid="{AF9EDE6D-443A-4031-9B81-CB7FF5029714}"/>
    <cellStyle name="Normal 5 2 64 2 3" xfId="3428" xr:uid="{EDA44B9E-4074-462A-A8E6-6A04C78E609E}"/>
    <cellStyle name="Normal 5 2 64 3" xfId="1645" xr:uid="{00000000-0005-0000-0000-00008A060000}"/>
    <cellStyle name="Normal 5 2 64 3 2" xfId="3430" xr:uid="{F841E165-A3CE-465F-AEB3-DCAF7E68D5A7}"/>
    <cellStyle name="Normal 5 2 64 4" xfId="3427" xr:uid="{D3CB5704-4E4B-41D9-90A3-E5E437407383}"/>
    <cellStyle name="Normal 5 2 65" xfId="1646" xr:uid="{00000000-0005-0000-0000-00008B060000}"/>
    <cellStyle name="Normal 5 2 65 2" xfId="1647" xr:uid="{00000000-0005-0000-0000-00008C060000}"/>
    <cellStyle name="Normal 5 2 65 2 2" xfId="3432" xr:uid="{C5324F80-CD9F-4582-9272-F38909B4B8B2}"/>
    <cellStyle name="Normal 5 2 65 3" xfId="3431" xr:uid="{B8FA637D-B3DE-4DDC-8171-E4D0230A3E24}"/>
    <cellStyle name="Normal 5 2 66" xfId="1648" xr:uid="{00000000-0005-0000-0000-00008D060000}"/>
    <cellStyle name="Normal 5 2 66 2" xfId="1649" xr:uid="{00000000-0005-0000-0000-00008E060000}"/>
    <cellStyle name="Normal 5 2 66 2 2" xfId="3434" xr:uid="{475491C2-8175-4640-982F-D75CDA2932ED}"/>
    <cellStyle name="Normal 5 2 66 3" xfId="3433" xr:uid="{E7BD4E9D-C923-4646-B38F-42FD7C038960}"/>
    <cellStyle name="Normal 5 2 67" xfId="1650" xr:uid="{00000000-0005-0000-0000-00008F060000}"/>
    <cellStyle name="Normal 5 2 67 2" xfId="1651" xr:uid="{00000000-0005-0000-0000-000090060000}"/>
    <cellStyle name="Normal 5 2 67 2 2" xfId="3436" xr:uid="{50038506-9166-4ABC-A1D8-43E5D21849EB}"/>
    <cellStyle name="Normal 5 2 67 3" xfId="3435" xr:uid="{E018A5AF-D863-46B7-9097-9B0D965FE38C}"/>
    <cellStyle name="Normal 5 2 68" xfId="1652" xr:uid="{00000000-0005-0000-0000-000091060000}"/>
    <cellStyle name="Normal 5 2 68 2" xfId="1653" xr:uid="{00000000-0005-0000-0000-000092060000}"/>
    <cellStyle name="Normal 5 2 68 2 2" xfId="3438" xr:uid="{AA86998A-0C2C-42D3-A0B1-48F4569F9056}"/>
    <cellStyle name="Normal 5 2 68 3" xfId="3437" xr:uid="{50AF7DB0-7C3C-45E4-AACB-02D2AF3412C7}"/>
    <cellStyle name="Normal 5 2 69" xfId="1654" xr:uid="{00000000-0005-0000-0000-000093060000}"/>
    <cellStyle name="Normal 5 2 69 2" xfId="1655" xr:uid="{00000000-0005-0000-0000-000094060000}"/>
    <cellStyle name="Normal 5 2 69 2 2" xfId="3440" xr:uid="{1014B106-0D1D-4835-855E-A3B49DCD2C6E}"/>
    <cellStyle name="Normal 5 2 69 3" xfId="3439" xr:uid="{8A9626C4-3B34-469D-878E-EB4FB246F75F}"/>
    <cellStyle name="Normal 5 2 7" xfId="1656" xr:uid="{00000000-0005-0000-0000-000095060000}"/>
    <cellStyle name="Normal 5 2 7 2" xfId="1657" xr:uid="{00000000-0005-0000-0000-000096060000}"/>
    <cellStyle name="Normal 5 2 7 2 2" xfId="1658" xr:uid="{00000000-0005-0000-0000-000097060000}"/>
    <cellStyle name="Normal 5 2 7 2 2 2" xfId="3443" xr:uid="{2850CEE2-67CB-417E-9F61-B7F26CBBB643}"/>
    <cellStyle name="Normal 5 2 7 2 3" xfId="3442" xr:uid="{25726B7C-4173-4FEC-B4CD-0D0E842AC54F}"/>
    <cellStyle name="Normal 5 2 7 3" xfId="1659" xr:uid="{00000000-0005-0000-0000-000098060000}"/>
    <cellStyle name="Normal 5 2 7 3 2" xfId="3444" xr:uid="{02A68490-0D25-4D33-B672-2D019FF00DCE}"/>
    <cellStyle name="Normal 5 2 7 4" xfId="3441" xr:uid="{C5C3DE26-614B-4834-BCE3-0B5FBCB1EFD5}"/>
    <cellStyle name="Normal 5 2 70" xfId="1660" xr:uid="{00000000-0005-0000-0000-000099060000}"/>
    <cellStyle name="Normal 5 2 70 2" xfId="1661" xr:uid="{00000000-0005-0000-0000-00009A060000}"/>
    <cellStyle name="Normal 5 2 70 2 2" xfId="3446" xr:uid="{F9DC8C64-24B9-41BB-AE6C-DC8AD82F30B1}"/>
    <cellStyle name="Normal 5 2 70 3" xfId="3445" xr:uid="{F628D8D1-12B1-4132-8FED-8CC2D97D4597}"/>
    <cellStyle name="Normal 5 2 71" xfId="1662" xr:uid="{00000000-0005-0000-0000-00009B060000}"/>
    <cellStyle name="Normal 5 2 71 2" xfId="1663" xr:uid="{00000000-0005-0000-0000-00009C060000}"/>
    <cellStyle name="Normal 5 2 71 2 2" xfId="3448" xr:uid="{799C1B6A-B8FB-4DC9-BE04-F44534248459}"/>
    <cellStyle name="Normal 5 2 71 3" xfId="3447" xr:uid="{AEE60452-95BA-4E9A-85EF-610226A60623}"/>
    <cellStyle name="Normal 5 2 72" xfId="1664" xr:uid="{00000000-0005-0000-0000-00009D060000}"/>
    <cellStyle name="Normal 5 2 72 2" xfId="1665" xr:uid="{00000000-0005-0000-0000-00009E060000}"/>
    <cellStyle name="Normal 5 2 72 2 2" xfId="3450" xr:uid="{6B6689B4-91F4-4966-83B4-3014B03F1AF0}"/>
    <cellStyle name="Normal 5 2 72 3" xfId="3449" xr:uid="{2657ECCA-38AA-42A8-8032-47B12AFFB16F}"/>
    <cellStyle name="Normal 5 2 73" xfId="1666" xr:uid="{00000000-0005-0000-0000-00009F060000}"/>
    <cellStyle name="Normal 5 2 73 2" xfId="1667" xr:uid="{00000000-0005-0000-0000-0000A0060000}"/>
    <cellStyle name="Normal 5 2 73 2 2" xfId="3452" xr:uid="{A8767219-7F05-4863-8A82-75EBDC37BBD0}"/>
    <cellStyle name="Normal 5 2 73 3" xfId="3451" xr:uid="{0C8B71B5-33A0-4EF4-8654-2DFE242E377E}"/>
    <cellStyle name="Normal 5 2 74" xfId="1668" xr:uid="{00000000-0005-0000-0000-0000A1060000}"/>
    <cellStyle name="Normal 5 2 74 2" xfId="1669" xr:uid="{00000000-0005-0000-0000-0000A2060000}"/>
    <cellStyle name="Normal 5 2 74 2 2" xfId="3454" xr:uid="{771F4591-1B91-4050-B621-00EC7F47DB71}"/>
    <cellStyle name="Normal 5 2 74 3" xfId="3453" xr:uid="{340678A0-0EBC-4B55-998B-32D592FBB6F7}"/>
    <cellStyle name="Normal 5 2 75" xfId="1670" xr:uid="{00000000-0005-0000-0000-0000A3060000}"/>
    <cellStyle name="Normal 5 2 75 2" xfId="1671" xr:uid="{00000000-0005-0000-0000-0000A4060000}"/>
    <cellStyle name="Normal 5 2 75 2 2" xfId="3456" xr:uid="{7864E86E-0D7C-4A48-BCE9-59E5B6F8B6C9}"/>
    <cellStyle name="Normal 5 2 75 3" xfId="3455" xr:uid="{C62B2BD5-E421-4A9B-B34D-B2F5E6FBAD93}"/>
    <cellStyle name="Normal 5 2 76" xfId="1672" xr:uid="{00000000-0005-0000-0000-0000A5060000}"/>
    <cellStyle name="Normal 5 2 76 2" xfId="1673" xr:uid="{00000000-0005-0000-0000-0000A6060000}"/>
    <cellStyle name="Normal 5 2 76 2 2" xfId="3458" xr:uid="{70BA5DDC-60B5-43BB-B79E-2DB110F895E0}"/>
    <cellStyle name="Normal 5 2 76 3" xfId="3457" xr:uid="{C17A550E-1A37-4C11-91B7-0D5738FB5B7C}"/>
    <cellStyle name="Normal 5 2 77" xfId="1674" xr:uid="{00000000-0005-0000-0000-0000A7060000}"/>
    <cellStyle name="Normal 5 2 77 2" xfId="1675" xr:uid="{00000000-0005-0000-0000-0000A8060000}"/>
    <cellStyle name="Normal 5 2 77 2 2" xfId="3460" xr:uid="{ADC9AFDA-73A2-45BB-BD37-AFD079095883}"/>
    <cellStyle name="Normal 5 2 77 3" xfId="3459" xr:uid="{48A40936-AF3E-429A-97CB-D845551DFE73}"/>
    <cellStyle name="Normal 5 2 78" xfId="1676" xr:uid="{00000000-0005-0000-0000-0000A9060000}"/>
    <cellStyle name="Normal 5 2 78 2" xfId="1677" xr:uid="{00000000-0005-0000-0000-0000AA060000}"/>
    <cellStyle name="Normal 5 2 78 2 2" xfId="3462" xr:uid="{FEAB8C29-0CB4-434C-95D8-AD4EA5E7C29A}"/>
    <cellStyle name="Normal 5 2 78 3" xfId="3461" xr:uid="{5165D0FB-E8AA-4BD2-909C-FE334FC0BAD8}"/>
    <cellStyle name="Normal 5 2 79" xfId="1678" xr:uid="{00000000-0005-0000-0000-0000AB060000}"/>
    <cellStyle name="Normal 5 2 79 2" xfId="1679" xr:uid="{00000000-0005-0000-0000-0000AC060000}"/>
    <cellStyle name="Normal 5 2 79 2 2" xfId="3464" xr:uid="{95C60372-6C94-452C-A02F-E16A492C3FBA}"/>
    <cellStyle name="Normal 5 2 79 3" xfId="3463" xr:uid="{9E441C14-50C5-451F-BE08-9D03F35F2825}"/>
    <cellStyle name="Normal 5 2 8" xfId="1680" xr:uid="{00000000-0005-0000-0000-0000AD060000}"/>
    <cellStyle name="Normal 5 2 8 2" xfId="1681" xr:uid="{00000000-0005-0000-0000-0000AE060000}"/>
    <cellStyle name="Normal 5 2 8 2 2" xfId="1682" xr:uid="{00000000-0005-0000-0000-0000AF060000}"/>
    <cellStyle name="Normal 5 2 8 2 2 2" xfId="3467" xr:uid="{56BF9C39-5E08-495C-9919-6D80F3A8F063}"/>
    <cellStyle name="Normal 5 2 8 2 3" xfId="3466" xr:uid="{2E9E2CB3-E5A0-4F49-A51C-9D923A4417A9}"/>
    <cellStyle name="Normal 5 2 8 3" xfId="1683" xr:uid="{00000000-0005-0000-0000-0000B0060000}"/>
    <cellStyle name="Normal 5 2 8 3 2" xfId="3468" xr:uid="{F157B9B0-B961-4F36-BC7E-542D52764883}"/>
    <cellStyle name="Normal 5 2 8 4" xfId="3465" xr:uid="{E539B062-0086-45F7-B2A2-6ACE724F25EA}"/>
    <cellStyle name="Normal 5 2 80" xfId="1684" xr:uid="{00000000-0005-0000-0000-0000B1060000}"/>
    <cellStyle name="Normal 5 2 80 2" xfId="1685" xr:uid="{00000000-0005-0000-0000-0000B2060000}"/>
    <cellStyle name="Normal 5 2 80 2 2" xfId="3470" xr:uid="{7C2EB604-BEC6-4B99-B391-1C7216E36D17}"/>
    <cellStyle name="Normal 5 2 80 3" xfId="3469" xr:uid="{70E4E877-140F-49D9-A39F-12696D3AEFB6}"/>
    <cellStyle name="Normal 5 2 81" xfId="1686" xr:uid="{00000000-0005-0000-0000-0000B3060000}"/>
    <cellStyle name="Normal 5 2 81 2" xfId="1687" xr:uid="{00000000-0005-0000-0000-0000B4060000}"/>
    <cellStyle name="Normal 5 2 81 2 2" xfId="3472" xr:uid="{F1ED56CD-8960-4CB5-A6DC-012065FAC0E8}"/>
    <cellStyle name="Normal 5 2 81 3" xfId="3471" xr:uid="{108A1830-8D44-4625-80CC-D7208353F860}"/>
    <cellStyle name="Normal 5 2 82" xfId="1688" xr:uid="{00000000-0005-0000-0000-0000B5060000}"/>
    <cellStyle name="Normal 5 2 82 2" xfId="1689" xr:uid="{00000000-0005-0000-0000-0000B6060000}"/>
    <cellStyle name="Normal 5 2 82 2 2" xfId="3474" xr:uid="{23817519-67D9-464F-8F5F-1BF5FDB85A5A}"/>
    <cellStyle name="Normal 5 2 82 3" xfId="3473" xr:uid="{C829A0FA-C729-4E6E-AB98-5D99E68614B5}"/>
    <cellStyle name="Normal 5 2 83" xfId="1690" xr:uid="{00000000-0005-0000-0000-0000B7060000}"/>
    <cellStyle name="Normal 5 2 83 2" xfId="1691" xr:uid="{00000000-0005-0000-0000-0000B8060000}"/>
    <cellStyle name="Normal 5 2 83 2 2" xfId="3476" xr:uid="{13EE6382-0B3D-48AB-A55A-C0EEDBA746C3}"/>
    <cellStyle name="Normal 5 2 83 3" xfId="3475" xr:uid="{9ABE3C02-8ADB-48D0-A19B-2FCEE002CC52}"/>
    <cellStyle name="Normal 5 2 84" xfId="1692" xr:uid="{00000000-0005-0000-0000-0000B9060000}"/>
    <cellStyle name="Normal 5 2 84 2" xfId="1693" xr:uid="{00000000-0005-0000-0000-0000BA060000}"/>
    <cellStyle name="Normal 5 2 84 2 2" xfId="3478" xr:uid="{05FDF724-A9CE-443E-8EB2-E3B3A2DEA533}"/>
    <cellStyle name="Normal 5 2 84 3" xfId="3477" xr:uid="{B603C3C2-85A5-4069-9241-8873EBED2FF2}"/>
    <cellStyle name="Normal 5 2 85" xfId="1694" xr:uid="{00000000-0005-0000-0000-0000BB060000}"/>
    <cellStyle name="Normal 5 2 85 2" xfId="3479" xr:uid="{41583E38-F975-4E71-BB59-0D050F84C292}"/>
    <cellStyle name="Normal 5 2 86" xfId="1695" xr:uid="{00000000-0005-0000-0000-0000BC060000}"/>
    <cellStyle name="Normal 5 2 87" xfId="1696" xr:uid="{00000000-0005-0000-0000-0000BD060000}"/>
    <cellStyle name="Normal 5 2 88" xfId="3190" xr:uid="{EB3ECC1F-AEB7-432F-A92E-DD1C6D4C5C69}"/>
    <cellStyle name="Normal 5 2 9" xfId="1697" xr:uid="{00000000-0005-0000-0000-0000BE060000}"/>
    <cellStyle name="Normal 5 2 9 2" xfId="1698" xr:uid="{00000000-0005-0000-0000-0000BF060000}"/>
    <cellStyle name="Normal 5 2 9 2 2" xfId="1699" xr:uid="{00000000-0005-0000-0000-0000C0060000}"/>
    <cellStyle name="Normal 5 2 9 2 2 2" xfId="3482" xr:uid="{E749987C-5FA7-46A3-8EA7-7689011581DA}"/>
    <cellStyle name="Normal 5 2 9 2 3" xfId="3481" xr:uid="{F50340CC-63AF-4BEE-8132-7CE0DA88A9D4}"/>
    <cellStyle name="Normal 5 2 9 3" xfId="1700" xr:uid="{00000000-0005-0000-0000-0000C1060000}"/>
    <cellStyle name="Normal 5 2 9 3 2" xfId="3483" xr:uid="{E9873E7C-6D04-4A85-B705-A120B3AD8473}"/>
    <cellStyle name="Normal 5 2 9 4" xfId="3480" xr:uid="{0934F68F-B0A2-4903-AE42-B16DF960382D}"/>
    <cellStyle name="Normal 5 2_10" xfId="1701" xr:uid="{00000000-0005-0000-0000-0000C2060000}"/>
    <cellStyle name="Normal 5 3" xfId="1702" xr:uid="{00000000-0005-0000-0000-0000C3060000}"/>
    <cellStyle name="Normal 5 3 2" xfId="1703" xr:uid="{00000000-0005-0000-0000-0000C4060000}"/>
    <cellStyle name="Normal 5 3 2 2" xfId="1704" xr:uid="{00000000-0005-0000-0000-0000C5060000}"/>
    <cellStyle name="Normal 5 3 2 2 2" xfId="3486" xr:uid="{C23631CB-4FCC-4856-893D-8BA29EFB2B59}"/>
    <cellStyle name="Normal 5 3 2 3" xfId="3485" xr:uid="{C273F42D-A7D0-4BA0-AE30-919A95E3DEF5}"/>
    <cellStyle name="Normal 5 3 3" xfId="1705" xr:uid="{00000000-0005-0000-0000-0000C6060000}"/>
    <cellStyle name="Normal 5 3 3 2" xfId="3487" xr:uid="{7072B122-2453-4A9C-8800-2C0C54472B3F}"/>
    <cellStyle name="Normal 5 3 4" xfId="3484" xr:uid="{3FAC86AF-3D69-46E3-A9F1-28CA53A469A1}"/>
    <cellStyle name="Normal 5 4" xfId="1706" xr:uid="{00000000-0005-0000-0000-0000C7060000}"/>
    <cellStyle name="Normal 5 4 2" xfId="1707" xr:uid="{00000000-0005-0000-0000-0000C8060000}"/>
    <cellStyle name="Normal 5 4 2 2" xfId="3489" xr:uid="{91E71968-8BE1-4524-8A94-6DB09E58AFC8}"/>
    <cellStyle name="Normal 5 4 3" xfId="3488" xr:uid="{69F6C28F-B196-4428-A5AB-3F77D9D4F91F}"/>
    <cellStyle name="Normal 5 5" xfId="1708" xr:uid="{00000000-0005-0000-0000-0000C9060000}"/>
    <cellStyle name="Normal 5 5 2" xfId="3490" xr:uid="{E567FF2A-D129-475F-844C-27F1B69475D8}"/>
    <cellStyle name="Normal 5 6" xfId="1709" xr:uid="{00000000-0005-0000-0000-0000CA060000}"/>
    <cellStyle name="Normal 5 6 2" xfId="3491" xr:uid="{4E40F555-7A1C-4A09-81DF-E07D1D3CFF21}"/>
    <cellStyle name="Normal 5 7" xfId="1710" xr:uid="{00000000-0005-0000-0000-0000CB060000}"/>
    <cellStyle name="Normal 5 7 2" xfId="3492" xr:uid="{3C679E29-FDAA-46AE-8A57-C05700F39642}"/>
    <cellStyle name="Normal 5 8" xfId="1711" xr:uid="{00000000-0005-0000-0000-0000CC060000}"/>
    <cellStyle name="Normal 5 8 2" xfId="3493" xr:uid="{A400F6E3-A947-44B5-B03C-D38CA7AFFCE8}"/>
    <cellStyle name="Normal 5 9" xfId="1712" xr:uid="{00000000-0005-0000-0000-0000CD060000}"/>
    <cellStyle name="Normal 5 9 2" xfId="3494" xr:uid="{7FE473C4-8447-4733-B64E-C583C6AEDFDC}"/>
    <cellStyle name="Normal 5_Equipment" xfId="1713" xr:uid="{00000000-0005-0000-0000-0000CE060000}"/>
    <cellStyle name="Normal 50" xfId="3877" xr:uid="{133D4E2D-0BEB-4BF3-8EC8-E3CCD87140BF}"/>
    <cellStyle name="Normal 51" xfId="3879" xr:uid="{9E1F5975-D7D3-44E9-B66F-EA955D78DA06}"/>
    <cellStyle name="Normal 52" xfId="3946" xr:uid="{A60A54B5-164C-405F-97EB-B9C2131080CF}"/>
    <cellStyle name="Normal 6" xfId="1714" xr:uid="{00000000-0005-0000-0000-0000CF060000}"/>
    <cellStyle name="Normal 6 10" xfId="2080" xr:uid="{00000000-0005-0000-0000-0000D0060000}"/>
    <cellStyle name="Normal 6 2" xfId="1715" xr:uid="{00000000-0005-0000-0000-0000D1060000}"/>
    <cellStyle name="Normal 6 2 2" xfId="1716" xr:uid="{00000000-0005-0000-0000-0000D2060000}"/>
    <cellStyle name="Normal 6 2 2 2" xfId="1717" xr:uid="{00000000-0005-0000-0000-0000D3060000}"/>
    <cellStyle name="Normal 6 2 2 2 2" xfId="1718" xr:uid="{00000000-0005-0000-0000-0000D4060000}"/>
    <cellStyle name="Normal 6 2 2 2 2 2" xfId="3497" xr:uid="{12167B2F-2791-47DD-903E-16C6D334CED4}"/>
    <cellStyle name="Normal 6 2 2 2 3" xfId="3496" xr:uid="{F88B1708-E4EC-43EF-BD3D-A2379A331646}"/>
    <cellStyle name="Normal 6 2 2 3" xfId="1719" xr:uid="{00000000-0005-0000-0000-0000D5060000}"/>
    <cellStyle name="Normal 6 2 2 3 2" xfId="3498" xr:uid="{0D836CC4-3F6E-48D6-81F0-79A814270630}"/>
    <cellStyle name="Normal 6 2 2 4" xfId="1720" xr:uid="{00000000-0005-0000-0000-0000D6060000}"/>
    <cellStyle name="Normal 6 2 2 5" xfId="1721" xr:uid="{00000000-0005-0000-0000-0000D7060000}"/>
    <cellStyle name="Normal 6 2 2 6" xfId="3495" xr:uid="{BB929BBE-47C5-4F8E-9520-11F3F87D715D}"/>
    <cellStyle name="Normal 6 2 3" xfId="1722" xr:uid="{00000000-0005-0000-0000-0000D8060000}"/>
    <cellStyle name="Normal 6 2 3 2" xfId="1723" xr:uid="{00000000-0005-0000-0000-0000D9060000}"/>
    <cellStyle name="Normal 6 2 3 2 2" xfId="3500" xr:uid="{17788752-483F-4A11-858E-ED9B2DEC93B9}"/>
    <cellStyle name="Normal 6 2 3 3" xfId="3499" xr:uid="{D594B999-339D-4B6F-AC4F-A28E197FDE47}"/>
    <cellStyle name="Normal 6 2 4" xfId="1724" xr:uid="{00000000-0005-0000-0000-0000DA060000}"/>
    <cellStyle name="Normal 6 2 4 2" xfId="3501" xr:uid="{83AD1B97-AB9C-4193-B1DB-00C6D74FE6F8}"/>
    <cellStyle name="Normal 6 2 5" xfId="1725" xr:uid="{00000000-0005-0000-0000-0000DB060000}"/>
    <cellStyle name="Normal 6 2 6" xfId="1726" xr:uid="{00000000-0005-0000-0000-0000DC060000}"/>
    <cellStyle name="Normal 6 2 7" xfId="2076" xr:uid="{00000000-0005-0000-0000-0000DD060000}"/>
    <cellStyle name="Normal 6 2_Equipment" xfId="1727" xr:uid="{00000000-0005-0000-0000-0000DE060000}"/>
    <cellStyle name="Normal 6 3" xfId="1728" xr:uid="{00000000-0005-0000-0000-0000DF060000}"/>
    <cellStyle name="Normal 6 3 2" xfId="1729" xr:uid="{00000000-0005-0000-0000-0000E0060000}"/>
    <cellStyle name="Normal 6 3 2 2" xfId="1730" xr:uid="{00000000-0005-0000-0000-0000E1060000}"/>
    <cellStyle name="Normal 6 3 2 2 2" xfId="3504" xr:uid="{2F28D444-4EE6-48FE-A9E1-099BC80237BC}"/>
    <cellStyle name="Normal 6 3 2 3" xfId="3503" xr:uid="{C3CCAC53-FF82-43AD-A3E4-450BBC4CAA0A}"/>
    <cellStyle name="Normal 6 3 3" xfId="1731" xr:uid="{00000000-0005-0000-0000-0000E2060000}"/>
    <cellStyle name="Normal 6 3 3 2" xfId="3505" xr:uid="{73A01D66-6F65-4F18-82E6-D9246CB8BBFE}"/>
    <cellStyle name="Normal 6 3 4" xfId="1732" xr:uid="{00000000-0005-0000-0000-0000E3060000}"/>
    <cellStyle name="Normal 6 3 5" xfId="1733" xr:uid="{00000000-0005-0000-0000-0000E4060000}"/>
    <cellStyle name="Normal 6 3 6" xfId="3502" xr:uid="{2F5377CE-5BB2-4929-854F-FA24FC287821}"/>
    <cellStyle name="Normal 6 4" xfId="1734" xr:uid="{00000000-0005-0000-0000-0000E5060000}"/>
    <cellStyle name="Normal 6 4 2" xfId="1735" xr:uid="{00000000-0005-0000-0000-0000E6060000}"/>
    <cellStyle name="Normal 6 4 2 2" xfId="3507" xr:uid="{23BE890F-7A0B-48C7-9E65-E41C0732A691}"/>
    <cellStyle name="Normal 6 4 3" xfId="3506" xr:uid="{9486499E-7794-4200-8783-EAA9B99D28A8}"/>
    <cellStyle name="Normal 6 5" xfId="1736" xr:uid="{00000000-0005-0000-0000-0000E7060000}"/>
    <cellStyle name="Normal 6 5 2" xfId="3508" xr:uid="{95273CF4-5915-41A2-98BC-3EAFABE895ED}"/>
    <cellStyle name="Normal 6 6" xfId="1737" xr:uid="{00000000-0005-0000-0000-0000E8060000}"/>
    <cellStyle name="Normal 6 7" xfId="1738" xr:uid="{00000000-0005-0000-0000-0000E9060000}"/>
    <cellStyle name="Normal 6 8" xfId="2075" xr:uid="{00000000-0005-0000-0000-0000EA060000}"/>
    <cellStyle name="Normal 6 8 2" xfId="3587" xr:uid="{FC48BA81-95F4-4ED2-99CF-AB515F2DBEDD}"/>
    <cellStyle name="Normal 6 9" xfId="2069" xr:uid="{00000000-0005-0000-0000-0000EB060000}"/>
    <cellStyle name="Normal 6 9 2" xfId="3606" xr:uid="{0111AB3E-DE42-446B-8C1A-500864AF831A}"/>
    <cellStyle name="Normal 6_Equipment" xfId="1739" xr:uid="{00000000-0005-0000-0000-0000EC060000}"/>
    <cellStyle name="Normal 7" xfId="1740" xr:uid="{00000000-0005-0000-0000-0000ED060000}"/>
    <cellStyle name="Normal 7 2" xfId="1741" xr:uid="{00000000-0005-0000-0000-0000EE060000}"/>
    <cellStyle name="Normal 7 2 2" xfId="1742" xr:uid="{00000000-0005-0000-0000-0000EF060000}"/>
    <cellStyle name="Normal 7 2 2 2" xfId="1743" xr:uid="{00000000-0005-0000-0000-0000F0060000}"/>
    <cellStyle name="Normal 7 2 2 2 2" xfId="3511" xr:uid="{1E486211-9039-45AD-B8FF-AB030CE09FD5}"/>
    <cellStyle name="Normal 7 2 2 3" xfId="3510" xr:uid="{D6728A05-0E26-4FE3-A9E8-45707E726407}"/>
    <cellStyle name="Normal 7 2 3" xfId="1744" xr:uid="{00000000-0005-0000-0000-0000F1060000}"/>
    <cellStyle name="Normal 7 2 3 2" xfId="3512" xr:uid="{1872F128-9B4B-4C81-8620-6C6C955CDC5C}"/>
    <cellStyle name="Normal 7 2 4" xfId="1745" xr:uid="{00000000-0005-0000-0000-0000F2060000}"/>
    <cellStyle name="Normal 7 2 5" xfId="1746" xr:uid="{00000000-0005-0000-0000-0000F3060000}"/>
    <cellStyle name="Normal 7 2 6" xfId="3509" xr:uid="{62E473F0-5D89-40D2-85B1-06283253B6F0}"/>
    <cellStyle name="Normal 7 3" xfId="1747" xr:uid="{00000000-0005-0000-0000-0000F4060000}"/>
    <cellStyle name="Normal 7 3 2" xfId="1748" xr:uid="{00000000-0005-0000-0000-0000F5060000}"/>
    <cellStyle name="Normal 7 3 2 2" xfId="3514" xr:uid="{46DE679D-47E8-4AE0-9534-6DBF27AECAA7}"/>
    <cellStyle name="Normal 7 3 3" xfId="3513" xr:uid="{E71F181C-FC04-4FB8-8BDB-E53EDA00FFC0}"/>
    <cellStyle name="Normal 7 4" xfId="1749" xr:uid="{00000000-0005-0000-0000-0000F6060000}"/>
    <cellStyle name="Normal 7 4 2" xfId="3515" xr:uid="{0A7DC628-3E66-4D88-9D1E-315EA0FD7B22}"/>
    <cellStyle name="Normal 7 5" xfId="1750" xr:uid="{00000000-0005-0000-0000-0000F7060000}"/>
    <cellStyle name="Normal 7 6" xfId="1751" xr:uid="{00000000-0005-0000-0000-0000F8060000}"/>
    <cellStyle name="Normal 7 7" xfId="3588" xr:uid="{E1097FBA-8AFB-483A-8217-45ED2F51EC5B}"/>
    <cellStyle name="Normal 7_Equipment" xfId="1752" xr:uid="{00000000-0005-0000-0000-0000F9060000}"/>
    <cellStyle name="Normal 8" xfId="1753" xr:uid="{00000000-0005-0000-0000-0000FA060000}"/>
    <cellStyle name="Normal 8 2" xfId="1754" xr:uid="{00000000-0005-0000-0000-0000FB060000}"/>
    <cellStyle name="Normal 8 2 2" xfId="1755" xr:uid="{00000000-0005-0000-0000-0000FC060000}"/>
    <cellStyle name="Normal 8 2 2 2" xfId="1756" xr:uid="{00000000-0005-0000-0000-0000FD060000}"/>
    <cellStyle name="Normal 8 2 2 2 2" xfId="1757" xr:uid="{00000000-0005-0000-0000-0000FE060000}"/>
    <cellStyle name="Normal 8 2 2 2 2 2" xfId="3520" xr:uid="{C442FC58-69DF-4BCA-A9D2-AE626134951C}"/>
    <cellStyle name="Normal 8 2 2 2 3" xfId="3519" xr:uid="{34BBA597-9272-440E-B509-9BC1E5C39B1E}"/>
    <cellStyle name="Normal 8 2 2 3" xfId="1758" xr:uid="{00000000-0005-0000-0000-0000FF060000}"/>
    <cellStyle name="Normal 8 2 2 3 2" xfId="3521" xr:uid="{1CB33CE6-3925-43D3-B6FE-1B0EBC13214C}"/>
    <cellStyle name="Normal 8 2 2 4" xfId="3518" xr:uid="{0303D815-5D58-44BE-BA42-A85A7F4D5279}"/>
    <cellStyle name="Normal 8 2 3" xfId="1759" xr:uid="{00000000-0005-0000-0000-000000070000}"/>
    <cellStyle name="Normal 8 2 3 2" xfId="1760" xr:uid="{00000000-0005-0000-0000-000001070000}"/>
    <cellStyle name="Normal 8 2 3 2 2" xfId="3523" xr:uid="{B39D936C-D7E2-44C9-ADD6-98B1B826F54C}"/>
    <cellStyle name="Normal 8 2 3 3" xfId="3522" xr:uid="{37360CBD-4237-4B77-B929-E0762CEEE1A4}"/>
    <cellStyle name="Normal 8 2 4" xfId="1761" xr:uid="{00000000-0005-0000-0000-000002070000}"/>
    <cellStyle name="Normal 8 2 4 2" xfId="3524" xr:uid="{92477C52-E105-4B9D-8B96-D214026F1130}"/>
    <cellStyle name="Normal 8 2 5" xfId="3517" xr:uid="{BDC26803-5C64-4178-8DEA-D3E0FDB825A0}"/>
    <cellStyle name="Normal 8 3" xfId="1762" xr:uid="{00000000-0005-0000-0000-000003070000}"/>
    <cellStyle name="Normal 8 3 2" xfId="1763" xr:uid="{00000000-0005-0000-0000-000004070000}"/>
    <cellStyle name="Normal 8 3 2 2" xfId="1764" xr:uid="{00000000-0005-0000-0000-000005070000}"/>
    <cellStyle name="Normal 8 3 2 2 2" xfId="3527" xr:uid="{C64C4D1F-D81D-4BDD-B272-337C8952F9B8}"/>
    <cellStyle name="Normal 8 3 2 3" xfId="3526" xr:uid="{88365AB0-04D7-4670-8F67-B91CE4B8C88F}"/>
    <cellStyle name="Normal 8 3 3" xfId="1765" xr:uid="{00000000-0005-0000-0000-000006070000}"/>
    <cellStyle name="Normal 8 3 3 2" xfId="3528" xr:uid="{086586F9-DF01-4E16-A90B-56AEF10B18E4}"/>
    <cellStyle name="Normal 8 3 4" xfId="3525" xr:uid="{F8508F31-9CEC-495C-8C45-5AB8AFD92C6D}"/>
    <cellStyle name="Normal 8 4" xfId="1766" xr:uid="{00000000-0005-0000-0000-000007070000}"/>
    <cellStyle name="Normal 8 4 2" xfId="1767" xr:uid="{00000000-0005-0000-0000-000008070000}"/>
    <cellStyle name="Normal 8 4 2 2" xfId="3530" xr:uid="{70C6BD66-993C-4350-8BFB-7BDBAAA89CE8}"/>
    <cellStyle name="Normal 8 4 3" xfId="3529" xr:uid="{42A2590B-38F2-431F-8A1F-3FB61C5FE85C}"/>
    <cellStyle name="Normal 8 5" xfId="1768" xr:uid="{00000000-0005-0000-0000-000009070000}"/>
    <cellStyle name="Normal 8 5 2" xfId="3531" xr:uid="{4D829535-E156-463E-9B32-0D0B2923BF11}"/>
    <cellStyle name="Normal 8 6" xfId="1769" xr:uid="{00000000-0005-0000-0000-00000A070000}"/>
    <cellStyle name="Normal 8 7" xfId="1770" xr:uid="{00000000-0005-0000-0000-00000B070000}"/>
    <cellStyle name="Normal 8 8" xfId="1771" xr:uid="{00000000-0005-0000-0000-00000C070000}"/>
    <cellStyle name="Normal 8 9" xfId="3516" xr:uid="{AF224578-0BE7-41C6-8FAA-135E2EB0D96A}"/>
    <cellStyle name="Normal 8 9 2" xfId="3589" xr:uid="{8AD818C2-D116-4114-A458-DFD52E60535F}"/>
    <cellStyle name="Normal 8 9 3" xfId="3851" xr:uid="{4C213195-8E61-4780-9286-2EB4D76DDAE6}"/>
    <cellStyle name="Normal 8_Buma Equipment List update" xfId="1772" xr:uid="{00000000-0005-0000-0000-00000D070000}"/>
    <cellStyle name="Normal 9" xfId="1773" xr:uid="{00000000-0005-0000-0000-00000E070000}"/>
    <cellStyle name="Normal 9 2" xfId="1774" xr:uid="{00000000-0005-0000-0000-00000F070000}"/>
    <cellStyle name="Normal 9 2 2" xfId="1775" xr:uid="{00000000-0005-0000-0000-000010070000}"/>
    <cellStyle name="Normal 9 2 2 2" xfId="1776" xr:uid="{00000000-0005-0000-0000-000011070000}"/>
    <cellStyle name="Normal 9 2 2 2 2" xfId="1777" xr:uid="{00000000-0005-0000-0000-000012070000}"/>
    <cellStyle name="Normal 9 2 2 2 2 2" xfId="3535" xr:uid="{8D583A3A-B409-4B77-B367-B08761CD62C8}"/>
    <cellStyle name="Normal 9 2 2 2 3" xfId="3534" xr:uid="{3E96AD39-C1CA-4CCF-940F-0F19CBD0EC17}"/>
    <cellStyle name="Normal 9 2 2 3" xfId="1778" xr:uid="{00000000-0005-0000-0000-000013070000}"/>
    <cellStyle name="Normal 9 2 2 3 2" xfId="3536" xr:uid="{ADA921E1-F75D-494F-8E35-F36E42D118AE}"/>
    <cellStyle name="Normal 9 2 2 4" xfId="3533" xr:uid="{518D07DE-6BD5-435D-9DC6-5985D8AC6E2C}"/>
    <cellStyle name="Normal 9 2 3" xfId="1779" xr:uid="{00000000-0005-0000-0000-000014070000}"/>
    <cellStyle name="Normal 9 2 3 2" xfId="1780" xr:uid="{00000000-0005-0000-0000-000015070000}"/>
    <cellStyle name="Normal 9 2 3 2 2" xfId="3538" xr:uid="{79105789-436B-47EE-92DD-CE82E7F717F4}"/>
    <cellStyle name="Normal 9 2 3 3" xfId="3537" xr:uid="{6DDE4ACA-3678-4A36-8FA9-33B3B53ED09C}"/>
    <cellStyle name="Normal 9 2 4" xfId="1781" xr:uid="{00000000-0005-0000-0000-000016070000}"/>
    <cellStyle name="Normal 9 2 4 2" xfId="3539" xr:uid="{3F947069-CDA3-40C2-8347-09F38F6AD379}"/>
    <cellStyle name="Normal 9 2 5" xfId="3532" xr:uid="{DC72CF87-9154-44D4-9990-2833B7053F90}"/>
    <cellStyle name="Normal 9 3" xfId="1782" xr:uid="{00000000-0005-0000-0000-000017070000}"/>
    <cellStyle name="Normal 9 3 2" xfId="1783" xr:uid="{00000000-0005-0000-0000-000018070000}"/>
    <cellStyle name="Normal 9 3 2 2" xfId="1784" xr:uid="{00000000-0005-0000-0000-000019070000}"/>
    <cellStyle name="Normal 9 3 2 2 2" xfId="3542" xr:uid="{F4A71BE0-CC4E-4F57-9957-A67AEB9E9EB2}"/>
    <cellStyle name="Normal 9 3 2 3" xfId="3541" xr:uid="{0CD037BA-FB65-4A47-8BEF-50F983A7F9E0}"/>
    <cellStyle name="Normal 9 3 3" xfId="1785" xr:uid="{00000000-0005-0000-0000-00001A070000}"/>
    <cellStyle name="Normal 9 3 3 2" xfId="3543" xr:uid="{2A5984CC-C954-4352-BBDB-48E601ECCDC6}"/>
    <cellStyle name="Normal 9 3 4" xfId="3540" xr:uid="{037C276D-E1C7-47F2-8828-5965EF9E12F4}"/>
    <cellStyle name="Normal 9 4" xfId="1786" xr:uid="{00000000-0005-0000-0000-00001B070000}"/>
    <cellStyle name="Normal 9 4 2" xfId="1787" xr:uid="{00000000-0005-0000-0000-00001C070000}"/>
    <cellStyle name="Normal 9 4 2 2" xfId="3545" xr:uid="{DFEE3A8F-2A4E-43F8-90D2-CBA510298DA1}"/>
    <cellStyle name="Normal 9 4 3" xfId="3544" xr:uid="{651AA91F-DA4A-418F-B2AC-09EDC34DD880}"/>
    <cellStyle name="Normal 9 5" xfId="1788" xr:uid="{00000000-0005-0000-0000-00001D070000}"/>
    <cellStyle name="Normal 9 5 2" xfId="3546" xr:uid="{38F8204D-508F-4894-B9EF-1B1154CADEB7}"/>
    <cellStyle name="Normal 9 6" xfId="1789" xr:uid="{00000000-0005-0000-0000-00001E070000}"/>
    <cellStyle name="Normal 9 6 2" xfId="3547" xr:uid="{05C3497F-FBCC-4013-9BB0-0B444B3B2C2C}"/>
    <cellStyle name="Normal 9 7" xfId="1790" xr:uid="{00000000-0005-0000-0000-00001F070000}"/>
    <cellStyle name="Normal 9 7 2" xfId="3548" xr:uid="{F43ACFC1-AA2C-4203-93D5-68E73FA34829}"/>
    <cellStyle name="Normal 9 8" xfId="2077" xr:uid="{00000000-0005-0000-0000-000020070000}"/>
    <cellStyle name="Normal 9 8 2" xfId="3590" xr:uid="{55673AFB-75BC-4BE5-A8DC-AE9E5506B690}"/>
    <cellStyle name="Normal 9_Equipment" xfId="1791" xr:uid="{00000000-0005-0000-0000-000021070000}"/>
    <cellStyle name="Normal_08. Monthly Report_Aug_2011" xfId="1792" xr:uid="{00000000-0005-0000-0000-000022070000}"/>
    <cellStyle name="Normal_Equipment" xfId="1793" xr:uid="{00000000-0005-0000-0000-000023070000}"/>
    <cellStyle name="Normal_Equipment RN &amp; SM A" xfId="1794" xr:uid="{00000000-0005-0000-0000-000024070000}"/>
    <cellStyle name="Normal_Man Power" xfId="1795" xr:uid="{00000000-0005-0000-0000-000025070000}"/>
    <cellStyle name="Normal_Study-Model 3" xfId="1796" xr:uid="{00000000-0005-0000-0000-000026070000}"/>
    <cellStyle name="Normaၬ_pldt_7_PLDT" xfId="1797" xr:uid="{00000000-0005-0000-0000-000027070000}"/>
    <cellStyle name="Note" xfId="1798" builtinId="10" customBuiltin="1"/>
    <cellStyle name="Note 2" xfId="1799" xr:uid="{00000000-0005-0000-0000-000029070000}"/>
    <cellStyle name="Note 2 2" xfId="1800" xr:uid="{00000000-0005-0000-0000-00002A070000}"/>
    <cellStyle name="Note 2 2 2" xfId="3809" xr:uid="{DFAC897C-E533-4F73-98B7-58EB0E77B674}"/>
    <cellStyle name="Note 2 2 3" xfId="3771" xr:uid="{3C9E6B6B-E4DF-4D47-9726-5429379B3952}"/>
    <cellStyle name="Note 2 2 4" xfId="3918" xr:uid="{681B39B4-B70D-453A-9BAB-552801DEEFAF}"/>
    <cellStyle name="Note 2 3" xfId="1801" xr:uid="{00000000-0005-0000-0000-00002B070000}"/>
    <cellStyle name="Note 2 3 2" xfId="3810" xr:uid="{5F9DC6F0-1A49-4C27-A299-9CC566795E94}"/>
    <cellStyle name="Note 2 3 3" xfId="3770" xr:uid="{C4CC1E68-D8F8-44B5-A428-92BB7F2CB515}"/>
    <cellStyle name="Note 2 3 4" xfId="3917" xr:uid="{B2C70842-4112-461B-A874-86071E9D9982}"/>
    <cellStyle name="Note 2 4" xfId="1802" xr:uid="{00000000-0005-0000-0000-00002C070000}"/>
    <cellStyle name="Note 2 4 2" xfId="3811" xr:uid="{6755A70E-5AF1-4331-9A8D-2392B2D82592}"/>
    <cellStyle name="Note 2 4 3" xfId="3769" xr:uid="{CD164837-6470-434C-8531-9D8B171E876B}"/>
    <cellStyle name="Note 2 4 4" xfId="3916" xr:uid="{0FD3A838-C834-4E87-A4F1-8D8304997D5C}"/>
    <cellStyle name="Note 2 5" xfId="1803" xr:uid="{00000000-0005-0000-0000-00002D070000}"/>
    <cellStyle name="Note 2 5 2" xfId="3812" xr:uid="{FB727BCA-915D-4464-B9A8-D1B541F1D891}"/>
    <cellStyle name="Note 2 5 3" xfId="3768" xr:uid="{B2BC8DD2-448E-4A4A-BDA5-B378440DBD95}"/>
    <cellStyle name="Note 2 5 4" xfId="3915" xr:uid="{8D553606-ACA7-4413-A14A-A4CEA9CA281D}"/>
    <cellStyle name="Note 2 6" xfId="1804" xr:uid="{00000000-0005-0000-0000-00002E070000}"/>
    <cellStyle name="Note 2 6 2" xfId="3813" xr:uid="{9B4BFB23-212D-4EF5-B511-DD08D949727F}"/>
    <cellStyle name="Note 2 6 3" xfId="3767" xr:uid="{D14C772E-140E-4E7C-8749-03B63F8749B3}"/>
    <cellStyle name="Note 2 6 4" xfId="3914" xr:uid="{D3DA21CB-B35E-48B2-9656-F4D68CA1CAFA}"/>
    <cellStyle name="Note 2 7" xfId="3808" xr:uid="{31CD50EB-63FB-4A7F-AE08-576D662ADF4F}"/>
    <cellStyle name="Note 2 8" xfId="3772" xr:uid="{DCC03B0C-F29A-44F2-9A17-111AEA879A02}"/>
    <cellStyle name="Note 2 9" xfId="3919" xr:uid="{5174F210-0517-4148-A853-15AC94CF1795}"/>
    <cellStyle name="Note 2_Buma Equipment List update" xfId="1805" xr:uid="{00000000-0005-0000-0000-00002F070000}"/>
    <cellStyle name="Note 3" xfId="1806" xr:uid="{00000000-0005-0000-0000-000030070000}"/>
    <cellStyle name="Note 3 2" xfId="1807" xr:uid="{00000000-0005-0000-0000-000031070000}"/>
    <cellStyle name="Note 3 2 2" xfId="3815" xr:uid="{800E92E7-42AB-47EF-BB14-5914701D769A}"/>
    <cellStyle name="Note 3 2 3" xfId="3765" xr:uid="{FA1643F7-B4EC-40F5-AEE4-9C81DF99A6DD}"/>
    <cellStyle name="Note 3 2 4" xfId="3912" xr:uid="{F5C0DCF5-8C25-4D6F-A9B3-F5BB15BDA101}"/>
    <cellStyle name="Note 3 3" xfId="3814" xr:uid="{0DFD357A-2A5A-41FC-8893-4D443CF0A9B8}"/>
    <cellStyle name="Note 3 4" xfId="3766" xr:uid="{304B4FE8-61AB-4454-B319-79F9BA0DF7DC}"/>
    <cellStyle name="Note 3 5" xfId="3913" xr:uid="{BEBF135C-C106-4247-9981-7E7A1CBA3F5E}"/>
    <cellStyle name="Note 3_Buma Equipment List update" xfId="1808" xr:uid="{00000000-0005-0000-0000-000032070000}"/>
    <cellStyle name="Note 4" xfId="1809" xr:uid="{00000000-0005-0000-0000-000033070000}"/>
    <cellStyle name="Note 4 2" xfId="1810" xr:uid="{00000000-0005-0000-0000-000034070000}"/>
    <cellStyle name="Note 4 2 2" xfId="3817" xr:uid="{5D088316-5F99-4B50-BACD-EE9154D9A771}"/>
    <cellStyle name="Note 4 2 3" xfId="3763" xr:uid="{071F4ADF-B2F8-42B0-846E-32E357D0B089}"/>
    <cellStyle name="Note 4 2 4" xfId="3910" xr:uid="{09EC852C-324B-467B-8246-AAEC9E271819}"/>
    <cellStyle name="Note 4 3" xfId="3816" xr:uid="{83C0DA3C-0E31-4156-AB31-7457C60B4AE7}"/>
    <cellStyle name="Note 4 4" xfId="3764" xr:uid="{F502B2BF-9AB2-4D8C-8442-875B7DB27699}"/>
    <cellStyle name="Note 4 5" xfId="3911" xr:uid="{6B539A63-471A-4D3B-A0D3-A4918C28EDD5}"/>
    <cellStyle name="Note 4_Buma Equipment List update" xfId="1811" xr:uid="{00000000-0005-0000-0000-000035070000}"/>
    <cellStyle name="Œ…‹æØ‚è [0.00]_Apl" xfId="1812" xr:uid="{00000000-0005-0000-0000-000036070000}"/>
    <cellStyle name="Œ…‹æØ‚è_Apl" xfId="1813" xr:uid="{00000000-0005-0000-0000-000037070000}"/>
    <cellStyle name="Output" xfId="1814" builtinId="21" customBuiltin="1"/>
    <cellStyle name="Output 2" xfId="1815" xr:uid="{00000000-0005-0000-0000-000039070000}"/>
    <cellStyle name="Output 2 2" xfId="1816" xr:uid="{00000000-0005-0000-0000-00003A070000}"/>
    <cellStyle name="Output 2 2 2" xfId="3819" xr:uid="{7298322A-8663-4A86-BEC7-A447817F3A4B}"/>
    <cellStyle name="Output 2 2 3" xfId="3761" xr:uid="{4FECA59B-FE16-4628-ADE0-D14692C25B72}"/>
    <cellStyle name="Output 2 2 4" xfId="3908" xr:uid="{68733A65-CB23-49BF-8F7A-F5AC0748103B}"/>
    <cellStyle name="Output 2 3" xfId="1817" xr:uid="{00000000-0005-0000-0000-00003B070000}"/>
    <cellStyle name="Output 2 3 2" xfId="3820" xr:uid="{664362B4-27FB-4649-A708-72D390A0D8C1}"/>
    <cellStyle name="Output 2 3 3" xfId="3760" xr:uid="{503304D6-06FE-45EC-91F0-3A8EA0E01431}"/>
    <cellStyle name="Output 2 3 4" xfId="3907" xr:uid="{1174C3E8-1DFD-4E18-B41B-77C9B6AF92F7}"/>
    <cellStyle name="Output 2 4" xfId="1818" xr:uid="{00000000-0005-0000-0000-00003C070000}"/>
    <cellStyle name="Output 2 4 2" xfId="3821" xr:uid="{18A50FF8-EE14-402F-88DB-6A50280E6C7C}"/>
    <cellStyle name="Output 2 4 3" xfId="3759" xr:uid="{49148E88-19B5-470A-98B5-0E6D240E1F71}"/>
    <cellStyle name="Output 2 4 4" xfId="3906" xr:uid="{11B79137-6562-45BF-BCB2-A7498597749D}"/>
    <cellStyle name="Output 2 5" xfId="1819" xr:uid="{00000000-0005-0000-0000-00003D070000}"/>
    <cellStyle name="Output 2 5 2" xfId="3822" xr:uid="{0B5A0C5C-C5EA-4113-8865-53E711BE71FE}"/>
    <cellStyle name="Output 2 5 3" xfId="3758" xr:uid="{BD6978A3-3EC7-442A-80FA-F55308CF565A}"/>
    <cellStyle name="Output 2 5 4" xfId="3905" xr:uid="{747D436C-4415-4B74-818F-D8244FE8D2DD}"/>
    <cellStyle name="Output 2 6" xfId="1820" xr:uid="{00000000-0005-0000-0000-00003E070000}"/>
    <cellStyle name="Output 2 6 2" xfId="3823" xr:uid="{0A653DFE-B118-41E0-AFCD-3E5B335AABA0}"/>
    <cellStyle name="Output 2 6 3" xfId="3757" xr:uid="{2186CDCF-8F3F-4F3C-9C1B-67C59A84F022}"/>
    <cellStyle name="Output 2 6 4" xfId="3904" xr:uid="{FDD69C32-2B6A-4CED-A22F-F51A67B003BE}"/>
    <cellStyle name="Output 2 7" xfId="3818" xr:uid="{A60A32CD-6143-4D92-A6D8-BCEA19FC6A63}"/>
    <cellStyle name="Output 2 8" xfId="3762" xr:uid="{034528C5-2856-4CAF-84F4-1995958CAB22}"/>
    <cellStyle name="Output 2 9" xfId="3909" xr:uid="{A7FBFD01-E6F1-45A4-8DEC-4FDFA3612085}"/>
    <cellStyle name="Output 2_Buma Equipment List update" xfId="1821" xr:uid="{00000000-0005-0000-0000-00003F070000}"/>
    <cellStyle name="Output 3" xfId="1822" xr:uid="{00000000-0005-0000-0000-000040070000}"/>
    <cellStyle name="Output 3 2" xfId="1823" xr:uid="{00000000-0005-0000-0000-000041070000}"/>
    <cellStyle name="Output 3 2 2" xfId="3825" xr:uid="{C95FF596-3996-4444-AAFA-7A5EE28969F8}"/>
    <cellStyle name="Output 3 2 3" xfId="3755" xr:uid="{0881D54E-CE2B-4AF7-B439-E4882CA78A85}"/>
    <cellStyle name="Output 3 2 4" xfId="3902" xr:uid="{0AFEB119-7BA8-4286-8E99-7811AA008759}"/>
    <cellStyle name="Output 3 3" xfId="3824" xr:uid="{F0CA96D0-1820-461F-91C6-2D93077277EA}"/>
    <cellStyle name="Output 3 4" xfId="3756" xr:uid="{7DDD8A6C-8EBC-4530-BBFA-AB68D550BAF4}"/>
    <cellStyle name="Output 3 5" xfId="3903" xr:uid="{4E70F36F-264B-4261-A498-9292D3CF4136}"/>
    <cellStyle name="Output 3_Buma Equipment List update" xfId="1824" xr:uid="{00000000-0005-0000-0000-000042070000}"/>
    <cellStyle name="Output 4" xfId="1825" xr:uid="{00000000-0005-0000-0000-000043070000}"/>
    <cellStyle name="Output 4 2" xfId="1826" xr:uid="{00000000-0005-0000-0000-000044070000}"/>
    <cellStyle name="Output 4 2 2" xfId="3827" xr:uid="{7A392FF6-E266-44D7-B08C-6B25FEE1C4E2}"/>
    <cellStyle name="Output 4 2 3" xfId="3753" xr:uid="{3351811A-0ACF-45DF-B65F-F8D170BBA8EB}"/>
    <cellStyle name="Output 4 2 4" xfId="3900" xr:uid="{263CFC64-BAC2-467B-BAC9-34F07E035580}"/>
    <cellStyle name="Output 4 3" xfId="3826" xr:uid="{3CC05F13-86F0-477B-9EAA-ABD6273D5C9E}"/>
    <cellStyle name="Output 4 4" xfId="3754" xr:uid="{6AA209C2-7D61-4598-944E-6E43EB8CB8F4}"/>
    <cellStyle name="Output 4 5" xfId="3901" xr:uid="{8F07ED43-F47C-4243-8A5E-4988F0233C9E}"/>
    <cellStyle name="Output 4_Buma Equipment List update" xfId="1827" xr:uid="{00000000-0005-0000-0000-000045070000}"/>
    <cellStyle name="Percent" xfId="3878" builtinId="5"/>
    <cellStyle name="Percent [0]" xfId="1828" xr:uid="{00000000-0005-0000-0000-000046070000}"/>
    <cellStyle name="Percent [0] 2" xfId="1829" xr:uid="{00000000-0005-0000-0000-000047070000}"/>
    <cellStyle name="Percent [0]_Equipment" xfId="1830" xr:uid="{00000000-0005-0000-0000-000048070000}"/>
    <cellStyle name="Percent [00]" xfId="1831" xr:uid="{00000000-0005-0000-0000-000049070000}"/>
    <cellStyle name="Percent [00] 10" xfId="1832" xr:uid="{00000000-0005-0000-0000-00004A070000}"/>
    <cellStyle name="Percent [00] 11" xfId="1833" xr:uid="{00000000-0005-0000-0000-00004B070000}"/>
    <cellStyle name="Percent [00] 12" xfId="1834" xr:uid="{00000000-0005-0000-0000-00004C070000}"/>
    <cellStyle name="Percent [00] 13" xfId="1835" xr:uid="{00000000-0005-0000-0000-00004D070000}"/>
    <cellStyle name="Percent [00] 14" xfId="1836" xr:uid="{00000000-0005-0000-0000-00004E070000}"/>
    <cellStyle name="Percent [00] 15" xfId="1837" xr:uid="{00000000-0005-0000-0000-00004F070000}"/>
    <cellStyle name="Percent [00] 16" xfId="1838" xr:uid="{00000000-0005-0000-0000-000050070000}"/>
    <cellStyle name="Percent [00] 17" xfId="1839" xr:uid="{00000000-0005-0000-0000-000051070000}"/>
    <cellStyle name="Percent [00] 18" xfId="1840" xr:uid="{00000000-0005-0000-0000-000052070000}"/>
    <cellStyle name="Percent [00] 19" xfId="1841" xr:uid="{00000000-0005-0000-0000-000053070000}"/>
    <cellStyle name="Percent [00] 2" xfId="1842" xr:uid="{00000000-0005-0000-0000-000054070000}"/>
    <cellStyle name="Percent [00] 20" xfId="1843" xr:uid="{00000000-0005-0000-0000-000055070000}"/>
    <cellStyle name="Percent [00] 21" xfId="1844" xr:uid="{00000000-0005-0000-0000-000056070000}"/>
    <cellStyle name="Percent [00] 22" xfId="1845" xr:uid="{00000000-0005-0000-0000-000057070000}"/>
    <cellStyle name="Percent [00] 23" xfId="1846" xr:uid="{00000000-0005-0000-0000-000058070000}"/>
    <cellStyle name="Percent [00] 24" xfId="1847" xr:uid="{00000000-0005-0000-0000-000059070000}"/>
    <cellStyle name="Percent [00] 25" xfId="1848" xr:uid="{00000000-0005-0000-0000-00005A070000}"/>
    <cellStyle name="Percent [00] 26" xfId="1849" xr:uid="{00000000-0005-0000-0000-00005B070000}"/>
    <cellStyle name="Percent [00] 27" xfId="1850" xr:uid="{00000000-0005-0000-0000-00005C070000}"/>
    <cellStyle name="Percent [00] 28" xfId="1851" xr:uid="{00000000-0005-0000-0000-00005D070000}"/>
    <cellStyle name="Percent [00] 29" xfId="1852" xr:uid="{00000000-0005-0000-0000-00005E070000}"/>
    <cellStyle name="Percent [00] 3" xfId="1853" xr:uid="{00000000-0005-0000-0000-00005F070000}"/>
    <cellStyle name="Percent [00] 30" xfId="1854" xr:uid="{00000000-0005-0000-0000-000060070000}"/>
    <cellStyle name="Percent [00] 31" xfId="1855" xr:uid="{00000000-0005-0000-0000-000061070000}"/>
    <cellStyle name="Percent [00] 32" xfId="1856" xr:uid="{00000000-0005-0000-0000-000062070000}"/>
    <cellStyle name="Percent [00] 33" xfId="1857" xr:uid="{00000000-0005-0000-0000-000063070000}"/>
    <cellStyle name="Percent [00] 34" xfId="1858" xr:uid="{00000000-0005-0000-0000-000064070000}"/>
    <cellStyle name="Percent [00] 35" xfId="1859" xr:uid="{00000000-0005-0000-0000-000065070000}"/>
    <cellStyle name="Percent [00] 36" xfId="1860" xr:uid="{00000000-0005-0000-0000-000066070000}"/>
    <cellStyle name="Percent [00] 37" xfId="1861" xr:uid="{00000000-0005-0000-0000-000067070000}"/>
    <cellStyle name="Percent [00] 38" xfId="1862" xr:uid="{00000000-0005-0000-0000-000068070000}"/>
    <cellStyle name="Percent [00] 39" xfId="1863" xr:uid="{00000000-0005-0000-0000-000069070000}"/>
    <cellStyle name="Percent [00] 4" xfId="1864" xr:uid="{00000000-0005-0000-0000-00006A070000}"/>
    <cellStyle name="Percent [00] 40" xfId="1865" xr:uid="{00000000-0005-0000-0000-00006B070000}"/>
    <cellStyle name="Percent [00] 41" xfId="1866" xr:uid="{00000000-0005-0000-0000-00006C070000}"/>
    <cellStyle name="Percent [00] 42" xfId="1867" xr:uid="{00000000-0005-0000-0000-00006D070000}"/>
    <cellStyle name="Percent [00] 43" xfId="1868" xr:uid="{00000000-0005-0000-0000-00006E070000}"/>
    <cellStyle name="Percent [00] 44" xfId="1869" xr:uid="{00000000-0005-0000-0000-00006F070000}"/>
    <cellStyle name="Percent [00] 45" xfId="1870" xr:uid="{00000000-0005-0000-0000-000070070000}"/>
    <cellStyle name="Percent [00] 46" xfId="1871" xr:uid="{00000000-0005-0000-0000-000071070000}"/>
    <cellStyle name="Percent [00] 47" xfId="1872" xr:uid="{00000000-0005-0000-0000-000072070000}"/>
    <cellStyle name="Percent [00] 48" xfId="1873" xr:uid="{00000000-0005-0000-0000-000073070000}"/>
    <cellStyle name="Percent [00] 49" xfId="1874" xr:uid="{00000000-0005-0000-0000-000074070000}"/>
    <cellStyle name="Percent [00] 5" xfId="1875" xr:uid="{00000000-0005-0000-0000-000075070000}"/>
    <cellStyle name="Percent [00] 50" xfId="1876" xr:uid="{00000000-0005-0000-0000-000076070000}"/>
    <cellStyle name="Percent [00] 51" xfId="1877" xr:uid="{00000000-0005-0000-0000-000077070000}"/>
    <cellStyle name="Percent [00] 52" xfId="1878" xr:uid="{00000000-0005-0000-0000-000078070000}"/>
    <cellStyle name="Percent [00] 6" xfId="1879" xr:uid="{00000000-0005-0000-0000-000079070000}"/>
    <cellStyle name="Percent [00] 7" xfId="1880" xr:uid="{00000000-0005-0000-0000-00007A070000}"/>
    <cellStyle name="Percent [00] 8" xfId="1881" xr:uid="{00000000-0005-0000-0000-00007B070000}"/>
    <cellStyle name="Percent [00] 9" xfId="1882" xr:uid="{00000000-0005-0000-0000-00007C070000}"/>
    <cellStyle name="Percent [00]_Equipment" xfId="1883" xr:uid="{00000000-0005-0000-0000-00007D070000}"/>
    <cellStyle name="Percent [2]" xfId="1884" xr:uid="{00000000-0005-0000-0000-00007E070000}"/>
    <cellStyle name="Percent [2] 2" xfId="1885" xr:uid="{00000000-0005-0000-0000-00007F070000}"/>
    <cellStyle name="Percent 10" xfId="2088" xr:uid="{00000000-0005-0000-0000-000080070000}"/>
    <cellStyle name="Percent 10 2" xfId="2163" xr:uid="{8897D247-4FA7-4B51-842C-345C97D3BDF8}"/>
    <cellStyle name="Percent 10 3" xfId="3609" xr:uid="{929BE41C-2ABE-4516-AE41-6A4127E0BCAF}"/>
    <cellStyle name="Percent 10 4" xfId="3854" xr:uid="{ED695A70-10FB-4B82-B7AC-78F17DF04AEE}"/>
    <cellStyle name="Percent 11" xfId="2091" xr:uid="{00000000-0005-0000-0000-000081070000}"/>
    <cellStyle name="Percent 11 2" xfId="2166" xr:uid="{E41B3565-3873-43DD-98E5-3C65C5B43850}"/>
    <cellStyle name="Percent 11 3" xfId="3611" xr:uid="{A3C434AD-5CD0-4A3E-AAF2-23AB32AF47E5}"/>
    <cellStyle name="Percent 11 4" xfId="3856" xr:uid="{40120EB2-2D83-462A-9F0A-0279D13B31C3}"/>
    <cellStyle name="Percent 12" xfId="2093" xr:uid="{00000000-0005-0000-0000-000082070000}"/>
    <cellStyle name="Percent 12 2" xfId="2168" xr:uid="{BFDA8243-3EFF-4ED5-8CB7-42CC6C7C5803}"/>
    <cellStyle name="Percent 12 3" xfId="3613" xr:uid="{94DFC69E-E92E-4EB3-99C1-1ACD63C366AE}"/>
    <cellStyle name="Percent 12 4" xfId="3858" xr:uid="{1FEC1297-FDAF-4D8C-A4A2-48BB8133A663}"/>
    <cellStyle name="Percent 13" xfId="2096" xr:uid="{00000000-0005-0000-0000-000083070000}"/>
    <cellStyle name="Percent 13 2" xfId="2171" xr:uid="{AD6A7888-C44C-4FD4-AA9A-31D1409DAB03}"/>
    <cellStyle name="Percent 13 3" xfId="3615" xr:uid="{0F18C2D0-E808-4ED8-B9BF-E0B1AAD0EA34}"/>
    <cellStyle name="Percent 13 4" xfId="3860" xr:uid="{CB29F0D5-ADC5-4169-B773-2979D800E8C2}"/>
    <cellStyle name="Percent 14" xfId="3549" xr:uid="{BB3BBDD6-F955-491A-A676-4D22112BD600}"/>
    <cellStyle name="Percent 14 2" xfId="3617" xr:uid="{D7824810-6643-4C6D-84C7-7772F903A6E2}"/>
    <cellStyle name="Percent 14 3" xfId="3862" xr:uid="{7B1641BC-CE78-4AC8-9C98-96A785C5BBCC}"/>
    <cellStyle name="Percent 15" xfId="2061" xr:uid="{00000000-0005-0000-0000-000084070000}"/>
    <cellStyle name="Percent 15 2" xfId="2149" xr:uid="{1DCF72F3-B437-482B-AF13-DDFEC77414C2}"/>
    <cellStyle name="Percent 15 3" xfId="3619" xr:uid="{9EF2045F-C407-4CD8-A278-5FF1A3B8BC4C}"/>
    <cellStyle name="Percent 15 4" xfId="3864" xr:uid="{F0E8A0D1-4D3D-4854-BE0C-7593AB137C89}"/>
    <cellStyle name="Percent 16" xfId="3554" xr:uid="{7E368F01-36D2-4FF7-B6EA-AB1B538AEDBE}"/>
    <cellStyle name="Percent 16 2" xfId="3625" xr:uid="{8CAD83F3-FC84-49AB-8C39-6FECE9646E10}"/>
    <cellStyle name="Percent 16 3" xfId="3869" xr:uid="{2C433445-5623-4BF0-8F8A-8727F2FB8B59}"/>
    <cellStyle name="Percent 17" xfId="3579" xr:uid="{CD342C58-938D-49C4-80AB-78E68B5E50E1}"/>
    <cellStyle name="Percent 18" xfId="3725" xr:uid="{3B23D51C-A226-4E0B-95B5-61FCB11A43DF}"/>
    <cellStyle name="Percent 19" xfId="3572" xr:uid="{607D148D-C555-46D6-B76B-28A752968A31}"/>
    <cellStyle name="Percent 2" xfId="1886" xr:uid="{00000000-0005-0000-0000-000085070000}"/>
    <cellStyle name="Percent 2 10" xfId="3710" xr:uid="{F4AD0819-63B3-4C90-BEA5-0BA6DF0F9649}"/>
    <cellStyle name="Percent 2 2" xfId="1887" xr:uid="{00000000-0005-0000-0000-000086070000}"/>
    <cellStyle name="Percent 2 2 2" xfId="3711" xr:uid="{94E432E3-ECA8-4104-B200-BB17251F2A3F}"/>
    <cellStyle name="Percent 2 3" xfId="1888" xr:uid="{00000000-0005-0000-0000-000087070000}"/>
    <cellStyle name="Percent 2 3 2" xfId="3712" xr:uid="{5D93E754-A765-4D9C-8E5C-738F3771BB7A}"/>
    <cellStyle name="Percent 2 4" xfId="1889" xr:uid="{00000000-0005-0000-0000-000088070000}"/>
    <cellStyle name="Percent 2 5" xfId="3713" xr:uid="{DAAD275D-747D-4C58-B994-F1FD884C7BDD}"/>
    <cellStyle name="Percent 2 6" xfId="3714" xr:uid="{726D17CC-9B0F-4D29-BC03-EDA7810E2C08}"/>
    <cellStyle name="Percent 2 7" xfId="3715" xr:uid="{9AF7B962-3F5C-4F70-AD3D-2A1301FC67ED}"/>
    <cellStyle name="Percent 2 8" xfId="3716" xr:uid="{8070AA02-20A1-41B2-AE8E-CFBA9F1A3E67}"/>
    <cellStyle name="Percent 2 9" xfId="3717" xr:uid="{15C795C6-E73D-4356-8126-3104DC2EC61C}"/>
    <cellStyle name="Percent 20" xfId="3558" xr:uid="{850FD056-FEF3-4B91-B93D-203CADA0F397}"/>
    <cellStyle name="Percent 21" xfId="3569" xr:uid="{888190ED-90F4-4CD6-86F4-5739713EBFF2}"/>
    <cellStyle name="Percent 22" xfId="3561" xr:uid="{121F094E-1C44-44C8-8463-4C100738DB1E}"/>
    <cellStyle name="Percent 23" xfId="3566" xr:uid="{1E531467-A3D7-436B-BB95-EAA2BB02A6C3}"/>
    <cellStyle name="Percent 24" xfId="3576" xr:uid="{E6F64978-9136-4A54-AC86-6F08FB170652}"/>
    <cellStyle name="Percent 25" xfId="3722" xr:uid="{29DAE286-C6E4-4930-A06D-4DB9F911C23F}"/>
    <cellStyle name="Percent 26" xfId="3573" xr:uid="{1A6793EE-3CF5-4724-8735-585E3B5B0C46}"/>
    <cellStyle name="Percent 27" xfId="3845" xr:uid="{43C43821-EC9E-41CF-8294-699076BD7BE6}"/>
    <cellStyle name="Percent 28" xfId="3729" xr:uid="{DF45A0FB-E988-4A96-B007-9DA7996731CF}"/>
    <cellStyle name="Percent 29" xfId="3947" xr:uid="{2701FBF5-6BA0-4D3C-BA95-61DA0D16F4E4}"/>
    <cellStyle name="Percent 3" xfId="1890" xr:uid="{00000000-0005-0000-0000-000089070000}"/>
    <cellStyle name="Percent 3 10" xfId="1891" xr:uid="{00000000-0005-0000-0000-00008A070000}"/>
    <cellStyle name="Percent 3 10 2" xfId="1892" xr:uid="{00000000-0005-0000-0000-00008B070000}"/>
    <cellStyle name="Percent 3 11" xfId="1893" xr:uid="{00000000-0005-0000-0000-00008C070000}"/>
    <cellStyle name="Percent 3 12" xfId="1894" xr:uid="{00000000-0005-0000-0000-00008D070000}"/>
    <cellStyle name="Percent 3 13" xfId="1895" xr:uid="{00000000-0005-0000-0000-00008E070000}"/>
    <cellStyle name="Percent 3 14" xfId="1896" xr:uid="{00000000-0005-0000-0000-00008F070000}"/>
    <cellStyle name="Percent 3 15" xfId="1897" xr:uid="{00000000-0005-0000-0000-000090070000}"/>
    <cellStyle name="Percent 3 16" xfId="1898" xr:uid="{00000000-0005-0000-0000-000091070000}"/>
    <cellStyle name="Percent 3 17" xfId="1899" xr:uid="{00000000-0005-0000-0000-000092070000}"/>
    <cellStyle name="Percent 3 18" xfId="1900" xr:uid="{00000000-0005-0000-0000-000093070000}"/>
    <cellStyle name="Percent 3 19" xfId="1901" xr:uid="{00000000-0005-0000-0000-000094070000}"/>
    <cellStyle name="Percent 3 2" xfId="1902" xr:uid="{00000000-0005-0000-0000-000095070000}"/>
    <cellStyle name="Percent 3 2 2" xfId="1903" xr:uid="{00000000-0005-0000-0000-000096070000}"/>
    <cellStyle name="Percent 3 20" xfId="1904" xr:uid="{00000000-0005-0000-0000-000097070000}"/>
    <cellStyle name="Percent 3 21" xfId="1905" xr:uid="{00000000-0005-0000-0000-000098070000}"/>
    <cellStyle name="Percent 3 22" xfId="1906" xr:uid="{00000000-0005-0000-0000-000099070000}"/>
    <cellStyle name="Percent 3 23" xfId="1907" xr:uid="{00000000-0005-0000-0000-00009A070000}"/>
    <cellStyle name="Percent 3 24" xfId="1908" xr:uid="{00000000-0005-0000-0000-00009B070000}"/>
    <cellStyle name="Percent 3 25" xfId="1909" xr:uid="{00000000-0005-0000-0000-00009C070000}"/>
    <cellStyle name="Percent 3 26" xfId="1910" xr:uid="{00000000-0005-0000-0000-00009D070000}"/>
    <cellStyle name="Percent 3 27" xfId="1911" xr:uid="{00000000-0005-0000-0000-00009E070000}"/>
    <cellStyle name="Percent 3 28" xfId="1912" xr:uid="{00000000-0005-0000-0000-00009F070000}"/>
    <cellStyle name="Percent 3 29" xfId="1913" xr:uid="{00000000-0005-0000-0000-0000A0070000}"/>
    <cellStyle name="Percent 3 3" xfId="1914" xr:uid="{00000000-0005-0000-0000-0000A1070000}"/>
    <cellStyle name="Percent 3 30" xfId="1915" xr:uid="{00000000-0005-0000-0000-0000A2070000}"/>
    <cellStyle name="Percent 3 31" xfId="1916" xr:uid="{00000000-0005-0000-0000-0000A3070000}"/>
    <cellStyle name="Percent 3 32" xfId="1917" xr:uid="{00000000-0005-0000-0000-0000A4070000}"/>
    <cellStyle name="Percent 3 33" xfId="1918" xr:uid="{00000000-0005-0000-0000-0000A5070000}"/>
    <cellStyle name="Percent 3 34" xfId="1919" xr:uid="{00000000-0005-0000-0000-0000A6070000}"/>
    <cellStyle name="Percent 3 35" xfId="1920" xr:uid="{00000000-0005-0000-0000-0000A7070000}"/>
    <cellStyle name="Percent 3 4" xfId="1921" xr:uid="{00000000-0005-0000-0000-0000A8070000}"/>
    <cellStyle name="Percent 3 5" xfId="1922" xr:uid="{00000000-0005-0000-0000-0000A9070000}"/>
    <cellStyle name="Percent 3 6" xfId="1923" xr:uid="{00000000-0005-0000-0000-0000AA070000}"/>
    <cellStyle name="Percent 3 7" xfId="1924" xr:uid="{00000000-0005-0000-0000-0000AB070000}"/>
    <cellStyle name="Percent 3 8" xfId="1925" xr:uid="{00000000-0005-0000-0000-0000AC070000}"/>
    <cellStyle name="Percent 3 9" xfId="1926" xr:uid="{00000000-0005-0000-0000-0000AD070000}"/>
    <cellStyle name="Percent 30" xfId="3952" xr:uid="{D9C8FBEE-0D1C-4564-8F30-1DF6AA12A883}"/>
    <cellStyle name="Percent 31" xfId="4017" xr:uid="{EF8AEFA5-EE42-446F-B667-0A510DF974BB}"/>
    <cellStyle name="Percent 32" xfId="4019" xr:uid="{E4F14372-5B1D-4970-8F5E-95948B01BA79}"/>
    <cellStyle name="Percent 33" xfId="4020" xr:uid="{DF3635C2-C1D8-479F-A043-E8D1A118A007}"/>
    <cellStyle name="Percent 4" xfId="1927" xr:uid="{00000000-0005-0000-0000-0000AE070000}"/>
    <cellStyle name="Percent 4 2" xfId="1928" xr:uid="{00000000-0005-0000-0000-0000AF070000}"/>
    <cellStyle name="Percent 4 3" xfId="1929" xr:uid="{00000000-0005-0000-0000-0000B0070000}"/>
    <cellStyle name="Percent 5" xfId="1930" xr:uid="{00000000-0005-0000-0000-0000B1070000}"/>
    <cellStyle name="Percent 6" xfId="1931" xr:uid="{00000000-0005-0000-0000-0000B2070000}"/>
    <cellStyle name="Percent 7" xfId="1932" xr:uid="{00000000-0005-0000-0000-0000B3070000}"/>
    <cellStyle name="Percent 8" xfId="2065" xr:uid="{00000000-0005-0000-0000-0000B4070000}"/>
    <cellStyle name="Percent 8 2" xfId="2153" xr:uid="{01AAE31D-13BE-4967-8193-C0AD5AC873D6}"/>
    <cellStyle name="Percent 8 3" xfId="3581" xr:uid="{D3B5D408-9CE4-4D0B-BD2E-F0786D46A41B}"/>
    <cellStyle name="Percent 8 4" xfId="3847" xr:uid="{952248CC-BCBD-46E7-898E-7E04E05F1B50}"/>
    <cellStyle name="Percent 9" xfId="2084" xr:uid="{00000000-0005-0000-0000-0000B5070000}"/>
    <cellStyle name="Percent 9 2" xfId="2159" xr:uid="{87C808DD-BB01-4D94-AE74-D2207263170C}"/>
    <cellStyle name="Percent 9 3" xfId="3596" xr:uid="{2C36A7A5-38AF-4058-B280-E1C2DE8EB7B3}"/>
    <cellStyle name="Percent 9 4" xfId="3852" xr:uid="{742E8EB5-0FB0-47FB-8115-69AAE1F326D9}"/>
    <cellStyle name="PERCENTAGE" xfId="3718" xr:uid="{9009EC43-477B-4C30-A8FE-A48E0A7520D6}"/>
    <cellStyle name="PrePop Currency (0)" xfId="1933" xr:uid="{00000000-0005-0000-0000-0000B6070000}"/>
    <cellStyle name="PrePop Currency (0) 2" xfId="1934" xr:uid="{00000000-0005-0000-0000-0000B7070000}"/>
    <cellStyle name="PrePop Currency (0)_Equipment" xfId="1935" xr:uid="{00000000-0005-0000-0000-0000B8070000}"/>
    <cellStyle name="PrePop Currency (2)" xfId="1936" xr:uid="{00000000-0005-0000-0000-0000B9070000}"/>
    <cellStyle name="PrePop Currency (2) 2" xfId="1937" xr:uid="{00000000-0005-0000-0000-0000BA070000}"/>
    <cellStyle name="PrePop Currency (2)_Equipment" xfId="1938" xr:uid="{00000000-0005-0000-0000-0000BB070000}"/>
    <cellStyle name="PrePop Units (0)" xfId="1939" xr:uid="{00000000-0005-0000-0000-0000BC070000}"/>
    <cellStyle name="PrePop Units (0) 2" xfId="1940" xr:uid="{00000000-0005-0000-0000-0000BD070000}"/>
    <cellStyle name="PrePop Units (0)_Equipment" xfId="1941" xr:uid="{00000000-0005-0000-0000-0000BE070000}"/>
    <cellStyle name="PrePop Units (1)" xfId="1942" xr:uid="{00000000-0005-0000-0000-0000BF070000}"/>
    <cellStyle name="PrePop Units (1) 2" xfId="1943" xr:uid="{00000000-0005-0000-0000-0000C0070000}"/>
    <cellStyle name="PrePop Units (1)_Equipment" xfId="1944" xr:uid="{00000000-0005-0000-0000-0000C1070000}"/>
    <cellStyle name="PrePop Units (2)" xfId="1945" xr:uid="{00000000-0005-0000-0000-0000C2070000}"/>
    <cellStyle name="PrePop Units (2) 2" xfId="1946" xr:uid="{00000000-0005-0000-0000-0000C3070000}"/>
    <cellStyle name="PrePop Units (2)_Equipment" xfId="1947" xr:uid="{00000000-0005-0000-0000-0000C4070000}"/>
    <cellStyle name="PwC" xfId="1948" xr:uid="{00000000-0005-0000-0000-0000C5070000}"/>
    <cellStyle name="sbt2" xfId="1949" xr:uid="{00000000-0005-0000-0000-0000C6070000}"/>
    <cellStyle name="sbt2 2" xfId="1950" xr:uid="{00000000-0005-0000-0000-0000C7070000}"/>
    <cellStyle name="sbt2 2 2" xfId="1951" xr:uid="{00000000-0005-0000-0000-0000C8070000}"/>
    <cellStyle name="sbt2 2 2 2" xfId="3750" xr:uid="{FA5F20E1-2E96-4ED5-A65E-20358AA1C0C3}"/>
    <cellStyle name="sbt2 2 2 3" xfId="3897" xr:uid="{B354E20B-0F6B-4D0F-8962-878B3AB6605E}"/>
    <cellStyle name="sbt2 2 3" xfId="3751" xr:uid="{1F556239-5135-489F-91CC-21C65379B163}"/>
    <cellStyle name="sbt2 2 4" xfId="3898" xr:uid="{41BF01D7-6E36-4F4B-BC74-F55E90A40ED6}"/>
    <cellStyle name="sbt2 3" xfId="1952" xr:uid="{00000000-0005-0000-0000-0000C9070000}"/>
    <cellStyle name="sbt2 3 2" xfId="3749" xr:uid="{E9182664-47E9-42FF-BC21-900AC60D785D}"/>
    <cellStyle name="sbt2 3 3" xfId="3896" xr:uid="{1D7F9FC0-3DED-4190-B716-A0FFA75BA3A2}"/>
    <cellStyle name="sbt2 4" xfId="1953" xr:uid="{00000000-0005-0000-0000-0000CA070000}"/>
    <cellStyle name="sbt2 4 2" xfId="3871" xr:uid="{A8C6B127-F3DD-43C4-844A-07EADD3AAB19}"/>
    <cellStyle name="sbt2 4 3" xfId="3895" xr:uid="{0DFB8F82-8ED5-4E0A-8806-6397B91DC65E}"/>
    <cellStyle name="sbt2 5" xfId="1954" xr:uid="{00000000-0005-0000-0000-0000CB070000}"/>
    <cellStyle name="sbt2 5 2" xfId="3748" xr:uid="{5EACBD62-88EB-44FF-9D93-AA32BC9D9416}"/>
    <cellStyle name="sbt2 5 3" xfId="3894" xr:uid="{1896AF5D-BA92-498E-AA8C-B8D86F5A0371}"/>
    <cellStyle name="sbt2 6" xfId="3752" xr:uid="{194AEDF7-B237-4BFA-9E7A-9687AD40E7C7}"/>
    <cellStyle name="sbt2 7" xfId="3899" xr:uid="{555ED5EB-03D4-4FDA-A6D6-CA65837D931F}"/>
    <cellStyle name="sbt2_Equipment" xfId="1955" xr:uid="{00000000-0005-0000-0000-0000CC070000}"/>
    <cellStyle name="Standard" xfId="1956" xr:uid="{00000000-0005-0000-0000-0000CD070000}"/>
    <cellStyle name="Style 1" xfId="3719" xr:uid="{F516B097-2FF5-4AFD-92C6-D738A90CCC3E}"/>
    <cellStyle name="subhead" xfId="1957" xr:uid="{00000000-0005-0000-0000-0000CE070000}"/>
    <cellStyle name="subt1" xfId="1958" xr:uid="{00000000-0005-0000-0000-0000CF070000}"/>
    <cellStyle name="subt1 2" xfId="1959" xr:uid="{00000000-0005-0000-0000-0000D0070000}"/>
    <cellStyle name="subt1 2 2" xfId="1960" xr:uid="{00000000-0005-0000-0000-0000D1070000}"/>
    <cellStyle name="subt1 3" xfId="1961" xr:uid="{00000000-0005-0000-0000-0000D2070000}"/>
    <cellStyle name="subt1 4" xfId="1962" xr:uid="{00000000-0005-0000-0000-0000D3070000}"/>
    <cellStyle name="subt1 5" xfId="1963" xr:uid="{00000000-0005-0000-0000-0000D4070000}"/>
    <cellStyle name="subt1_Equipment" xfId="1964" xr:uid="{00000000-0005-0000-0000-0000D5070000}"/>
    <cellStyle name="Text Indent A" xfId="1965" xr:uid="{00000000-0005-0000-0000-0000D6070000}"/>
    <cellStyle name="Text Indent B" xfId="1966" xr:uid="{00000000-0005-0000-0000-0000D7070000}"/>
    <cellStyle name="Text Indent B 2" xfId="1967" xr:uid="{00000000-0005-0000-0000-0000D8070000}"/>
    <cellStyle name="Text Indent B_Equipment" xfId="1968" xr:uid="{00000000-0005-0000-0000-0000D9070000}"/>
    <cellStyle name="Text Indent C" xfId="1969" xr:uid="{00000000-0005-0000-0000-0000DA070000}"/>
    <cellStyle name="Text Indent C 2" xfId="1970" xr:uid="{00000000-0005-0000-0000-0000DB070000}"/>
    <cellStyle name="Text Indent C_Equipment" xfId="1971" xr:uid="{00000000-0005-0000-0000-0000DC070000}"/>
    <cellStyle name="Title" xfId="1972" builtinId="15" customBuiltin="1"/>
    <cellStyle name="Title 2" xfId="1973" xr:uid="{00000000-0005-0000-0000-0000DE070000}"/>
    <cellStyle name="Title 2 2" xfId="1974" xr:uid="{00000000-0005-0000-0000-0000DF070000}"/>
    <cellStyle name="Title 2 3" xfId="1975" xr:uid="{00000000-0005-0000-0000-0000E0070000}"/>
    <cellStyle name="Title 2 4" xfId="1976" xr:uid="{00000000-0005-0000-0000-0000E1070000}"/>
    <cellStyle name="Title 2 5" xfId="1977" xr:uid="{00000000-0005-0000-0000-0000E2070000}"/>
    <cellStyle name="Title 2 6" xfId="1978" xr:uid="{00000000-0005-0000-0000-0000E3070000}"/>
    <cellStyle name="Title 3" xfId="1979" xr:uid="{00000000-0005-0000-0000-0000E4070000}"/>
    <cellStyle name="Title 3 2" xfId="1980" xr:uid="{00000000-0005-0000-0000-0000E5070000}"/>
    <cellStyle name="Title 4" xfId="1981" xr:uid="{00000000-0005-0000-0000-0000E6070000}"/>
    <cellStyle name="Title 4 2" xfId="1982" xr:uid="{00000000-0005-0000-0000-0000E7070000}"/>
    <cellStyle name="Total" xfId="1983" builtinId="25" customBuiltin="1"/>
    <cellStyle name="Total 2" xfId="1984" xr:uid="{00000000-0005-0000-0000-0000E9070000}"/>
    <cellStyle name="Total 2 10" xfId="2138" xr:uid="{21162403-BEC9-4254-9958-D1D987B94AE1}"/>
    <cellStyle name="Total 2 2" xfId="1985" xr:uid="{00000000-0005-0000-0000-0000EA070000}"/>
    <cellStyle name="Total 2 2 2" xfId="1986" xr:uid="{00000000-0005-0000-0000-0000EB070000}"/>
    <cellStyle name="Total 2 2 2 2" xfId="3829" xr:uid="{B03E78C0-6EF6-4077-84E7-E621C0F5595D}"/>
    <cellStyle name="Total 2 2 2 3" xfId="3746" xr:uid="{2A91B133-2BC2-4502-9A5B-01C96102D03A}"/>
    <cellStyle name="Total 2 2 2 4" xfId="3892" xr:uid="{F0CCD7B5-2476-4088-BF37-FB5CDEF06DCE}"/>
    <cellStyle name="Total 2 2 3" xfId="1987" xr:uid="{00000000-0005-0000-0000-0000EC070000}"/>
    <cellStyle name="Total 2 2 3 2" xfId="3830" xr:uid="{EC1B2406-8BAD-4467-94F6-4220CEDC6C4D}"/>
    <cellStyle name="Total 2 2 3 3" xfId="3745" xr:uid="{718E506C-6E21-432D-AEAC-5028B2E22B18}"/>
    <cellStyle name="Total 2 2 3 4" xfId="3891" xr:uid="{39CF7EE0-DB1A-4C95-B6D7-D18687D769DD}"/>
    <cellStyle name="Total 2 2 4" xfId="3828" xr:uid="{1C57055C-A55F-4078-8871-BAB955C38C89}"/>
    <cellStyle name="Total 2 2 5" xfId="3747" xr:uid="{52F26763-010F-425B-882E-051F44153D50}"/>
    <cellStyle name="Total 2 2 6" xfId="3893" xr:uid="{8F84439D-8A16-4DA6-BB60-752B88319084}"/>
    <cellStyle name="Total 2 2_Buma Equipment List update" xfId="1988" xr:uid="{00000000-0005-0000-0000-0000ED070000}"/>
    <cellStyle name="Total 2 3" xfId="1989" xr:uid="{00000000-0005-0000-0000-0000EE070000}"/>
    <cellStyle name="Total 2 3 2" xfId="3831" xr:uid="{113477A2-1D5A-439D-823B-10A0641F4F15}"/>
    <cellStyle name="Total 2 3 3" xfId="3744" xr:uid="{E59B9D7B-E916-4A7F-A5F3-2B4CCAE7DB8D}"/>
    <cellStyle name="Total 2 3 4" xfId="3890" xr:uid="{D131AE4B-6219-456D-A3F5-63B00BBA5492}"/>
    <cellStyle name="Total 2 4" xfId="1990" xr:uid="{00000000-0005-0000-0000-0000EF070000}"/>
    <cellStyle name="Total 2 4 2" xfId="3832" xr:uid="{8D852415-3A8B-4FED-9ACD-93AF6FA12AE6}"/>
    <cellStyle name="Total 2 4 3" xfId="3743" xr:uid="{1463C3F1-E256-4F7E-961A-C87594A5B791}"/>
    <cellStyle name="Total 2 4 4" xfId="3889" xr:uid="{D3AF35D0-9C45-403E-90C8-C6221D981F15}"/>
    <cellStyle name="Total 2 5" xfId="1991" xr:uid="{00000000-0005-0000-0000-0000F0070000}"/>
    <cellStyle name="Total 2 5 2" xfId="3833" xr:uid="{781BF8E4-4A8E-475D-840B-944DA5BACF5E}"/>
    <cellStyle name="Total 2 5 3" xfId="3742" xr:uid="{363CEAB8-2F76-4C01-9E57-D160CBE2B5C4}"/>
    <cellStyle name="Total 2 5 4" xfId="3888" xr:uid="{0DD0CAFA-7446-4A55-9584-ACD10233EFB6}"/>
    <cellStyle name="Total 2 6" xfId="1992" xr:uid="{00000000-0005-0000-0000-0000F1070000}"/>
    <cellStyle name="Total 2 6 2" xfId="3834" xr:uid="{C4B5973E-B930-41AF-A4BA-1CA252B43897}"/>
    <cellStyle name="Total 2 6 3" xfId="3741" xr:uid="{84E120E9-C88C-4F4C-A6C8-963ADA2910F5}"/>
    <cellStyle name="Total 2 6 4" xfId="3887" xr:uid="{01076718-8549-467C-A655-6F09DBAD820F}"/>
    <cellStyle name="Total 2 7" xfId="1993" xr:uid="{00000000-0005-0000-0000-0000F2070000}"/>
    <cellStyle name="Total 2 7 2" xfId="3835" xr:uid="{50C54A79-6286-413F-B7BC-E3E9C1D3B949}"/>
    <cellStyle name="Total 2 7 3" xfId="3740" xr:uid="{15A4B52B-FA53-41FC-AE03-A8E16C2A42A8}"/>
    <cellStyle name="Total 2 7 4" xfId="3886" xr:uid="{514A977E-2078-4EAB-80A1-B794848A2FC9}"/>
    <cellStyle name="Total 2 8" xfId="2141" xr:uid="{A9AB4D0F-FDE8-42F9-B445-675B8E279D21}"/>
    <cellStyle name="Total 2 9" xfId="2099" xr:uid="{830B73E1-E066-4534-AE45-612066B3D81A}"/>
    <cellStyle name="Total 3" xfId="1994" xr:uid="{00000000-0005-0000-0000-0000F3070000}"/>
    <cellStyle name="Total 3 2" xfId="1995" xr:uid="{00000000-0005-0000-0000-0000F4070000}"/>
    <cellStyle name="Total 3 2 2" xfId="3837" xr:uid="{07CA8432-48F3-4726-A88A-7F6658B2E4E7}"/>
    <cellStyle name="Total 3 2 3" xfId="3738" xr:uid="{05FDCA59-D09B-48D9-AB2E-4B82DC8E40C6}"/>
    <cellStyle name="Total 3 2 4" xfId="3884" xr:uid="{86D4F96E-2664-421A-BA85-09AAC0D2F7E4}"/>
    <cellStyle name="Total 3 3" xfId="3836" xr:uid="{66F349E5-336F-4CE0-9E88-404D56EB5CB4}"/>
    <cellStyle name="Total 3 4" xfId="3739" xr:uid="{2FB5AE6F-F863-435B-B7C4-A8004BEEA69D}"/>
    <cellStyle name="Total 3 5" xfId="3885" xr:uid="{514E846A-1034-40FC-817D-7BDCB7AF1A30}"/>
    <cellStyle name="Total 3_Buma Equipment List update" xfId="1996" xr:uid="{00000000-0005-0000-0000-0000F5070000}"/>
    <cellStyle name="Total 4" xfId="1997" xr:uid="{00000000-0005-0000-0000-0000F6070000}"/>
    <cellStyle name="Total 4 2" xfId="1998" xr:uid="{00000000-0005-0000-0000-0000F7070000}"/>
    <cellStyle name="Total 4 2 2" xfId="3839" xr:uid="{1DCC70CC-ECD2-4E60-BD92-373198F5FB89}"/>
    <cellStyle name="Total 4 2 3" xfId="3736" xr:uid="{767480AB-EDC9-438D-9C6B-4C002B2E8F98}"/>
    <cellStyle name="Total 4 2 4" xfId="3882" xr:uid="{E151B632-8754-40B4-AAB3-7A9A7AE367CE}"/>
    <cellStyle name="Total 4 3" xfId="3838" xr:uid="{AD4A8F4E-D84A-4A77-88D2-49E5FDFBF71B}"/>
    <cellStyle name="Total 4 4" xfId="3737" xr:uid="{F4445392-2C02-468E-B673-A8C3350B0E02}"/>
    <cellStyle name="Total 4 5" xfId="3883" xr:uid="{4A034479-3990-47A1-B579-750C53C6ABCA}"/>
    <cellStyle name="Total 4_Buma Equipment List update" xfId="1999" xr:uid="{00000000-0005-0000-0000-0000F8070000}"/>
    <cellStyle name="Warning Text" xfId="2000" builtinId="11" customBuiltin="1"/>
    <cellStyle name="Warning Text 2" xfId="2001" xr:uid="{00000000-0005-0000-0000-0000FA070000}"/>
    <cellStyle name="Warning Text 2 2" xfId="2002" xr:uid="{00000000-0005-0000-0000-0000FB070000}"/>
    <cellStyle name="Warning Text 2 3" xfId="2003" xr:uid="{00000000-0005-0000-0000-0000FC070000}"/>
    <cellStyle name="Warning Text 2 4" xfId="2004" xr:uid="{00000000-0005-0000-0000-0000FD070000}"/>
    <cellStyle name="Warning Text 2 5" xfId="2005" xr:uid="{00000000-0005-0000-0000-0000FE070000}"/>
    <cellStyle name="Warning Text 2 6" xfId="2006" xr:uid="{00000000-0005-0000-0000-0000FF070000}"/>
    <cellStyle name="Warning Text 3" xfId="2007" xr:uid="{00000000-0005-0000-0000-000000080000}"/>
    <cellStyle name="Warning Text 3 2" xfId="2008" xr:uid="{00000000-0005-0000-0000-000001080000}"/>
    <cellStyle name="Warning Text 4" xfId="2009" xr:uid="{00000000-0005-0000-0000-000002080000}"/>
    <cellStyle name="Warning Text 4 2" xfId="2010" xr:uid="{00000000-0005-0000-0000-000003080000}"/>
    <cellStyle name="강조색1" xfId="2011" xr:uid="{00000000-0005-0000-0000-000004080000}"/>
    <cellStyle name="강조색2" xfId="2012" xr:uid="{00000000-0005-0000-0000-000005080000}"/>
    <cellStyle name="강조색3" xfId="2013" xr:uid="{00000000-0005-0000-0000-000006080000}"/>
    <cellStyle name="강조색4" xfId="2014" xr:uid="{00000000-0005-0000-0000-000007080000}"/>
    <cellStyle name="강조색5" xfId="2015" xr:uid="{00000000-0005-0000-0000-000008080000}"/>
    <cellStyle name="강조색6" xfId="2016" xr:uid="{00000000-0005-0000-0000-000009080000}"/>
    <cellStyle name="경고문" xfId="2017" xr:uid="{00000000-0005-0000-0000-00000A080000}"/>
    <cellStyle name="계산" xfId="2018" xr:uid="{00000000-0005-0000-0000-00000B080000}"/>
    <cellStyle name="계산 2" xfId="3735" xr:uid="{DDEEEE4B-B9CA-40B3-B1E0-3A7508391D84}"/>
    <cellStyle name="계산 3" xfId="3881" xr:uid="{1B0F09CE-5A76-4319-A580-D8BF66880D6B}"/>
    <cellStyle name="나쁨" xfId="2019" xr:uid="{00000000-0005-0000-0000-00000C080000}"/>
    <cellStyle name="똿뗦먛귟 [0.00]_PRODUCT DETAIL Q1" xfId="2020" xr:uid="{00000000-0005-0000-0000-00000D080000}"/>
    <cellStyle name="똿뗦먛귟_PRODUCT DETAIL Q1" xfId="2021" xr:uid="{00000000-0005-0000-0000-00000E080000}"/>
    <cellStyle name="메모" xfId="2022" xr:uid="{00000000-0005-0000-0000-00000F080000}"/>
    <cellStyle name="메모 2" xfId="3840" xr:uid="{69851F04-F608-4C66-9F29-BE4609406FD4}"/>
    <cellStyle name="메모 3" xfId="3734" xr:uid="{317863D7-E791-4A11-A239-BB0399B0FB69}"/>
    <cellStyle name="메모 4" xfId="3880" xr:uid="{ABB9E6D7-B0AE-4144-BCB2-E6DC7EE84DEB}"/>
    <cellStyle name="믅됞 [0.00]_PRODUCT DETAIL Q1" xfId="2023" xr:uid="{00000000-0005-0000-0000-000010080000}"/>
    <cellStyle name="믅됞_PRODUCT DETAIL Q1" xfId="2024" xr:uid="{00000000-0005-0000-0000-000011080000}"/>
    <cellStyle name="백분율 2" xfId="2025" xr:uid="{00000000-0005-0000-0000-000012080000}"/>
    <cellStyle name="백분율 3" xfId="2026" xr:uid="{00000000-0005-0000-0000-000013080000}"/>
    <cellStyle name="보통" xfId="2027" xr:uid="{00000000-0005-0000-0000-000014080000}"/>
    <cellStyle name="뷭?_BOOKSHIP" xfId="2028" xr:uid="{00000000-0005-0000-0000-000015080000}"/>
    <cellStyle name="설명 텍스트" xfId="2029" xr:uid="{00000000-0005-0000-0000-000016080000}"/>
    <cellStyle name="셀 확인" xfId="2030" xr:uid="{00000000-0005-0000-0000-000017080000}"/>
    <cellStyle name="셀 확인 2" xfId="2143" xr:uid="{7C812232-ED4A-4E83-AD53-EFE77E15BBDE}"/>
    <cellStyle name="셀 확인 3" xfId="2139" xr:uid="{893219C5-F400-449D-8373-82465A3B1D59}"/>
    <cellStyle name="쉼표 [0] 2" xfId="2031" xr:uid="{00000000-0005-0000-0000-000018080000}"/>
    <cellStyle name="쉼표 [0] 3" xfId="2032" xr:uid="{00000000-0005-0000-0000-000019080000}"/>
    <cellStyle name="쉼표 [0] 4" xfId="2033" xr:uid="{00000000-0005-0000-0000-00001A080000}"/>
    <cellStyle name="쉼표 [0] 5" xfId="2034" xr:uid="{00000000-0005-0000-0000-00001B080000}"/>
    <cellStyle name="쉼표 [0] 6" xfId="2035" xr:uid="{00000000-0005-0000-0000-00001C080000}"/>
    <cellStyle name="쉼표 2" xfId="2036" xr:uid="{00000000-0005-0000-0000-00001D080000}"/>
    <cellStyle name="쉼표 3" xfId="2037" xr:uid="{00000000-0005-0000-0000-00001E080000}"/>
    <cellStyle name="쉼표 4" xfId="2038" xr:uid="{00000000-0005-0000-0000-00001F080000}"/>
    <cellStyle name="쉼표 5" xfId="2039" xr:uid="{00000000-0005-0000-0000-000020080000}"/>
    <cellStyle name="쉼표 6" xfId="2040" xr:uid="{00000000-0005-0000-0000-000021080000}"/>
    <cellStyle name="쉼표 7" xfId="2041" xr:uid="{00000000-0005-0000-0000-000022080000}"/>
    <cellStyle name="스타일 1" xfId="2042" xr:uid="{00000000-0005-0000-0000-000023080000}"/>
    <cellStyle name="연결된 셀" xfId="2043" xr:uid="{00000000-0005-0000-0000-000024080000}"/>
    <cellStyle name="연결된 셀 2" xfId="2144" xr:uid="{2AF514D8-0F01-4C57-91F5-949D9976E5AB}"/>
    <cellStyle name="요약" xfId="2044" xr:uid="{00000000-0005-0000-0000-000025080000}"/>
    <cellStyle name="요약 2" xfId="3841" xr:uid="{CAE114B1-8C2E-42E2-BAF8-EC4CE70A2A76}"/>
    <cellStyle name="요약 3" xfId="3733" xr:uid="{BF2BE592-088E-4922-8395-F9C04FBF99D9}"/>
    <cellStyle name="요약 4" xfId="3949" xr:uid="{9B67653B-8762-40F4-BE8A-C2DCE8018AE6}"/>
    <cellStyle name="입력" xfId="2045" xr:uid="{00000000-0005-0000-0000-000026080000}"/>
    <cellStyle name="입력 2" xfId="3732" xr:uid="{0A79C150-0FBD-4F04-8773-ED402ED2A0D8}"/>
    <cellStyle name="입력 3" xfId="3950" xr:uid="{A437F8F0-C5EE-4646-9485-42A4A06D5258}"/>
    <cellStyle name="제목" xfId="2046" xr:uid="{00000000-0005-0000-0000-000027080000}"/>
    <cellStyle name="제목 1" xfId="2047" xr:uid="{00000000-0005-0000-0000-000028080000}"/>
    <cellStyle name="제목 2" xfId="2048" xr:uid="{00000000-0005-0000-0000-000029080000}"/>
    <cellStyle name="제목 3" xfId="2049" xr:uid="{00000000-0005-0000-0000-00002A080000}"/>
    <cellStyle name="제목 4" xfId="2050" xr:uid="{00000000-0005-0000-0000-00002B080000}"/>
    <cellStyle name="좋음" xfId="2051" xr:uid="{00000000-0005-0000-0000-00002C080000}"/>
    <cellStyle name="출력" xfId="2052" xr:uid="{00000000-0005-0000-0000-00002D080000}"/>
    <cellStyle name="출력 2" xfId="3842" xr:uid="{0230AB69-6893-474F-AF04-230BB1CC0B29}"/>
    <cellStyle name="출력 3" xfId="3731" xr:uid="{BDA86AE7-2D3F-4258-A848-BADB250D1E1B}"/>
    <cellStyle name="출력 4" xfId="3951" xr:uid="{DDDB7B7C-FA14-43CD-8B26-747BF04E69BC}"/>
    <cellStyle name="콤마 [0]_00년월별손익실적" xfId="2053" xr:uid="{00000000-0005-0000-0000-00002E080000}"/>
    <cellStyle name="콤마_00년월별손익실적" xfId="2054" xr:uid="{00000000-0005-0000-0000-00002F080000}"/>
    <cellStyle name="표준 2" xfId="2055" xr:uid="{00000000-0005-0000-0000-000030080000}"/>
    <cellStyle name="표준 3" xfId="2056" xr:uid="{00000000-0005-0000-0000-00003108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3</xdr:row>
      <xdr:rowOff>0</xdr:rowOff>
    </xdr:from>
    <xdr:to>
      <xdr:col>8</xdr:col>
      <xdr:colOff>695324</xdr:colOff>
      <xdr:row>29</xdr:row>
      <xdr:rowOff>194333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14350" y="1238250"/>
          <a:ext cx="5562599" cy="7661933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4</xdr:col>
      <xdr:colOff>228600</xdr:colOff>
      <xdr:row>3</xdr:row>
      <xdr:rowOff>238125</xdr:rowOff>
    </xdr:from>
    <xdr:to>
      <xdr:col>5</xdr:col>
      <xdr:colOff>523875</xdr:colOff>
      <xdr:row>5</xdr:row>
      <xdr:rowOff>104775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752725" y="1724025"/>
          <a:ext cx="1009650" cy="361950"/>
        </a:xfrm>
        <a:prstGeom prst="rect">
          <a:avLst/>
        </a:prstGeom>
        <a:solidFill>
          <a:srgbClr val="FFFFFF"/>
        </a:solidFill>
        <a:ln w="15875">
          <a:solidFill>
            <a:srgbClr val="000000"/>
          </a:solidFill>
          <a:miter lim="800000"/>
          <a:headEnd/>
          <a:tailEnd/>
        </a:ln>
        <a:effectLst>
          <a:outerShdw dist="38100" dir="2700000" algn="tl" rotWithShape="0">
            <a:srgbClr val="000000">
              <a:alpha val="39999"/>
            </a:srgbClr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Content</a:t>
          </a:r>
        </a:p>
      </xdr:txBody>
    </xdr:sp>
    <xdr:clientData/>
  </xdr:twoCellAnchor>
  <xdr:twoCellAnchor>
    <xdr:from>
      <xdr:col>2</xdr:col>
      <xdr:colOff>40824</xdr:colOff>
      <xdr:row>16</xdr:row>
      <xdr:rowOff>142874</xdr:rowOff>
    </xdr:from>
    <xdr:to>
      <xdr:col>7</xdr:col>
      <xdr:colOff>608815</xdr:colOff>
      <xdr:row>29</xdr:row>
      <xdr:rowOff>9604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1136199" y="5629274"/>
          <a:ext cx="4139866" cy="3086180"/>
          <a:chOff x="1319894" y="5667374"/>
          <a:chExt cx="4173883" cy="3050801"/>
        </a:xfrm>
      </xdr:grpSpPr>
      <xdr:pic>
        <xdr:nvPicPr>
          <xdr:cNvPr id="8" name="Picture 4" descr="logo pama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53085" y="5667374"/>
            <a:ext cx="776477" cy="74408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1" name="Picture 10" descr="Petrosea_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332698" y="5792011"/>
            <a:ext cx="1837031" cy="4615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0" name="Picture 12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 l="883" t="4646" r="88338" b="58157"/>
          <a:stretch>
            <a:fillRect/>
          </a:stretch>
        </xdr:blipFill>
        <xdr:spPr bwMode="auto">
          <a:xfrm>
            <a:off x="2722879" y="7883353"/>
            <a:ext cx="1389341" cy="83482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PicPr/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7842"/>
          <a:stretch/>
        </xdr:blipFill>
        <xdr:spPr>
          <a:xfrm>
            <a:off x="4671387" y="6590843"/>
            <a:ext cx="822390" cy="669527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l="2634" t="10387" r="6710" b="15774"/>
          <a:stretch/>
        </xdr:blipFill>
        <xdr:spPr>
          <a:xfrm>
            <a:off x="4491533" y="7856853"/>
            <a:ext cx="878711" cy="783216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19894" y="7756071"/>
            <a:ext cx="1183821" cy="583209"/>
          </a:xfrm>
          <a:prstGeom prst="rect">
            <a:avLst/>
          </a:prstGeom>
        </xdr:spPr>
      </xdr:pic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91394" y="6749143"/>
            <a:ext cx="2680607" cy="61358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</xdr:row>
      <xdr:rowOff>57151</xdr:rowOff>
    </xdr:from>
    <xdr:to>
      <xdr:col>0</xdr:col>
      <xdr:colOff>1231824</xdr:colOff>
      <xdr:row>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247651"/>
          <a:ext cx="1165148" cy="266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560294</xdr:colOff>
      <xdr:row>2</xdr:row>
      <xdr:rowOff>134471</xdr:rowOff>
    </xdr:from>
    <xdr:to>
      <xdr:col>16</xdr:col>
      <xdr:colOff>890868</xdr:colOff>
      <xdr:row>5</xdr:row>
      <xdr:rowOff>182097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0906825" y="634534"/>
          <a:ext cx="2116512" cy="619126"/>
          <a:chOff x="10623176" y="627530"/>
          <a:chExt cx="2112310" cy="619126"/>
        </a:xfrm>
      </xdr:grpSpPr>
      <xdr:pic>
        <xdr:nvPicPr>
          <xdr:cNvPr id="13" name="Picture 1" descr="logo pama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2229855" y="627530"/>
            <a:ext cx="505631" cy="6191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23176" y="742827"/>
            <a:ext cx="1512794" cy="346274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403412</xdr:colOff>
      <xdr:row>2</xdr:row>
      <xdr:rowOff>188819</xdr:rowOff>
    </xdr:from>
    <xdr:to>
      <xdr:col>16</xdr:col>
      <xdr:colOff>899673</xdr:colOff>
      <xdr:row>5</xdr:row>
      <xdr:rowOff>64994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10528487" y="684119"/>
          <a:ext cx="2267911" cy="447675"/>
          <a:chOff x="10522324" y="681878"/>
          <a:chExt cx="2277996" cy="447675"/>
        </a:xfrm>
      </xdr:grpSpPr>
      <xdr:pic>
        <xdr:nvPicPr>
          <xdr:cNvPr id="3156" name="Picture 12">
            <a:extLst>
              <a:ext uri="{FF2B5EF4-FFF2-40B4-BE49-F238E27FC236}">
                <a16:creationId xmlns:a16="http://schemas.microsoft.com/office/drawing/2014/main" id="{00000000-0008-0000-0400-000054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l="883" t="4646" r="88338" b="58157"/>
          <a:stretch>
            <a:fillRect/>
          </a:stretch>
        </xdr:blipFill>
        <xdr:spPr bwMode="auto">
          <a:xfrm>
            <a:off x="12064189" y="681878"/>
            <a:ext cx="736131" cy="4476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522324" y="717176"/>
            <a:ext cx="1512794" cy="346274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425823</xdr:colOff>
      <xdr:row>3</xdr:row>
      <xdr:rowOff>11206</xdr:rowOff>
    </xdr:from>
    <xdr:to>
      <xdr:col>16</xdr:col>
      <xdr:colOff>936258</xdr:colOff>
      <xdr:row>5</xdr:row>
      <xdr:rowOff>32379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14046573" y="691563"/>
          <a:ext cx="2265756" cy="402173"/>
          <a:chOff x="10712823" y="694765"/>
          <a:chExt cx="2292170" cy="402173"/>
        </a:xfrm>
      </xdr:grpSpPr>
      <xdr:pic>
        <xdr:nvPicPr>
          <xdr:cNvPr id="13" name="Picture 10" descr="Petrosea_0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2282303" y="694765"/>
            <a:ext cx="722690" cy="40217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12823" y="705970"/>
            <a:ext cx="1512794" cy="346274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571502</xdr:colOff>
      <xdr:row>2</xdr:row>
      <xdr:rowOff>179294</xdr:rowOff>
    </xdr:from>
    <xdr:to>
      <xdr:col>16</xdr:col>
      <xdr:colOff>874221</xdr:colOff>
      <xdr:row>5</xdr:row>
      <xdr:rowOff>84044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5C0BD28-47AF-417C-BD96-FA5B2EA5EC55}"/>
            </a:ext>
          </a:extLst>
        </xdr:cNvPr>
        <xdr:cNvGrpSpPr/>
      </xdr:nvGrpSpPr>
      <xdr:grpSpPr>
        <a:xfrm>
          <a:off x="11797395" y="669151"/>
          <a:ext cx="2058040" cy="476250"/>
          <a:chOff x="10399058" y="683559"/>
          <a:chExt cx="2084454" cy="47625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B33CB9B-AB7D-41E4-ABC7-0A313369C14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2634" t="10387" r="6710" b="15774"/>
          <a:stretch/>
        </xdr:blipFill>
        <xdr:spPr>
          <a:xfrm>
            <a:off x="11945470" y="683559"/>
            <a:ext cx="538042" cy="476250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AEC7AAB-29D9-4AB4-BAFE-97F4F5FFFF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99058" y="750794"/>
            <a:ext cx="1512794" cy="346274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312964</xdr:colOff>
      <xdr:row>3</xdr:row>
      <xdr:rowOff>13608</xdr:rowOff>
    </xdr:from>
    <xdr:to>
      <xdr:col>16</xdr:col>
      <xdr:colOff>977964</xdr:colOff>
      <xdr:row>5</xdr:row>
      <xdr:rowOff>34979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57539D-0CED-448D-BC26-78F3D03C1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6678" y="693965"/>
          <a:ext cx="2420322" cy="4023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403411</xdr:colOff>
      <xdr:row>2</xdr:row>
      <xdr:rowOff>89646</xdr:rowOff>
    </xdr:from>
    <xdr:to>
      <xdr:col>16</xdr:col>
      <xdr:colOff>874059</xdr:colOff>
      <xdr:row>6</xdr:row>
      <xdr:rowOff>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pSpPr/>
      </xdr:nvGrpSpPr>
      <xdr:grpSpPr>
        <a:xfrm>
          <a:off x="10528486" y="584946"/>
          <a:ext cx="2242298" cy="672354"/>
          <a:chOff x="10522323" y="582705"/>
          <a:chExt cx="2252383" cy="67235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PicPr/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7842"/>
          <a:stretch/>
        </xdr:blipFill>
        <xdr:spPr>
          <a:xfrm>
            <a:off x="12046324" y="582705"/>
            <a:ext cx="728382" cy="672354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522323" y="750794"/>
            <a:ext cx="1512794" cy="346274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246530</xdr:colOff>
      <xdr:row>2</xdr:row>
      <xdr:rowOff>168089</xdr:rowOff>
    </xdr:from>
    <xdr:to>
      <xdr:col>16</xdr:col>
      <xdr:colOff>897033</xdr:colOff>
      <xdr:row>5</xdr:row>
      <xdr:rowOff>84045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0410265" y="661148"/>
          <a:ext cx="2432239" cy="487456"/>
          <a:chOff x="10421471" y="661148"/>
          <a:chExt cx="2432238" cy="487456"/>
        </a:xfrm>
      </xdr:grpSpPr>
      <xdr:pic>
        <xdr:nvPicPr>
          <xdr:cNvPr id="13" name="Picture 6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967883" y="661148"/>
            <a:ext cx="885826" cy="48745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21471" y="750795"/>
            <a:ext cx="1512794" cy="346274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SKIM\&#44592;&#54925;02\DJ\HN\EXCEL\97PLAN\98PLAN\98PLAN.XLW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Data%20C\My%20Documents\&#54224;&#49437;&#50896;&#44032;\O&amp;O\'06&#45380;%20o&amp;o%20cost\&#51088;&#51116;&#48708;%20sheet\Yearly_2006(Kideco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Documents%20and%20Settings\gypark\Local%20Settings\Temporary%20Internet%20Files\Content.IE5\ATZL8D00\2004&#45380;%2012&#50900;&#44228;&#54925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My%20Documents\&#54924;&#51032;&#51088;&#47308;\&#51221;&#49885;&#51060;&#49324;&#54924;\2005_&#49324;&#50629;&#44228;&#54925;(&#44397;&#47928;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roduksi5\Local%20Settings\Temporary%20Internet%20Files\Content.IE5\06ZNAIY1\Data%20C\My%20Documents\&#54224;&#49437;&#50896;&#44032;\O&amp;O\'06&#45380;%20o&amp;o%20cost\&#51088;&#51116;&#48708;%20sheet\Yearly_2006(Sims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KUNN\Cont_SMandiri\Oil%20Report\Report2007-04_Lubrica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PROYEK\Jambi\khusus\Project\KECUBUNG\FAJ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Data%20D\2009\MONTHLY%20REPORT\2009\JUL\Risna\&#52636;&#51109;\&#49892;&#51201;&#44288;&#47532;(&#44288;&#47532;&#50896;&#44032;)\2001Plan_YearTota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Udinese\Reports\Monthly%20reports\2007\Tutup%20buku%20Juni\Material_06_200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52017\c\Monitor%20&amp;%20Control\Kideco\A2B%20Subcont\Mei%2020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Data\&#49552;&#51061;\2006\2006&#45380;%2001&#50900;&#44228;&#5492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2_Anief\File%20Manager\Backup%20Files\Monthly%20Report\Report%2002-IX-97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My%20Documents\&#49324;&#50629;&#44228;&#54925;2003\&#52572;&#51333;&#48376;\Samtan\2003&#45380;&#49340;&#53444;&#49324;&#50629;&#44228;&#54925;&#49436;(&#44592;&#48376;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Documents%20and%20Settings\cklee\My%20Documents\&#51452;&#50836;&#50629;&#47924;&#54028;&#51068;\2007&#49324;&#50629;&#44228;&#54925;\KIDECO\2007_&#48372;&#44256;&#49436;&#49464;&#48512;&#51088;&#4730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Documents%20and%20Settings\abas\Local%20Settings\Temp\test%20depre%2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Data\&#49552;&#51061;\2006\2006&#45380;%2002&#50900;&#44228;&#5492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hpark\samindo2\Documents%20and%20Settings\&#51109;&#50689;&#48276;\Local%20Settings\Temporary%20Internet%20Files\Content.IE5\TUKNZDKL\2003-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Documents%20and%20Settings\hskim\Local%20Settings\Temporary%20Internet%20Files\Content.IE5\0P23S1IZ\FIX-200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&#52636;&#51109;\&#49892;&#51201;&#44288;&#47532;(&#44288;&#47532;&#50896;&#44032;)\2001Plan_YearTot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KUNN\Cont_SMandiri\Oil%20Report\R2007-09_Lub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Data%20C\My%20Documents\&#54224;&#49437;&#50896;&#44032;\O&amp;O\'06&#45380;%20o&amp;o%20cost\&#51088;&#51116;&#48708;%20sheet\Yearly_2006(Sim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인원계획"/>
      <sheetName val="계획서"/>
      <sheetName val="98년차.XLS"/>
      <sheetName val="98인건비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ch"/>
      <sheetName val="April"/>
      <sheetName val="Mei"/>
      <sheetName val="Juni"/>
      <sheetName val="Juli"/>
      <sheetName val="Agt"/>
      <sheetName val="Sept"/>
      <sheetName val="Okt"/>
      <sheetName val="Nov"/>
      <sheetName val="Des"/>
      <sheetName val="KIDEC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">
          <cell r="E3" t="str">
            <v>General</v>
          </cell>
          <cell r="K3">
            <v>26.198931000000002</v>
          </cell>
          <cell r="R3" t="str">
            <v>Supports</v>
          </cell>
        </row>
        <row r="4">
          <cell r="E4" t="str">
            <v>General</v>
          </cell>
          <cell r="K4">
            <v>3.64717</v>
          </cell>
          <cell r="R4" t="str">
            <v>Supports</v>
          </cell>
        </row>
        <row r="5">
          <cell r="E5" t="str">
            <v>S/Parts</v>
          </cell>
          <cell r="K5">
            <v>456.8</v>
          </cell>
          <cell r="R5" t="str">
            <v>BD-167</v>
          </cell>
        </row>
        <row r="6">
          <cell r="E6" t="str">
            <v>S/Parts</v>
          </cell>
          <cell r="K6">
            <v>632.79758600000002</v>
          </cell>
          <cell r="R6" t="str">
            <v>BD-167</v>
          </cell>
        </row>
        <row r="7">
          <cell r="E7" t="str">
            <v>S/Parts</v>
          </cell>
          <cell r="K7">
            <v>53.321187999999999</v>
          </cell>
          <cell r="R7" t="str">
            <v>BD-167</v>
          </cell>
        </row>
        <row r="8">
          <cell r="E8" t="str">
            <v>S/Parts</v>
          </cell>
          <cell r="K8">
            <v>129.61500000000001</v>
          </cell>
          <cell r="R8" t="str">
            <v>BD-167</v>
          </cell>
        </row>
        <row r="9">
          <cell r="E9" t="str">
            <v>S/Parts</v>
          </cell>
          <cell r="K9">
            <v>383.64</v>
          </cell>
          <cell r="R9" t="str">
            <v>BD-167</v>
          </cell>
        </row>
        <row r="10">
          <cell r="E10" t="str">
            <v>S/Parts</v>
          </cell>
          <cell r="K10">
            <v>224.49</v>
          </cell>
          <cell r="R10" t="str">
            <v>BD-167</v>
          </cell>
        </row>
        <row r="11">
          <cell r="E11" t="str">
            <v>S/Parts</v>
          </cell>
          <cell r="K11">
            <v>713.28</v>
          </cell>
          <cell r="R11" t="str">
            <v>BD-167</v>
          </cell>
        </row>
        <row r="12">
          <cell r="E12" t="str">
            <v>S/Parts</v>
          </cell>
          <cell r="K12">
            <v>1008.064976</v>
          </cell>
          <cell r="R12" t="str">
            <v>BD-169</v>
          </cell>
        </row>
        <row r="13">
          <cell r="E13" t="str">
            <v>General</v>
          </cell>
          <cell r="K13">
            <v>33.065840000000001</v>
          </cell>
          <cell r="R13" t="str">
            <v>EX-274</v>
          </cell>
        </row>
        <row r="14">
          <cell r="E14" t="str">
            <v>S/Parts</v>
          </cell>
          <cell r="K14">
            <v>6.4</v>
          </cell>
          <cell r="R14" t="str">
            <v>Supports</v>
          </cell>
        </row>
        <row r="15">
          <cell r="E15" t="str">
            <v>S/Parts</v>
          </cell>
          <cell r="K15">
            <v>10.8</v>
          </cell>
          <cell r="R15" t="str">
            <v>Supports</v>
          </cell>
        </row>
        <row r="16">
          <cell r="E16" t="str">
            <v>S/Parts</v>
          </cell>
          <cell r="K16">
            <v>19.663333000000002</v>
          </cell>
          <cell r="R16" t="str">
            <v>Supports</v>
          </cell>
        </row>
        <row r="17">
          <cell r="E17" t="str">
            <v>S/Parts</v>
          </cell>
          <cell r="K17">
            <v>8.27</v>
          </cell>
          <cell r="R17" t="str">
            <v>Supports</v>
          </cell>
        </row>
        <row r="18">
          <cell r="E18" t="str">
            <v>Tire</v>
          </cell>
          <cell r="K18">
            <v>14090.511644000002</v>
          </cell>
          <cell r="R18" t="str">
            <v>HD-1101</v>
          </cell>
        </row>
        <row r="19">
          <cell r="E19" t="str">
            <v>Tire</v>
          </cell>
          <cell r="K19">
            <v>14360</v>
          </cell>
          <cell r="R19" t="str">
            <v>HD-1111</v>
          </cell>
        </row>
        <row r="20">
          <cell r="E20" t="str">
            <v>Tire</v>
          </cell>
          <cell r="K20">
            <v>7045.255822000001</v>
          </cell>
          <cell r="R20" t="str">
            <v>HD-601</v>
          </cell>
        </row>
        <row r="21">
          <cell r="E21" t="str">
            <v>Tire</v>
          </cell>
          <cell r="K21">
            <v>14360</v>
          </cell>
          <cell r="R21" t="str">
            <v>HD-601</v>
          </cell>
        </row>
        <row r="22">
          <cell r="E22" t="str">
            <v>Tire</v>
          </cell>
          <cell r="K22">
            <v>14360</v>
          </cell>
          <cell r="R22" t="str">
            <v>HD-602</v>
          </cell>
        </row>
        <row r="23">
          <cell r="E23" t="str">
            <v>Tire</v>
          </cell>
          <cell r="K23">
            <v>7045.255822000001</v>
          </cell>
          <cell r="R23" t="str">
            <v>HD-603</v>
          </cell>
        </row>
        <row r="24">
          <cell r="E24" t="str">
            <v>Tire</v>
          </cell>
          <cell r="K24">
            <v>14360</v>
          </cell>
          <cell r="R24" t="str">
            <v>HD-605</v>
          </cell>
        </row>
        <row r="25">
          <cell r="E25" t="str">
            <v>Tire</v>
          </cell>
          <cell r="K25">
            <v>14360</v>
          </cell>
          <cell r="R25" t="str">
            <v>HD-606</v>
          </cell>
        </row>
        <row r="26">
          <cell r="E26" t="str">
            <v>Tire</v>
          </cell>
          <cell r="K26">
            <v>14360</v>
          </cell>
          <cell r="R26" t="str">
            <v>HD-607</v>
          </cell>
        </row>
        <row r="27">
          <cell r="E27" t="str">
            <v>S/Parts</v>
          </cell>
          <cell r="K27">
            <v>90</v>
          </cell>
          <cell r="R27" t="str">
            <v>HD-607</v>
          </cell>
        </row>
        <row r="28">
          <cell r="E28" t="str">
            <v>S/Parts</v>
          </cell>
          <cell r="K28">
            <v>1321</v>
          </cell>
          <cell r="R28" t="str">
            <v>HD-607</v>
          </cell>
        </row>
        <row r="29">
          <cell r="E29" t="str">
            <v>S/Parts</v>
          </cell>
          <cell r="K29">
            <v>565.4</v>
          </cell>
          <cell r="R29" t="str">
            <v>HD-607</v>
          </cell>
        </row>
        <row r="30">
          <cell r="E30" t="str">
            <v>S/Parts</v>
          </cell>
          <cell r="K30">
            <v>1321</v>
          </cell>
          <cell r="R30" t="str">
            <v>HD-607</v>
          </cell>
        </row>
        <row r="31">
          <cell r="E31" t="str">
            <v>S/Parts</v>
          </cell>
          <cell r="K31">
            <v>165.184518</v>
          </cell>
          <cell r="R31" t="str">
            <v>RD-678</v>
          </cell>
        </row>
        <row r="32">
          <cell r="E32" t="str">
            <v>S/Parts</v>
          </cell>
          <cell r="K32">
            <v>744.51480700000002</v>
          </cell>
          <cell r="R32" t="str">
            <v>RD-678</v>
          </cell>
        </row>
        <row r="33">
          <cell r="E33" t="str">
            <v>S/Parts</v>
          </cell>
          <cell r="K33">
            <v>32.209674</v>
          </cell>
          <cell r="R33" t="str">
            <v>RD-678</v>
          </cell>
        </row>
        <row r="34">
          <cell r="E34" t="str">
            <v>S/Parts</v>
          </cell>
          <cell r="K34">
            <v>1157.3477379999999</v>
          </cell>
          <cell r="R34" t="str">
            <v>RD-685</v>
          </cell>
        </row>
        <row r="35">
          <cell r="E35" t="str">
            <v>S/Parts</v>
          </cell>
          <cell r="K35">
            <v>62.469733999999995</v>
          </cell>
          <cell r="R35" t="str">
            <v>RD-685</v>
          </cell>
        </row>
        <row r="36">
          <cell r="E36" t="str">
            <v>S/Parts</v>
          </cell>
          <cell r="K36">
            <v>151.12683999999999</v>
          </cell>
          <cell r="R36" t="str">
            <v>RD-685</v>
          </cell>
        </row>
        <row r="37">
          <cell r="E37" t="str">
            <v>S/Parts</v>
          </cell>
          <cell r="K37">
            <v>65.195825999999997</v>
          </cell>
          <cell r="R37" t="str">
            <v>RD-687</v>
          </cell>
        </row>
        <row r="38">
          <cell r="E38" t="str">
            <v>S/Parts</v>
          </cell>
          <cell r="K38">
            <v>2564.1338190000001</v>
          </cell>
          <cell r="R38" t="str">
            <v>RD-688</v>
          </cell>
        </row>
        <row r="39">
          <cell r="E39" t="str">
            <v>S/Parts</v>
          </cell>
          <cell r="K39">
            <v>1157.3477379999999</v>
          </cell>
          <cell r="R39" t="str">
            <v>RD-688</v>
          </cell>
        </row>
        <row r="40">
          <cell r="E40" t="str">
            <v>S/Parts</v>
          </cell>
          <cell r="K40">
            <v>395.34363899999994</v>
          </cell>
          <cell r="R40" t="str">
            <v>RD-688</v>
          </cell>
        </row>
        <row r="41">
          <cell r="E41" t="str">
            <v>S/Parts</v>
          </cell>
          <cell r="K41">
            <v>43.463884</v>
          </cell>
          <cell r="R41" t="str">
            <v>RD-688</v>
          </cell>
        </row>
        <row r="42">
          <cell r="E42" t="str">
            <v>S/Parts</v>
          </cell>
          <cell r="K42">
            <v>4.3678980000000003</v>
          </cell>
          <cell r="R42" t="str">
            <v>RD-688</v>
          </cell>
        </row>
        <row r="43">
          <cell r="E43" t="str">
            <v>S/Parts</v>
          </cell>
          <cell r="K43">
            <v>7.53</v>
          </cell>
          <cell r="R43" t="str">
            <v>RD-688</v>
          </cell>
        </row>
        <row r="44">
          <cell r="E44" t="str">
            <v>S/Parts</v>
          </cell>
          <cell r="K44">
            <v>5.3555479999999998</v>
          </cell>
          <cell r="R44" t="str">
            <v>RD-688</v>
          </cell>
        </row>
        <row r="45">
          <cell r="E45" t="str">
            <v>S/Parts</v>
          </cell>
          <cell r="K45">
            <v>239.22518199999999</v>
          </cell>
          <cell r="R45" t="str">
            <v>RD-688</v>
          </cell>
        </row>
        <row r="46">
          <cell r="E46" t="str">
            <v>S/Parts</v>
          </cell>
          <cell r="K46">
            <v>264.06661400000002</v>
          </cell>
          <cell r="R46" t="str">
            <v>RD-688</v>
          </cell>
        </row>
        <row r="47">
          <cell r="E47" t="str">
            <v>S/Parts</v>
          </cell>
          <cell r="K47">
            <v>4801.2426779999996</v>
          </cell>
          <cell r="R47" t="str">
            <v>RD-688</v>
          </cell>
        </row>
        <row r="48">
          <cell r="E48" t="str">
            <v>S/Parts</v>
          </cell>
          <cell r="K48">
            <v>13.667470000000002</v>
          </cell>
          <cell r="R48" t="str">
            <v>RD-688</v>
          </cell>
        </row>
        <row r="49">
          <cell r="E49" t="str">
            <v>S/Parts</v>
          </cell>
          <cell r="K49">
            <v>6.008724</v>
          </cell>
          <cell r="R49" t="str">
            <v>RD-688</v>
          </cell>
        </row>
        <row r="50">
          <cell r="E50" t="str">
            <v>S/Parts</v>
          </cell>
          <cell r="K50">
            <v>5.1592479999999998</v>
          </cell>
          <cell r="R50" t="str">
            <v>RD-688</v>
          </cell>
        </row>
        <row r="51">
          <cell r="E51" t="str">
            <v>S/Parts</v>
          </cell>
          <cell r="K51">
            <v>19.248965999999999</v>
          </cell>
          <cell r="R51" t="str">
            <v>RD-688</v>
          </cell>
        </row>
        <row r="52">
          <cell r="E52" t="str">
            <v>S/Parts</v>
          </cell>
          <cell r="K52">
            <v>546.39597700000002</v>
          </cell>
          <cell r="R52" t="str">
            <v>RD-688</v>
          </cell>
        </row>
        <row r="53">
          <cell r="E53" t="str">
            <v>S/Parts</v>
          </cell>
          <cell r="K53">
            <v>5527.006891</v>
          </cell>
          <cell r="R53" t="str">
            <v>RD-688</v>
          </cell>
        </row>
        <row r="54">
          <cell r="E54" t="str">
            <v>S/Parts</v>
          </cell>
          <cell r="K54">
            <v>2.061855</v>
          </cell>
          <cell r="R54" t="str">
            <v>RD-693</v>
          </cell>
        </row>
        <row r="55">
          <cell r="E55" t="str">
            <v>S/Parts</v>
          </cell>
          <cell r="K55">
            <v>572.74599999999998</v>
          </cell>
          <cell r="R55" t="str">
            <v>RD-693</v>
          </cell>
        </row>
        <row r="56">
          <cell r="E56" t="str">
            <v>S/Parts</v>
          </cell>
          <cell r="K56">
            <v>193.37899999999999</v>
          </cell>
          <cell r="R56" t="str">
            <v>RD-693</v>
          </cell>
        </row>
        <row r="57">
          <cell r="E57" t="str">
            <v>S/Parts</v>
          </cell>
          <cell r="K57">
            <v>59.154407999999997</v>
          </cell>
          <cell r="R57" t="str">
            <v>RD-693</v>
          </cell>
        </row>
        <row r="58">
          <cell r="E58" t="str">
            <v>S/Parts</v>
          </cell>
          <cell r="K58">
            <v>73.309743999999995</v>
          </cell>
          <cell r="R58" t="str">
            <v>RD-693</v>
          </cell>
        </row>
        <row r="59">
          <cell r="E59" t="str">
            <v>S/Parts</v>
          </cell>
          <cell r="K59">
            <v>191.24604199999999</v>
          </cell>
          <cell r="R59" t="str">
            <v>RD-693</v>
          </cell>
        </row>
        <row r="60">
          <cell r="E60" t="str">
            <v>S/Parts</v>
          </cell>
          <cell r="K60">
            <v>31.234866999999998</v>
          </cell>
          <cell r="R60" t="str">
            <v>RD-693</v>
          </cell>
        </row>
        <row r="61">
          <cell r="E61" t="str">
            <v>S/Parts</v>
          </cell>
          <cell r="K61">
            <v>27.166525999999998</v>
          </cell>
          <cell r="R61" t="str">
            <v>RD-693</v>
          </cell>
        </row>
        <row r="62">
          <cell r="E62" t="str">
            <v>S/Parts</v>
          </cell>
          <cell r="K62">
            <v>5527.006891</v>
          </cell>
          <cell r="R62" t="str">
            <v>RD-694</v>
          </cell>
        </row>
        <row r="63">
          <cell r="E63" t="str">
            <v>S/Parts</v>
          </cell>
          <cell r="K63">
            <v>382.49208399999998</v>
          </cell>
          <cell r="R63" t="str">
            <v>RD-695</v>
          </cell>
        </row>
        <row r="64">
          <cell r="E64" t="str">
            <v>S/Parts</v>
          </cell>
          <cell r="K64">
            <v>62.469733999999995</v>
          </cell>
          <cell r="R64" t="str">
            <v>RD-695</v>
          </cell>
        </row>
        <row r="65">
          <cell r="E65" t="str">
            <v>S/Parts</v>
          </cell>
          <cell r="K65">
            <v>135.388341</v>
          </cell>
          <cell r="R65" t="str">
            <v>RD-695</v>
          </cell>
        </row>
        <row r="66">
          <cell r="E66" t="str">
            <v>S/Parts</v>
          </cell>
          <cell r="K66">
            <v>135.388341</v>
          </cell>
          <cell r="R66" t="str">
            <v>RD-695</v>
          </cell>
        </row>
        <row r="67">
          <cell r="E67" t="str">
            <v>S/Parts</v>
          </cell>
          <cell r="K67">
            <v>6.2883540000000009</v>
          </cell>
          <cell r="R67" t="str">
            <v>RD-695</v>
          </cell>
        </row>
        <row r="68">
          <cell r="E68" t="str">
            <v>S/Parts</v>
          </cell>
          <cell r="K68">
            <v>191.24604199999999</v>
          </cell>
          <cell r="R68" t="str">
            <v>RD-696</v>
          </cell>
        </row>
        <row r="69">
          <cell r="E69" t="str">
            <v>S/Parts</v>
          </cell>
          <cell r="K69">
            <v>31.234866999999998</v>
          </cell>
          <cell r="R69" t="str">
            <v>RD-696</v>
          </cell>
        </row>
        <row r="70">
          <cell r="E70" t="str">
            <v>S/Parts</v>
          </cell>
          <cell r="K70">
            <v>135.388341</v>
          </cell>
          <cell r="R70" t="str">
            <v>RD-696</v>
          </cell>
        </row>
        <row r="71">
          <cell r="E71" t="str">
            <v>S/Parts</v>
          </cell>
          <cell r="K71">
            <v>93.353331999999995</v>
          </cell>
          <cell r="R71" t="str">
            <v>O&amp;K</v>
          </cell>
        </row>
        <row r="72">
          <cell r="E72" t="str">
            <v>S/Parts</v>
          </cell>
          <cell r="K72">
            <v>828.21306599999991</v>
          </cell>
          <cell r="R72" t="str">
            <v>O&amp;K</v>
          </cell>
        </row>
        <row r="73">
          <cell r="E73" t="str">
            <v>S/Parts</v>
          </cell>
          <cell r="K73">
            <v>21.285720000000001</v>
          </cell>
          <cell r="R73" t="str">
            <v>O&amp;K</v>
          </cell>
        </row>
        <row r="74">
          <cell r="E74" t="str">
            <v>S/Parts</v>
          </cell>
          <cell r="K74">
            <v>427.50277900000003</v>
          </cell>
          <cell r="R74" t="str">
            <v>O&amp;K</v>
          </cell>
        </row>
        <row r="75">
          <cell r="E75" t="str">
            <v>S/Parts</v>
          </cell>
          <cell r="K75">
            <v>49.79</v>
          </cell>
          <cell r="R75" t="str">
            <v>O&amp;K</v>
          </cell>
        </row>
        <row r="76">
          <cell r="E76" t="str">
            <v>S/Parts</v>
          </cell>
          <cell r="K76">
            <v>26.642858</v>
          </cell>
          <cell r="R76" t="str">
            <v>O&amp;K</v>
          </cell>
        </row>
        <row r="77">
          <cell r="E77" t="str">
            <v>S/Parts</v>
          </cell>
          <cell r="K77">
            <v>40.206184999999998</v>
          </cell>
          <cell r="R77" t="str">
            <v>O&amp;K</v>
          </cell>
        </row>
        <row r="78">
          <cell r="E78" t="str">
            <v>S/Parts</v>
          </cell>
          <cell r="K78">
            <v>216.50976299999999</v>
          </cell>
          <cell r="R78" t="str">
            <v>TEREX</v>
          </cell>
        </row>
        <row r="79">
          <cell r="E79" t="str">
            <v>S/Parts</v>
          </cell>
          <cell r="K79">
            <v>13089.906284000001</v>
          </cell>
          <cell r="R79" t="str">
            <v>TEREX</v>
          </cell>
        </row>
        <row r="80">
          <cell r="E80" t="str">
            <v>S/Parts</v>
          </cell>
          <cell r="K80">
            <v>11054.013782</v>
          </cell>
          <cell r="R80" t="str">
            <v>TEREX</v>
          </cell>
        </row>
        <row r="81">
          <cell r="E81" t="str">
            <v>S/Parts</v>
          </cell>
          <cell r="K81">
            <v>93.722089999999994</v>
          </cell>
          <cell r="R81" t="str">
            <v>TEREX</v>
          </cell>
        </row>
        <row r="82">
          <cell r="E82" t="str">
            <v>S/Parts</v>
          </cell>
          <cell r="K82">
            <v>165.184518</v>
          </cell>
          <cell r="R82" t="str">
            <v>TEREX</v>
          </cell>
        </row>
        <row r="83">
          <cell r="E83" t="str">
            <v>S/Parts</v>
          </cell>
          <cell r="K83">
            <v>85.192392999999996</v>
          </cell>
          <cell r="R83" t="str">
            <v>TEREX</v>
          </cell>
        </row>
        <row r="84">
          <cell r="E84" t="str">
            <v>S/Parts</v>
          </cell>
          <cell r="K84">
            <v>39.299680000000002</v>
          </cell>
          <cell r="R84" t="str">
            <v>TEREX</v>
          </cell>
        </row>
        <row r="85">
          <cell r="E85" t="str">
            <v>S/Parts</v>
          </cell>
          <cell r="K85">
            <v>353.69711999999998</v>
          </cell>
          <cell r="R85" t="str">
            <v>TEREX</v>
          </cell>
        </row>
        <row r="86">
          <cell r="E86" t="str">
            <v>S/Parts</v>
          </cell>
          <cell r="K86">
            <v>42.061067999999999</v>
          </cell>
          <cell r="R86" t="str">
            <v>TEREX</v>
          </cell>
        </row>
        <row r="87">
          <cell r="E87" t="str">
            <v>S/Parts</v>
          </cell>
          <cell r="K87">
            <v>192.48966000000001</v>
          </cell>
          <cell r="R87" t="str">
            <v>TEREX</v>
          </cell>
        </row>
        <row r="88">
          <cell r="E88" t="str">
            <v>S/Parts</v>
          </cell>
          <cell r="K88">
            <v>67.461352000000005</v>
          </cell>
          <cell r="R88" t="str">
            <v>TEREX</v>
          </cell>
        </row>
        <row r="89">
          <cell r="E89" t="str">
            <v>S/Parts</v>
          </cell>
          <cell r="K89">
            <v>202.38405599999999</v>
          </cell>
          <cell r="R89" t="str">
            <v>TEREX</v>
          </cell>
        </row>
        <row r="90">
          <cell r="E90" t="str">
            <v>S/Parts</v>
          </cell>
          <cell r="K90">
            <v>218.8862</v>
          </cell>
          <cell r="R90" t="str">
            <v>TEREX</v>
          </cell>
        </row>
        <row r="91">
          <cell r="E91" t="str">
            <v>S/Parts</v>
          </cell>
          <cell r="K91">
            <v>320.33897999999999</v>
          </cell>
          <cell r="R91" t="str">
            <v>TEREX</v>
          </cell>
        </row>
        <row r="92">
          <cell r="E92" t="str">
            <v>S/Parts</v>
          </cell>
          <cell r="K92">
            <v>35.593220000000002</v>
          </cell>
          <cell r="R92" t="str">
            <v>TEREX</v>
          </cell>
        </row>
        <row r="93">
          <cell r="E93" t="str">
            <v>S/Parts</v>
          </cell>
          <cell r="K93">
            <v>1045.1375800000001</v>
          </cell>
          <cell r="R93" t="str">
            <v>TEREX</v>
          </cell>
        </row>
        <row r="94">
          <cell r="E94" t="str">
            <v>S/Parts</v>
          </cell>
          <cell r="K94">
            <v>65.997868999999994</v>
          </cell>
          <cell r="R94" t="str">
            <v>TEREX</v>
          </cell>
        </row>
        <row r="95">
          <cell r="E95" t="str">
            <v>S/Parts</v>
          </cell>
          <cell r="K95">
            <v>18.90034</v>
          </cell>
          <cell r="R95" t="str">
            <v>TEREX</v>
          </cell>
        </row>
        <row r="96">
          <cell r="E96" t="str">
            <v>S/Parts</v>
          </cell>
          <cell r="K96">
            <v>3.36</v>
          </cell>
          <cell r="R96" t="str">
            <v>TEREX</v>
          </cell>
        </row>
        <row r="97">
          <cell r="E97" t="str">
            <v>S/Parts</v>
          </cell>
          <cell r="K97">
            <v>5.7528359999999994</v>
          </cell>
          <cell r="R97" t="str">
            <v>TEREX</v>
          </cell>
        </row>
        <row r="98">
          <cell r="E98" t="str">
            <v>S/Parts</v>
          </cell>
          <cell r="K98">
            <v>5.7528359999999994</v>
          </cell>
          <cell r="R98" t="str">
            <v>TEREX</v>
          </cell>
        </row>
        <row r="99">
          <cell r="E99" t="str">
            <v>S/Parts</v>
          </cell>
          <cell r="K99">
            <v>5.7528359999999994</v>
          </cell>
          <cell r="R99" t="str">
            <v>TEREX</v>
          </cell>
        </row>
        <row r="100">
          <cell r="E100" t="str">
            <v>S/Parts</v>
          </cell>
          <cell r="K100">
            <v>32.64</v>
          </cell>
          <cell r="R100" t="str">
            <v>TEREX</v>
          </cell>
        </row>
        <row r="101">
          <cell r="E101" t="str">
            <v>S/Parts</v>
          </cell>
          <cell r="K101">
            <v>2.1916920000000002</v>
          </cell>
          <cell r="R101" t="str">
            <v>TEREX</v>
          </cell>
        </row>
        <row r="102">
          <cell r="E102" t="str">
            <v>S/Parts</v>
          </cell>
          <cell r="K102">
            <v>52.095468000000004</v>
          </cell>
          <cell r="R102" t="str">
            <v>TEREX</v>
          </cell>
        </row>
        <row r="103">
          <cell r="E103" t="str">
            <v>S/Parts</v>
          </cell>
          <cell r="K103">
            <v>99.656360000000006</v>
          </cell>
          <cell r="R103" t="str">
            <v>TEREX</v>
          </cell>
        </row>
        <row r="104">
          <cell r="E104" t="str">
            <v>S/Parts</v>
          </cell>
          <cell r="K104">
            <v>23.693615999999999</v>
          </cell>
          <cell r="R104" t="str">
            <v>TEREX</v>
          </cell>
        </row>
        <row r="105">
          <cell r="E105" t="str">
            <v>S/Parts</v>
          </cell>
          <cell r="K105">
            <v>9.1155749999999998</v>
          </cell>
          <cell r="R105" t="str">
            <v>TEREX</v>
          </cell>
        </row>
        <row r="106">
          <cell r="E106" t="str">
            <v>S/Parts</v>
          </cell>
          <cell r="K106">
            <v>643.00615100000005</v>
          </cell>
          <cell r="R106" t="str">
            <v>TEREX</v>
          </cell>
        </row>
        <row r="107">
          <cell r="E107" t="str">
            <v>S/Parts</v>
          </cell>
          <cell r="K107">
            <v>8366.3520900000003</v>
          </cell>
          <cell r="R107" t="str">
            <v>TEREX</v>
          </cell>
        </row>
        <row r="108">
          <cell r="E108" t="str">
            <v>S/Parts</v>
          </cell>
          <cell r="K108">
            <v>122.61343200000002</v>
          </cell>
          <cell r="R108" t="str">
            <v>TEREX</v>
          </cell>
        </row>
        <row r="109">
          <cell r="E109" t="str">
            <v>S/Parts</v>
          </cell>
          <cell r="K109">
            <v>1076.5133189999999</v>
          </cell>
          <cell r="R109" t="str">
            <v>TEREX</v>
          </cell>
        </row>
        <row r="110">
          <cell r="E110" t="str">
            <v>S/Parts</v>
          </cell>
          <cell r="K110">
            <v>1848.4662980000001</v>
          </cell>
          <cell r="R110" t="str">
            <v>TEREX</v>
          </cell>
        </row>
        <row r="111">
          <cell r="E111" t="str">
            <v>S/Parts</v>
          </cell>
          <cell r="K111">
            <v>5.1592479999999998</v>
          </cell>
          <cell r="R111" t="str">
            <v>TEREX</v>
          </cell>
        </row>
        <row r="112">
          <cell r="E112" t="str">
            <v>S/Parts</v>
          </cell>
          <cell r="K112">
            <v>105.07016100000001</v>
          </cell>
          <cell r="R112" t="str">
            <v>TEREX</v>
          </cell>
        </row>
        <row r="113">
          <cell r="E113" t="str">
            <v>S/Parts</v>
          </cell>
          <cell r="K113">
            <v>34.725085999999997</v>
          </cell>
          <cell r="R113" t="str">
            <v>TEREX</v>
          </cell>
        </row>
        <row r="114">
          <cell r="E114" t="str">
            <v>S/Parts</v>
          </cell>
          <cell r="K114">
            <v>1740.382728</v>
          </cell>
          <cell r="R114" t="str">
            <v>TEREX</v>
          </cell>
        </row>
        <row r="115">
          <cell r="E115" t="str">
            <v>S/Parts</v>
          </cell>
          <cell r="K115">
            <v>288.15718399999997</v>
          </cell>
          <cell r="R115" t="str">
            <v>TEREX</v>
          </cell>
        </row>
        <row r="116">
          <cell r="E116" t="str">
            <v>S/Parts</v>
          </cell>
          <cell r="K116">
            <v>600.93214399999999</v>
          </cell>
          <cell r="R116" t="str">
            <v>TEREX</v>
          </cell>
        </row>
        <row r="117">
          <cell r="E117" t="str">
            <v>S/Parts</v>
          </cell>
          <cell r="K117">
            <v>53.456575999999998</v>
          </cell>
          <cell r="R117" t="str">
            <v>TEREX</v>
          </cell>
        </row>
        <row r="118">
          <cell r="E118" t="str">
            <v>S/Parts</v>
          </cell>
          <cell r="K118">
            <v>149.096665</v>
          </cell>
          <cell r="R118" t="str">
            <v>TEREX</v>
          </cell>
        </row>
        <row r="119">
          <cell r="E119" t="str">
            <v>S/Parts</v>
          </cell>
          <cell r="K119">
            <v>174.28</v>
          </cell>
          <cell r="R119" t="str">
            <v>TEREX</v>
          </cell>
        </row>
        <row r="120">
          <cell r="E120" t="str">
            <v>S/Parts</v>
          </cell>
          <cell r="K120">
            <v>433.87786799999992</v>
          </cell>
          <cell r="R120" t="str">
            <v>TEREX</v>
          </cell>
        </row>
        <row r="121">
          <cell r="E121" t="str">
            <v>S/Parts</v>
          </cell>
          <cell r="K121">
            <v>3502.6365390000005</v>
          </cell>
          <cell r="R121" t="str">
            <v>TEREX</v>
          </cell>
        </row>
        <row r="122">
          <cell r="E122" t="str">
            <v>S/Parts</v>
          </cell>
          <cell r="K122">
            <v>34.742268000000003</v>
          </cell>
          <cell r="R122" t="str">
            <v>TEREX</v>
          </cell>
        </row>
        <row r="123">
          <cell r="E123" t="str">
            <v>S/Parts</v>
          </cell>
          <cell r="K123">
            <v>200.24443199999999</v>
          </cell>
          <cell r="R123" t="str">
            <v>TEREX</v>
          </cell>
        </row>
        <row r="124">
          <cell r="E124" t="str">
            <v>S/Parts</v>
          </cell>
          <cell r="K124">
            <v>18.480713999999999</v>
          </cell>
          <cell r="R124" t="str">
            <v>TEREX</v>
          </cell>
        </row>
        <row r="125">
          <cell r="E125" t="str">
            <v>S/Parts</v>
          </cell>
          <cell r="K125">
            <v>45.07358</v>
          </cell>
          <cell r="R125" t="str">
            <v>TEREX</v>
          </cell>
        </row>
        <row r="126">
          <cell r="E126" t="str">
            <v>S/Parts</v>
          </cell>
          <cell r="K126">
            <v>332.11771199999998</v>
          </cell>
          <cell r="R126" t="str">
            <v>TEREX</v>
          </cell>
        </row>
        <row r="127">
          <cell r="E127" t="str">
            <v>S/Parts</v>
          </cell>
          <cell r="K127">
            <v>1163.270528</v>
          </cell>
          <cell r="R127" t="str">
            <v>TEREX</v>
          </cell>
        </row>
        <row r="128">
          <cell r="E128" t="str">
            <v>S/Parts</v>
          </cell>
          <cell r="K128">
            <v>230.508486</v>
          </cell>
          <cell r="R128" t="str">
            <v>TEREX</v>
          </cell>
        </row>
        <row r="129">
          <cell r="E129" t="str">
            <v>S/Parts</v>
          </cell>
          <cell r="K129">
            <v>233.3</v>
          </cell>
          <cell r="R129" t="str">
            <v>TEREX</v>
          </cell>
        </row>
        <row r="130">
          <cell r="E130" t="str">
            <v>S/Parts</v>
          </cell>
          <cell r="K130">
            <v>805.10337200000004</v>
          </cell>
          <cell r="R130" t="str">
            <v>TEREX</v>
          </cell>
        </row>
        <row r="131">
          <cell r="E131" t="str">
            <v>S/Parts</v>
          </cell>
          <cell r="K131">
            <v>632.40826800000002</v>
          </cell>
          <cell r="R131" t="str">
            <v>TEREX</v>
          </cell>
        </row>
        <row r="132">
          <cell r="E132" t="str">
            <v>S/Parts</v>
          </cell>
          <cell r="K132">
            <v>861.348837</v>
          </cell>
          <cell r="R132" t="str">
            <v>TEREX</v>
          </cell>
        </row>
        <row r="133">
          <cell r="E133" t="str">
            <v>S/Parts</v>
          </cell>
          <cell r="K133">
            <v>18.556695000000001</v>
          </cell>
          <cell r="R133" t="str">
            <v>TEREX</v>
          </cell>
        </row>
        <row r="134">
          <cell r="E134" t="str">
            <v>S/Parts</v>
          </cell>
          <cell r="K134">
            <v>196.31219199999998</v>
          </cell>
          <cell r="R134" t="str">
            <v>TEREX</v>
          </cell>
        </row>
        <row r="135">
          <cell r="E135" t="str">
            <v>S/Parts</v>
          </cell>
          <cell r="K135">
            <v>129.47368399999999</v>
          </cell>
          <cell r="R135" t="str">
            <v>TEREX</v>
          </cell>
        </row>
        <row r="136">
          <cell r="E136" t="str">
            <v>S/Parts</v>
          </cell>
          <cell r="K136">
            <v>2564.1338190000001</v>
          </cell>
          <cell r="R136" t="str">
            <v>TEREX</v>
          </cell>
        </row>
        <row r="137">
          <cell r="E137" t="str">
            <v>S/Parts</v>
          </cell>
          <cell r="K137">
            <v>1669.9265339999997</v>
          </cell>
          <cell r="R137" t="str">
            <v>TEREX</v>
          </cell>
        </row>
        <row r="138">
          <cell r="E138" t="str">
            <v>S/Parts</v>
          </cell>
          <cell r="K138">
            <v>21197.607487000005</v>
          </cell>
          <cell r="R138" t="str">
            <v>TEREX</v>
          </cell>
        </row>
        <row r="139">
          <cell r="E139" t="str">
            <v>S/Parts</v>
          </cell>
          <cell r="K139">
            <v>272.56790999999998</v>
          </cell>
          <cell r="R139" t="str">
            <v>TEREX</v>
          </cell>
        </row>
        <row r="140">
          <cell r="E140" t="str">
            <v>S/Parts</v>
          </cell>
          <cell r="K140">
            <v>32278.313430000002</v>
          </cell>
          <cell r="R140" t="str">
            <v>TEREX</v>
          </cell>
        </row>
        <row r="141">
          <cell r="E141" t="str">
            <v>S/Parts</v>
          </cell>
          <cell r="K141">
            <v>510.667168</v>
          </cell>
          <cell r="R141" t="str">
            <v>TEREX</v>
          </cell>
        </row>
        <row r="142">
          <cell r="E142" t="str">
            <v>S/Parts</v>
          </cell>
          <cell r="K142">
            <v>138.090316</v>
          </cell>
          <cell r="R142" t="str">
            <v>TEREX</v>
          </cell>
        </row>
        <row r="143">
          <cell r="E143" t="str">
            <v>S/Parts</v>
          </cell>
          <cell r="K143">
            <v>12972.01593</v>
          </cell>
          <cell r="R143" t="str">
            <v>TEREX</v>
          </cell>
        </row>
        <row r="144">
          <cell r="E144" t="str">
            <v>S/Parts</v>
          </cell>
          <cell r="K144">
            <v>34447.949052999997</v>
          </cell>
          <cell r="R144" t="str">
            <v>TEREX</v>
          </cell>
        </row>
        <row r="145">
          <cell r="E145" t="str">
            <v>S/Parts</v>
          </cell>
          <cell r="K145">
            <v>3209.3194960000001</v>
          </cell>
          <cell r="R145" t="str">
            <v>TEREX</v>
          </cell>
        </row>
        <row r="146">
          <cell r="E146" t="str">
            <v>S/Parts</v>
          </cell>
          <cell r="K146">
            <v>752.52051900000004</v>
          </cell>
          <cell r="R146" t="str">
            <v>TEREX</v>
          </cell>
        </row>
        <row r="147">
          <cell r="E147" t="str">
            <v>S/Parts</v>
          </cell>
          <cell r="K147">
            <v>54.945059999999991</v>
          </cell>
          <cell r="R147" t="str">
            <v>TEREX</v>
          </cell>
        </row>
        <row r="148">
          <cell r="E148" t="str">
            <v>S/Parts</v>
          </cell>
          <cell r="K148">
            <v>105.503334</v>
          </cell>
          <cell r="R148" t="str">
            <v>TEREX</v>
          </cell>
        </row>
        <row r="149">
          <cell r="E149" t="str">
            <v>S/Parts</v>
          </cell>
          <cell r="K149">
            <v>57.460276</v>
          </cell>
          <cell r="R149" t="str">
            <v>TEREX</v>
          </cell>
        </row>
        <row r="150">
          <cell r="E150" t="str">
            <v>S/Parts</v>
          </cell>
          <cell r="K150">
            <v>1439.679517</v>
          </cell>
          <cell r="R150" t="str">
            <v>TEREX</v>
          </cell>
        </row>
        <row r="151">
          <cell r="E151" t="str">
            <v>S/Parts</v>
          </cell>
          <cell r="K151">
            <v>1110.0059040000001</v>
          </cell>
          <cell r="R151" t="str">
            <v>TEREX</v>
          </cell>
        </row>
        <row r="152">
          <cell r="E152" t="str">
            <v>S/Parts</v>
          </cell>
          <cell r="K152">
            <v>1771.3303599999999</v>
          </cell>
          <cell r="R152" t="str">
            <v>TEREX</v>
          </cell>
        </row>
        <row r="153">
          <cell r="E153" t="str">
            <v>S/Parts</v>
          </cell>
          <cell r="K153">
            <v>3563.8047600000004</v>
          </cell>
          <cell r="R153" t="str">
            <v>TEREX</v>
          </cell>
        </row>
        <row r="154">
          <cell r="E154" t="str">
            <v>S/Parts</v>
          </cell>
          <cell r="K154">
            <v>2868.3223039999998</v>
          </cell>
          <cell r="R154" t="str">
            <v>TEREX</v>
          </cell>
        </row>
        <row r="155">
          <cell r="E155" t="str">
            <v>S/Parts</v>
          </cell>
          <cell r="K155">
            <v>879.44257100000004</v>
          </cell>
          <cell r="R155" t="str">
            <v>TEREX</v>
          </cell>
        </row>
        <row r="156">
          <cell r="E156" t="str">
            <v>S/Parts</v>
          </cell>
          <cell r="K156">
            <v>324.52970399999998</v>
          </cell>
          <cell r="R156" t="str">
            <v>TEREX</v>
          </cell>
        </row>
        <row r="157">
          <cell r="E157" t="str">
            <v>S/Parts</v>
          </cell>
          <cell r="K157">
            <v>904.18331699999999</v>
          </cell>
          <cell r="R157" t="str">
            <v>TEREX</v>
          </cell>
        </row>
        <row r="158">
          <cell r="E158" t="str">
            <v>S/Parts</v>
          </cell>
          <cell r="K158">
            <v>650.16</v>
          </cell>
          <cell r="R158" t="str">
            <v>TEREX</v>
          </cell>
        </row>
        <row r="159">
          <cell r="E159" t="str">
            <v>S/Parts</v>
          </cell>
          <cell r="K159">
            <v>2379.3814440000001</v>
          </cell>
          <cell r="R159" t="str">
            <v>TEREX</v>
          </cell>
        </row>
        <row r="160">
          <cell r="E160" t="str">
            <v>S/Parts</v>
          </cell>
          <cell r="K160">
            <v>3620.2826719999998</v>
          </cell>
          <cell r="R160" t="str">
            <v>TEREX</v>
          </cell>
        </row>
        <row r="161">
          <cell r="E161" t="str">
            <v>S/Parts</v>
          </cell>
          <cell r="K161">
            <v>1179.7012199999999</v>
          </cell>
          <cell r="R161" t="str">
            <v>TEREX</v>
          </cell>
        </row>
        <row r="162">
          <cell r="E162" t="str">
            <v>S/Parts</v>
          </cell>
          <cell r="K162">
            <v>127.84681</v>
          </cell>
          <cell r="R162" t="str">
            <v>TEREX</v>
          </cell>
        </row>
        <row r="163">
          <cell r="E163" t="str">
            <v>S/Parts</v>
          </cell>
          <cell r="K163">
            <v>12290.578916</v>
          </cell>
          <cell r="R163" t="str">
            <v>TEREX</v>
          </cell>
        </row>
        <row r="164">
          <cell r="E164" t="str">
            <v>S/Parts</v>
          </cell>
          <cell r="K164">
            <v>2457.589868</v>
          </cell>
          <cell r="R164" t="str">
            <v>TEREX</v>
          </cell>
        </row>
        <row r="165">
          <cell r="E165" t="str">
            <v>S/Parts</v>
          </cell>
          <cell r="K165">
            <v>337.134231</v>
          </cell>
          <cell r="R165" t="str">
            <v>TEREX</v>
          </cell>
        </row>
        <row r="166">
          <cell r="E166" t="str">
            <v>S/Parts</v>
          </cell>
          <cell r="K166">
            <v>12223.46804</v>
          </cell>
          <cell r="R166" t="str">
            <v>TEREX</v>
          </cell>
        </row>
        <row r="167">
          <cell r="E167" t="str">
            <v>S/Parts</v>
          </cell>
          <cell r="K167">
            <v>257.03125</v>
          </cell>
          <cell r="R167" t="str">
            <v>TEREX</v>
          </cell>
        </row>
        <row r="168">
          <cell r="E168" t="str">
            <v>S/Parts</v>
          </cell>
          <cell r="K168">
            <v>134.22289000000001</v>
          </cell>
          <cell r="R168" t="str">
            <v>TEREX</v>
          </cell>
        </row>
        <row r="169">
          <cell r="E169" t="str">
            <v>S/Parts</v>
          </cell>
          <cell r="K169">
            <v>312.08094799999998</v>
          </cell>
          <cell r="R169" t="str">
            <v>TEREX</v>
          </cell>
        </row>
        <row r="170">
          <cell r="E170" t="str">
            <v>S/Parts</v>
          </cell>
          <cell r="K170">
            <v>135.648402</v>
          </cell>
          <cell r="R170" t="str">
            <v>TEREX</v>
          </cell>
        </row>
        <row r="171">
          <cell r="E171" t="str">
            <v>S/Parts</v>
          </cell>
          <cell r="K171">
            <v>1157.276196</v>
          </cell>
          <cell r="R171" t="str">
            <v>TEREX</v>
          </cell>
        </row>
        <row r="172">
          <cell r="E172" t="str">
            <v>S/Parts</v>
          </cell>
          <cell r="K172">
            <v>546.39597700000002</v>
          </cell>
          <cell r="R172" t="str">
            <v>TEREX</v>
          </cell>
        </row>
        <row r="173">
          <cell r="E173" t="str">
            <v>S/Parts</v>
          </cell>
          <cell r="K173">
            <v>61.68385</v>
          </cell>
          <cell r="R173" t="str">
            <v>TEREX</v>
          </cell>
        </row>
        <row r="174">
          <cell r="E174" t="str">
            <v>S/Parts</v>
          </cell>
          <cell r="K174">
            <v>1075.376968</v>
          </cell>
          <cell r="R174" t="str">
            <v>TEREX</v>
          </cell>
        </row>
        <row r="175">
          <cell r="E175" t="str">
            <v>S/Parts</v>
          </cell>
          <cell r="K175">
            <v>1186.030917</v>
          </cell>
          <cell r="R175" t="str">
            <v>TEREX</v>
          </cell>
        </row>
        <row r="176">
          <cell r="E176" t="str">
            <v>S/Parts</v>
          </cell>
          <cell r="K176">
            <v>95.924999999999997</v>
          </cell>
          <cell r="R176" t="str">
            <v>TEREX</v>
          </cell>
        </row>
        <row r="177">
          <cell r="E177" t="str">
            <v>S/Parts</v>
          </cell>
          <cell r="K177">
            <v>47.67</v>
          </cell>
          <cell r="R177" t="str">
            <v>TEREX</v>
          </cell>
        </row>
        <row r="178">
          <cell r="E178" t="str">
            <v>S/Parts</v>
          </cell>
          <cell r="K178">
            <v>662.13446999999996</v>
          </cell>
          <cell r="R178" t="str">
            <v>TEREX</v>
          </cell>
        </row>
        <row r="179">
          <cell r="E179" t="str">
            <v>S/Parts</v>
          </cell>
          <cell r="K179">
            <v>737.56751999999994</v>
          </cell>
          <cell r="R179" t="str">
            <v>TEREX</v>
          </cell>
        </row>
        <row r="180">
          <cell r="E180" t="str">
            <v>S/Parts</v>
          </cell>
          <cell r="K180">
            <v>508.25107199999997</v>
          </cell>
          <cell r="R180" t="str">
            <v>TEREX</v>
          </cell>
        </row>
        <row r="181">
          <cell r="E181" t="str">
            <v>S/Parts</v>
          </cell>
          <cell r="K181">
            <v>1849.4845350000001</v>
          </cell>
          <cell r="R181" t="str">
            <v>TEREX</v>
          </cell>
        </row>
        <row r="182">
          <cell r="E182" t="str">
            <v>S/Parts</v>
          </cell>
          <cell r="K182">
            <v>53.484999999999999</v>
          </cell>
          <cell r="R182" t="str">
            <v>TEREX</v>
          </cell>
        </row>
        <row r="183">
          <cell r="E183" t="str">
            <v>S/Parts</v>
          </cell>
          <cell r="K183">
            <v>515.14601400000004</v>
          </cell>
          <cell r="R183" t="str">
            <v>TEREX</v>
          </cell>
        </row>
        <row r="184">
          <cell r="E184" t="str">
            <v>S/Parts</v>
          </cell>
          <cell r="K184">
            <v>732.64687200000003</v>
          </cell>
          <cell r="R184" t="str">
            <v>TEREX</v>
          </cell>
        </row>
        <row r="185">
          <cell r="E185" t="str">
            <v>S/Parts</v>
          </cell>
          <cell r="K185">
            <v>27.26</v>
          </cell>
          <cell r="R185" t="str">
            <v>TEREX</v>
          </cell>
        </row>
        <row r="186">
          <cell r="E186" t="str">
            <v>S/Parts</v>
          </cell>
          <cell r="K186">
            <v>158.82457500000001</v>
          </cell>
          <cell r="R186" t="str">
            <v>TEREX</v>
          </cell>
        </row>
        <row r="187">
          <cell r="E187" t="str">
            <v>S/Parts</v>
          </cell>
          <cell r="K187">
            <v>507.72955999999999</v>
          </cell>
          <cell r="R187" t="str">
            <v>TEREX</v>
          </cell>
        </row>
        <row r="188">
          <cell r="E188" t="str">
            <v>S/Parts</v>
          </cell>
          <cell r="K188">
            <v>1323.0904379999999</v>
          </cell>
          <cell r="R188" t="str">
            <v>TEREX</v>
          </cell>
        </row>
        <row r="189">
          <cell r="E189" t="str">
            <v>S/Parts</v>
          </cell>
          <cell r="K189">
            <v>22.995000000000001</v>
          </cell>
          <cell r="R189" t="str">
            <v>TEREX</v>
          </cell>
        </row>
        <row r="190">
          <cell r="E190" t="str">
            <v>S/Parts</v>
          </cell>
          <cell r="K190">
            <v>29.21</v>
          </cell>
          <cell r="R190" t="str">
            <v>TEREX</v>
          </cell>
        </row>
        <row r="191">
          <cell r="E191" t="str">
            <v>S/Parts</v>
          </cell>
          <cell r="K191">
            <v>105.29119</v>
          </cell>
          <cell r="R191" t="str">
            <v>TEREX</v>
          </cell>
        </row>
        <row r="192">
          <cell r="E192" t="str">
            <v>S/Parts</v>
          </cell>
          <cell r="K192">
            <v>47.201515999999998</v>
          </cell>
          <cell r="R192" t="str">
            <v>TEREX</v>
          </cell>
        </row>
        <row r="193">
          <cell r="E193" t="str">
            <v>S/Parts</v>
          </cell>
          <cell r="K193">
            <v>11.6</v>
          </cell>
          <cell r="R193" t="str">
            <v>TEREX</v>
          </cell>
        </row>
        <row r="194">
          <cell r="E194" t="str">
            <v>S/Parts</v>
          </cell>
          <cell r="K194">
            <v>6.0369320000000002</v>
          </cell>
          <cell r="R194" t="str">
            <v>TEREX</v>
          </cell>
        </row>
        <row r="195">
          <cell r="E195" t="str">
            <v>S/Parts</v>
          </cell>
          <cell r="K195">
            <v>10753.782464</v>
          </cell>
          <cell r="R195" t="str">
            <v>TEREX</v>
          </cell>
        </row>
        <row r="196">
          <cell r="E196" t="str">
            <v>S/Parts</v>
          </cell>
          <cell r="K196">
            <v>15.42</v>
          </cell>
          <cell r="R196" t="str">
            <v>TEREX</v>
          </cell>
        </row>
        <row r="197">
          <cell r="E197" t="str">
            <v>S/Parts</v>
          </cell>
          <cell r="K197">
            <v>16.016363999999999</v>
          </cell>
          <cell r="R197" t="str">
            <v>TEREX</v>
          </cell>
        </row>
        <row r="198">
          <cell r="E198" t="str">
            <v>S/Parts</v>
          </cell>
          <cell r="K198">
            <v>143.1</v>
          </cell>
          <cell r="R198" t="str">
            <v>TEREX</v>
          </cell>
        </row>
        <row r="199">
          <cell r="E199" t="str">
            <v>S/Parts</v>
          </cell>
          <cell r="K199">
            <v>50.12</v>
          </cell>
          <cell r="R199" t="str">
            <v>TEREX</v>
          </cell>
        </row>
        <row r="200">
          <cell r="E200" t="str">
            <v>S/Parts</v>
          </cell>
          <cell r="K200">
            <v>567.87161600000002</v>
          </cell>
          <cell r="R200" t="str">
            <v>TEREX</v>
          </cell>
        </row>
        <row r="201">
          <cell r="E201" t="str">
            <v>S/Parts</v>
          </cell>
          <cell r="K201">
            <v>313.90426500000001</v>
          </cell>
          <cell r="R201" t="str">
            <v>TEREX</v>
          </cell>
        </row>
        <row r="202">
          <cell r="E202" t="str">
            <v>S/Parts</v>
          </cell>
          <cell r="K202">
            <v>30.376296000000004</v>
          </cell>
          <cell r="R202" t="str">
            <v>TEREX</v>
          </cell>
        </row>
        <row r="203">
          <cell r="E203" t="str">
            <v>S/Parts</v>
          </cell>
          <cell r="K203">
            <v>36.018000000000001</v>
          </cell>
          <cell r="R203" t="str">
            <v>TEREX</v>
          </cell>
        </row>
        <row r="204">
          <cell r="E204" t="str">
            <v>S/Parts</v>
          </cell>
          <cell r="K204">
            <v>43.50142000000001</v>
          </cell>
          <cell r="R204" t="str">
            <v>TEREX</v>
          </cell>
        </row>
        <row r="205">
          <cell r="E205" t="str">
            <v>S/Parts</v>
          </cell>
          <cell r="K205">
            <v>39.595170000000003</v>
          </cell>
          <cell r="R205" t="str">
            <v>TEREX</v>
          </cell>
        </row>
        <row r="206">
          <cell r="E206" t="str">
            <v>S/Parts</v>
          </cell>
          <cell r="K206">
            <v>145.17326</v>
          </cell>
          <cell r="R206" t="str">
            <v>TEREX</v>
          </cell>
        </row>
        <row r="207">
          <cell r="E207" t="str">
            <v>S/Parts</v>
          </cell>
          <cell r="K207">
            <v>1973.4537519999999</v>
          </cell>
          <cell r="R207" t="str">
            <v>TEREX</v>
          </cell>
        </row>
        <row r="208">
          <cell r="E208" t="str">
            <v>S/Parts</v>
          </cell>
          <cell r="K208">
            <v>16.95</v>
          </cell>
          <cell r="R208" t="str">
            <v>TEREX</v>
          </cell>
        </row>
        <row r="209">
          <cell r="E209" t="str">
            <v>S/Parts</v>
          </cell>
          <cell r="K209">
            <v>31.091875000000002</v>
          </cell>
          <cell r="R209" t="str">
            <v>TEREX</v>
          </cell>
        </row>
        <row r="210">
          <cell r="E210" t="str">
            <v>S/Parts</v>
          </cell>
          <cell r="K210">
            <v>446.337492</v>
          </cell>
          <cell r="R210" t="str">
            <v>TEREX</v>
          </cell>
        </row>
        <row r="211">
          <cell r="E211" t="str">
            <v>S/Parts</v>
          </cell>
          <cell r="K211">
            <v>3463.2583289999998</v>
          </cell>
          <cell r="R211" t="str">
            <v>TEREX</v>
          </cell>
        </row>
        <row r="212">
          <cell r="E212" t="str">
            <v>S/Parts</v>
          </cell>
          <cell r="K212">
            <v>76.391484000000005</v>
          </cell>
          <cell r="R212" t="str">
            <v>TEREX</v>
          </cell>
        </row>
        <row r="213">
          <cell r="E213" t="str">
            <v>S/Parts</v>
          </cell>
          <cell r="K213">
            <v>45.017710999999998</v>
          </cell>
          <cell r="R213" t="str">
            <v>TEREX</v>
          </cell>
        </row>
        <row r="214">
          <cell r="E214" t="str">
            <v>S/Parts</v>
          </cell>
          <cell r="K214">
            <v>2067.2640799999999</v>
          </cell>
          <cell r="R214" t="str">
            <v>TEREX</v>
          </cell>
        </row>
        <row r="215">
          <cell r="E215" t="str">
            <v>S/Parts</v>
          </cell>
          <cell r="K215">
            <v>7090.3492880000003</v>
          </cell>
          <cell r="R215" t="str">
            <v>TEREX</v>
          </cell>
        </row>
        <row r="216">
          <cell r="E216" t="str">
            <v>S/Parts</v>
          </cell>
          <cell r="K216">
            <v>385.88673899999992</v>
          </cell>
          <cell r="R216" t="str">
            <v>TEREX</v>
          </cell>
        </row>
        <row r="217">
          <cell r="E217" t="str">
            <v>S/Parts</v>
          </cell>
          <cell r="K217">
            <v>399.17521599999998</v>
          </cell>
          <cell r="R217" t="str">
            <v>TEREX</v>
          </cell>
        </row>
        <row r="218">
          <cell r="E218" t="str">
            <v>S/Parts</v>
          </cell>
          <cell r="K218">
            <v>4649.6357399999997</v>
          </cell>
          <cell r="R218" t="str">
            <v>TEREX</v>
          </cell>
        </row>
        <row r="219">
          <cell r="E219" t="str">
            <v>S/Parts</v>
          </cell>
          <cell r="K219">
            <v>219.31271400000003</v>
          </cell>
          <cell r="R219" t="str">
            <v>TEREX</v>
          </cell>
        </row>
        <row r="220">
          <cell r="E220" t="str">
            <v>S/Parts</v>
          </cell>
          <cell r="K220">
            <v>207.416742</v>
          </cell>
          <cell r="R220" t="str">
            <v>TEREX</v>
          </cell>
        </row>
        <row r="221">
          <cell r="E221" t="str">
            <v>S/Parts</v>
          </cell>
          <cell r="K221">
            <v>787.90279200000009</v>
          </cell>
          <cell r="R221" t="str">
            <v>TEREX</v>
          </cell>
        </row>
        <row r="222">
          <cell r="E222" t="str">
            <v>S/Parts</v>
          </cell>
          <cell r="K222">
            <v>61.082715999999998</v>
          </cell>
          <cell r="R222" t="str">
            <v>TEREX</v>
          </cell>
        </row>
        <row r="223">
          <cell r="E223" t="str">
            <v>S/Parts</v>
          </cell>
          <cell r="K223">
            <v>29.15</v>
          </cell>
          <cell r="R223" t="str">
            <v>TEREX</v>
          </cell>
        </row>
        <row r="224">
          <cell r="E224" t="str">
            <v>S/Parts</v>
          </cell>
          <cell r="K224">
            <v>267.63465000000002</v>
          </cell>
          <cell r="R224" t="str">
            <v>TEREX</v>
          </cell>
        </row>
        <row r="225">
          <cell r="E225" t="str">
            <v>S/Parts</v>
          </cell>
          <cell r="K225">
            <v>244.94533000000004</v>
          </cell>
          <cell r="R225" t="str">
            <v>TEREX</v>
          </cell>
        </row>
        <row r="226">
          <cell r="E226" t="str">
            <v>S/Parts</v>
          </cell>
          <cell r="K226">
            <v>9.2432200000000009</v>
          </cell>
          <cell r="R226" t="str">
            <v>TEREX</v>
          </cell>
        </row>
        <row r="227">
          <cell r="E227" t="str">
            <v>S/Parts</v>
          </cell>
          <cell r="K227">
            <v>46.216099999999997</v>
          </cell>
          <cell r="R227" t="str">
            <v>TEREX</v>
          </cell>
        </row>
        <row r="228">
          <cell r="E228" t="str">
            <v>S/Parts</v>
          </cell>
          <cell r="K228">
            <v>69.324150000000003</v>
          </cell>
          <cell r="R228" t="str">
            <v>TEREX</v>
          </cell>
        </row>
        <row r="229">
          <cell r="E229" t="str">
            <v>S/Parts</v>
          </cell>
          <cell r="K229">
            <v>883.13657999999998</v>
          </cell>
          <cell r="R229" t="str">
            <v>TEREX</v>
          </cell>
        </row>
        <row r="230">
          <cell r="E230" t="str">
            <v>S/Parts</v>
          </cell>
          <cell r="K230">
            <v>1420.2272399999999</v>
          </cell>
          <cell r="R230" t="str">
            <v>TEREX</v>
          </cell>
        </row>
        <row r="231">
          <cell r="E231" t="str">
            <v>S/Parts</v>
          </cell>
          <cell r="K231">
            <v>1500.8328639999997</v>
          </cell>
          <cell r="R231" t="str">
            <v>TEREX</v>
          </cell>
        </row>
        <row r="232">
          <cell r="E232" t="str">
            <v>S/Parts</v>
          </cell>
          <cell r="K232">
            <v>555.6</v>
          </cell>
          <cell r="R232" t="str">
            <v>TEREX</v>
          </cell>
        </row>
        <row r="233">
          <cell r="E233" t="str">
            <v>S/Parts</v>
          </cell>
          <cell r="K233">
            <v>525.62144599999999</v>
          </cell>
          <cell r="R233" t="str">
            <v>TEREX</v>
          </cell>
        </row>
        <row r="234">
          <cell r="E234" t="str">
            <v>S/Parts</v>
          </cell>
          <cell r="K234">
            <v>41.95702</v>
          </cell>
          <cell r="R234" t="str">
            <v>TEREX</v>
          </cell>
        </row>
        <row r="235">
          <cell r="E235" t="str">
            <v>S/Parts</v>
          </cell>
          <cell r="K235">
            <v>1057.88788</v>
          </cell>
          <cell r="R235" t="str">
            <v>TEREX</v>
          </cell>
        </row>
        <row r="236">
          <cell r="E236" t="str">
            <v>S/Parts</v>
          </cell>
          <cell r="K236">
            <v>467.262135</v>
          </cell>
          <cell r="R236" t="str">
            <v>TEREX</v>
          </cell>
        </row>
        <row r="237">
          <cell r="E237" t="str">
            <v>S/Parts</v>
          </cell>
          <cell r="K237">
            <v>27.491154000000002</v>
          </cell>
          <cell r="R237" t="str">
            <v>TEREX</v>
          </cell>
        </row>
        <row r="238">
          <cell r="E238" t="str">
            <v>S/Parts</v>
          </cell>
          <cell r="K238">
            <v>72.233677999999998</v>
          </cell>
          <cell r="R238" t="str">
            <v>TEREX</v>
          </cell>
        </row>
        <row r="239">
          <cell r="E239" t="str">
            <v>S/Parts</v>
          </cell>
          <cell r="K239">
            <v>615.25564199999997</v>
          </cell>
          <cell r="R239" t="str">
            <v>TEREX</v>
          </cell>
        </row>
        <row r="240">
          <cell r="E240" t="str">
            <v>S/Parts</v>
          </cell>
          <cell r="K240">
            <v>1434.345315</v>
          </cell>
          <cell r="R240" t="str">
            <v>TEREX</v>
          </cell>
        </row>
        <row r="241">
          <cell r="E241" t="str">
            <v>S/Parts</v>
          </cell>
          <cell r="K241">
            <v>454.98282</v>
          </cell>
          <cell r="R241" t="str">
            <v>TEREX</v>
          </cell>
        </row>
        <row r="242">
          <cell r="E242" t="str">
            <v>S/Parts</v>
          </cell>
          <cell r="K242">
            <v>60.439767000000003</v>
          </cell>
          <cell r="R242" t="str">
            <v>TEREX</v>
          </cell>
        </row>
        <row r="243">
          <cell r="E243" t="str">
            <v>S/Parts</v>
          </cell>
          <cell r="K243">
            <v>188.00687200000002</v>
          </cell>
          <cell r="R243" t="str">
            <v>TEREX</v>
          </cell>
        </row>
        <row r="244">
          <cell r="E244" t="str">
            <v>S/Parts</v>
          </cell>
          <cell r="K244">
            <v>537.89379299999996</v>
          </cell>
          <cell r="R244" t="str">
            <v>TEREX</v>
          </cell>
        </row>
        <row r="245">
          <cell r="E245" t="str">
            <v>S/Parts</v>
          </cell>
          <cell r="K245">
            <v>301.35966000000002</v>
          </cell>
          <cell r="R245" t="str">
            <v>TEREX</v>
          </cell>
        </row>
        <row r="246">
          <cell r="E246" t="str">
            <v>S/Parts</v>
          </cell>
          <cell r="K246">
            <v>3669.4338929999999</v>
          </cell>
          <cell r="R246" t="str">
            <v>TEREX</v>
          </cell>
        </row>
        <row r="247">
          <cell r="E247" t="str">
            <v>S/Parts</v>
          </cell>
          <cell r="K247">
            <v>313.19531999999998</v>
          </cell>
          <cell r="R247" t="str">
            <v>TEREX</v>
          </cell>
        </row>
        <row r="248">
          <cell r="E248" t="str">
            <v>S/Parts</v>
          </cell>
          <cell r="K248">
            <v>317.63960500000002</v>
          </cell>
          <cell r="R248" t="str">
            <v>TEREX</v>
          </cell>
        </row>
        <row r="249">
          <cell r="E249" t="str">
            <v>S/Parts</v>
          </cell>
          <cell r="K249">
            <v>441.199476</v>
          </cell>
          <cell r="R249" t="str">
            <v>TEREX</v>
          </cell>
        </row>
        <row r="250">
          <cell r="E250" t="str">
            <v>S/Parts</v>
          </cell>
          <cell r="K250">
            <v>296.81504999999999</v>
          </cell>
          <cell r="R250" t="str">
            <v>TEREX</v>
          </cell>
        </row>
        <row r="251">
          <cell r="E251" t="str">
            <v>S/Parts</v>
          </cell>
          <cell r="K251">
            <v>258.30783100000002</v>
          </cell>
          <cell r="R251" t="str">
            <v>TEREX</v>
          </cell>
        </row>
        <row r="252">
          <cell r="E252" t="str">
            <v>S/Parts</v>
          </cell>
          <cell r="K252">
            <v>102.617705</v>
          </cell>
          <cell r="R252" t="str">
            <v>TEREX</v>
          </cell>
        </row>
        <row r="253">
          <cell r="E253" t="str">
            <v>S/Parts</v>
          </cell>
          <cell r="K253">
            <v>283.30620399999998</v>
          </cell>
          <cell r="R253" t="str">
            <v>TEREX</v>
          </cell>
        </row>
        <row r="254">
          <cell r="E254" t="str">
            <v>S/Parts</v>
          </cell>
          <cell r="K254">
            <v>912.85328500000003</v>
          </cell>
          <cell r="R254" t="str">
            <v>TEREX</v>
          </cell>
        </row>
        <row r="255">
          <cell r="E255" t="str">
            <v>S/Parts</v>
          </cell>
          <cell r="K255">
            <v>404.40340799999996</v>
          </cell>
          <cell r="R255" t="str">
            <v>TEREX</v>
          </cell>
        </row>
        <row r="256">
          <cell r="E256" t="str">
            <v>S/Parts</v>
          </cell>
          <cell r="K256">
            <v>341.32984599999997</v>
          </cell>
          <cell r="R256" t="str">
            <v>TEREX</v>
          </cell>
        </row>
        <row r="257">
          <cell r="E257" t="str">
            <v>S/Parts</v>
          </cell>
          <cell r="K257">
            <v>1542.903812</v>
          </cell>
          <cell r="R257" t="str">
            <v>TEREX</v>
          </cell>
        </row>
        <row r="258">
          <cell r="E258" t="str">
            <v>S/Parts</v>
          </cell>
          <cell r="K258">
            <v>530.346405</v>
          </cell>
          <cell r="R258" t="str">
            <v>TEREX</v>
          </cell>
        </row>
        <row r="259">
          <cell r="E259" t="str">
            <v>S/Parts</v>
          </cell>
          <cell r="K259">
            <v>2296.7253300000002</v>
          </cell>
          <cell r="R259" t="str">
            <v>TEREX</v>
          </cell>
        </row>
        <row r="260">
          <cell r="E260" t="str">
            <v>S/Parts</v>
          </cell>
          <cell r="K260">
            <v>174.22680500000001</v>
          </cell>
          <cell r="R260" t="str">
            <v>TEREX</v>
          </cell>
        </row>
        <row r="261">
          <cell r="E261" t="str">
            <v>S/Parts</v>
          </cell>
          <cell r="K261">
            <v>2488.3848800000001</v>
          </cell>
          <cell r="R261" t="str">
            <v>TEREX</v>
          </cell>
        </row>
        <row r="262">
          <cell r="E262" t="str">
            <v>S/Parts</v>
          </cell>
          <cell r="K262">
            <v>207.972508</v>
          </cell>
          <cell r="R262" t="str">
            <v>TEREX</v>
          </cell>
        </row>
        <row r="263">
          <cell r="E263" t="str">
            <v>S/Parts</v>
          </cell>
          <cell r="K263">
            <v>1800</v>
          </cell>
          <cell r="R263" t="str">
            <v>TEREX</v>
          </cell>
        </row>
        <row r="264">
          <cell r="E264" t="str">
            <v>S/Parts</v>
          </cell>
          <cell r="K264">
            <v>14070</v>
          </cell>
          <cell r="R264" t="str">
            <v>TEREX</v>
          </cell>
        </row>
        <row r="265">
          <cell r="E265" t="str">
            <v>S/Parts</v>
          </cell>
          <cell r="K265">
            <v>4306</v>
          </cell>
          <cell r="R265" t="str">
            <v>TEREX</v>
          </cell>
        </row>
        <row r="266">
          <cell r="E266" t="str">
            <v>S/Parts</v>
          </cell>
          <cell r="K266">
            <v>13004.2</v>
          </cell>
          <cell r="R266" t="str">
            <v>TEREX</v>
          </cell>
        </row>
        <row r="267">
          <cell r="E267" t="str">
            <v>S/Parts</v>
          </cell>
          <cell r="K267">
            <v>1504.37318</v>
          </cell>
          <cell r="R267" t="str">
            <v>O&amp;K</v>
          </cell>
        </row>
        <row r="268">
          <cell r="E268" t="str">
            <v>S/Parts</v>
          </cell>
          <cell r="K268">
            <v>15607.039387999999</v>
          </cell>
          <cell r="R268" t="str">
            <v>O&amp;K</v>
          </cell>
        </row>
        <row r="269">
          <cell r="E269" t="str">
            <v>S/Parts</v>
          </cell>
          <cell r="K269">
            <v>964.41167299999984</v>
          </cell>
          <cell r="R269" t="str">
            <v>TEREX</v>
          </cell>
        </row>
        <row r="270">
          <cell r="E270" t="str">
            <v>S/Parts</v>
          </cell>
          <cell r="K270">
            <v>11.229498</v>
          </cell>
          <cell r="R270" t="str">
            <v>O&amp;K</v>
          </cell>
        </row>
        <row r="271">
          <cell r="E271" t="str">
            <v>S/Parts</v>
          </cell>
          <cell r="K271">
            <v>1270.2297450000001</v>
          </cell>
          <cell r="R271" t="str">
            <v>O&amp;K</v>
          </cell>
        </row>
        <row r="272">
          <cell r="E272" t="str">
            <v>S/Parts</v>
          </cell>
          <cell r="K272">
            <v>350.84400799999997</v>
          </cell>
          <cell r="R272" t="str">
            <v>O&amp;K</v>
          </cell>
        </row>
        <row r="273">
          <cell r="E273" t="str">
            <v>S/Parts</v>
          </cell>
          <cell r="K273">
            <v>928.66036200000008</v>
          </cell>
          <cell r="R273" t="str">
            <v>O&amp;K</v>
          </cell>
        </row>
        <row r="274">
          <cell r="E274" t="str">
            <v>S/Parts</v>
          </cell>
          <cell r="K274">
            <v>31.928574000000005</v>
          </cell>
          <cell r="R274" t="str">
            <v>O&amp;K</v>
          </cell>
        </row>
        <row r="275">
          <cell r="E275" t="str">
            <v>S/Parts</v>
          </cell>
          <cell r="K275">
            <v>105.429553</v>
          </cell>
          <cell r="R275" t="str">
            <v>TEREX</v>
          </cell>
        </row>
        <row r="276">
          <cell r="E276" t="str">
            <v>S/Parts</v>
          </cell>
          <cell r="K276">
            <v>11.063825</v>
          </cell>
          <cell r="R276" t="str">
            <v>TEREX</v>
          </cell>
        </row>
        <row r="277">
          <cell r="E277" t="str">
            <v>S/Parts</v>
          </cell>
          <cell r="K277">
            <v>161.32499999999999</v>
          </cell>
          <cell r="R277" t="str">
            <v>TEREX</v>
          </cell>
        </row>
        <row r="278">
          <cell r="E278" t="str">
            <v>S/Parts</v>
          </cell>
          <cell r="K278">
            <v>38.405881999999998</v>
          </cell>
          <cell r="R278" t="str">
            <v>TEREX</v>
          </cell>
        </row>
        <row r="279">
          <cell r="E279" t="str">
            <v>S/Parts</v>
          </cell>
          <cell r="K279">
            <v>15.307272000000001</v>
          </cell>
          <cell r="R279" t="str">
            <v>TEREX</v>
          </cell>
        </row>
        <row r="280">
          <cell r="E280" t="str">
            <v>General</v>
          </cell>
          <cell r="K280">
            <v>102.25368</v>
          </cell>
          <cell r="R280" t="str">
            <v>TEREX</v>
          </cell>
        </row>
        <row r="281">
          <cell r="E281" t="str">
            <v>General</v>
          </cell>
          <cell r="K281">
            <v>2.1151339999999998</v>
          </cell>
          <cell r="R281" t="str">
            <v>Supports</v>
          </cell>
        </row>
        <row r="282">
          <cell r="E282" t="str">
            <v>General</v>
          </cell>
          <cell r="K282">
            <v>2.1937419999999999</v>
          </cell>
          <cell r="R282" t="str">
            <v>Supports</v>
          </cell>
        </row>
      </sheetData>
      <sheetData sheetId="11" refreshError="1">
        <row r="4">
          <cell r="E4" t="str">
            <v>Tire</v>
          </cell>
          <cell r="K4">
            <v>14360</v>
          </cell>
          <cell r="R4" t="str">
            <v>HD-1107</v>
          </cell>
          <cell r="AG4" t="str">
            <v>BD-168</v>
          </cell>
          <cell r="AH4" t="str">
            <v>D10R CAT</v>
          </cell>
        </row>
        <row r="5">
          <cell r="E5" t="str">
            <v>Tire</v>
          </cell>
          <cell r="K5">
            <v>7180</v>
          </cell>
          <cell r="R5" t="str">
            <v>HD-1109</v>
          </cell>
          <cell r="AG5" t="str">
            <v>HD-1003</v>
          </cell>
          <cell r="AH5" t="str">
            <v>TR-100 SIMS FMC-DOT</v>
          </cell>
        </row>
        <row r="6">
          <cell r="E6" t="str">
            <v>Tire</v>
          </cell>
          <cell r="K6">
            <v>14360</v>
          </cell>
          <cell r="R6" t="str">
            <v>HD-1110</v>
          </cell>
          <cell r="AG6" t="str">
            <v>HD-1107</v>
          </cell>
          <cell r="AH6" t="str">
            <v>CAT-777D SIMS FMC TRAKINDO</v>
          </cell>
        </row>
        <row r="7">
          <cell r="E7" t="str">
            <v>Tire</v>
          </cell>
          <cell r="K7">
            <v>7180</v>
          </cell>
          <cell r="R7" t="str">
            <v>HD-1111</v>
          </cell>
          <cell r="AG7" t="str">
            <v>HD-1109</v>
          </cell>
          <cell r="AH7" t="str">
            <v>KOMATSU HD-785 SIMS FMC UT</v>
          </cell>
        </row>
        <row r="8">
          <cell r="E8" t="str">
            <v>Tire</v>
          </cell>
          <cell r="K8">
            <v>14360</v>
          </cell>
          <cell r="R8" t="str">
            <v>HD-1113</v>
          </cell>
          <cell r="AG8" t="str">
            <v>HD-1110</v>
          </cell>
          <cell r="AH8" t="str">
            <v>KOMATSU HD-785 SIMS FMC UT</v>
          </cell>
        </row>
        <row r="9">
          <cell r="E9" t="str">
            <v>Tire</v>
          </cell>
          <cell r="K9">
            <v>14360</v>
          </cell>
          <cell r="R9" t="str">
            <v>HD-605</v>
          </cell>
          <cell r="AG9" t="str">
            <v>HD-1111</v>
          </cell>
          <cell r="AH9" t="str">
            <v>KOMATSU HD-785 SIMS FMC UT</v>
          </cell>
        </row>
        <row r="10">
          <cell r="E10" t="str">
            <v>Tire</v>
          </cell>
          <cell r="K10">
            <v>14360</v>
          </cell>
          <cell r="R10" t="str">
            <v>HD-607</v>
          </cell>
          <cell r="AG10" t="str">
            <v>HD-1113</v>
          </cell>
          <cell r="AH10" t="str">
            <v>KOMATSU HD-785 SIMS FMC UT</v>
          </cell>
        </row>
        <row r="11">
          <cell r="E11" t="str">
            <v>Tire</v>
          </cell>
          <cell r="K11">
            <v>86160</v>
          </cell>
          <cell r="R11" t="str">
            <v>HD-614</v>
          </cell>
          <cell r="AG11" t="str">
            <v>HD-605</v>
          </cell>
          <cell r="AH11" t="str">
            <v>KOMATSU HD-785 KIDECO FMC UT</v>
          </cell>
        </row>
        <row r="12">
          <cell r="E12" t="str">
            <v>Tire</v>
          </cell>
          <cell r="K12">
            <v>22777.333337</v>
          </cell>
          <cell r="R12" t="str">
            <v>MG-4001</v>
          </cell>
          <cell r="AG12" t="str">
            <v>HD-607</v>
          </cell>
          <cell r="AH12" t="str">
            <v>KOMATSU HD-785 KIDECO FMC UT</v>
          </cell>
        </row>
        <row r="13">
          <cell r="E13" t="str">
            <v>Tire</v>
          </cell>
          <cell r="K13">
            <v>2070.666667</v>
          </cell>
          <cell r="R13" t="str">
            <v>MG-4002</v>
          </cell>
          <cell r="AG13" t="str">
            <v>HD-614</v>
          </cell>
          <cell r="AH13" t="str">
            <v>KOMATSU HD-785 KIDECO FMC UT</v>
          </cell>
        </row>
        <row r="14">
          <cell r="E14" t="str">
            <v>S/Parts</v>
          </cell>
          <cell r="K14">
            <v>78.804000000000002</v>
          </cell>
          <cell r="R14" t="str">
            <v>BD-168</v>
          </cell>
          <cell r="AG14" t="str">
            <v>MG-4001</v>
          </cell>
          <cell r="AH14" t="str">
            <v>CAT-16H SIMS FMC TRAKINDO</v>
          </cell>
        </row>
        <row r="15">
          <cell r="E15" t="str">
            <v>S/Parts</v>
          </cell>
          <cell r="K15">
            <v>133.61891199999999</v>
          </cell>
          <cell r="R15" t="str">
            <v>HD-1003</v>
          </cell>
          <cell r="AG15" t="str">
            <v>MG-4002</v>
          </cell>
          <cell r="AH15" t="str">
            <v>CAT-16H SIMS FMC TRAKINDO</v>
          </cell>
        </row>
        <row r="16">
          <cell r="E16" t="str">
            <v>S/Parts</v>
          </cell>
          <cell r="K16">
            <v>201.71821299999999</v>
          </cell>
          <cell r="R16" t="str">
            <v>RD-675</v>
          </cell>
          <cell r="AG16" t="str">
            <v>RD-675</v>
          </cell>
          <cell r="AH16" t="str">
            <v>TR-33100 KIDECO</v>
          </cell>
        </row>
        <row r="17">
          <cell r="E17" t="str">
            <v>S/Parts</v>
          </cell>
          <cell r="K17">
            <v>115.589496</v>
          </cell>
          <cell r="R17" t="str">
            <v>RD-675</v>
          </cell>
          <cell r="AG17" t="str">
            <v>RD-678</v>
          </cell>
          <cell r="AH17" t="str">
            <v>TR-33100 KIDECO</v>
          </cell>
        </row>
        <row r="18">
          <cell r="E18" t="str">
            <v>S/Parts</v>
          </cell>
          <cell r="K18">
            <v>5.1592479999999998</v>
          </cell>
          <cell r="R18" t="str">
            <v>RD-675</v>
          </cell>
          <cell r="AG18" t="str">
            <v>RD-683</v>
          </cell>
          <cell r="AH18" t="str">
            <v>TR-33100 KIDECO</v>
          </cell>
        </row>
        <row r="19">
          <cell r="E19" t="str">
            <v>S/Parts</v>
          </cell>
          <cell r="K19">
            <v>239.22518199999999</v>
          </cell>
          <cell r="R19" t="str">
            <v>RD-683</v>
          </cell>
          <cell r="AG19" t="str">
            <v>RD-684</v>
          </cell>
          <cell r="AH19" t="str">
            <v>TR-33100 KIDECO</v>
          </cell>
        </row>
        <row r="20">
          <cell r="E20" t="str">
            <v>S/Parts</v>
          </cell>
          <cell r="K20">
            <v>744.51480700000002</v>
          </cell>
          <cell r="R20" t="str">
            <v>RD-684</v>
          </cell>
          <cell r="AG20" t="str">
            <v>RD-685</v>
          </cell>
          <cell r="AH20" t="str">
            <v>TR-33100 KIDECO</v>
          </cell>
        </row>
        <row r="21">
          <cell r="E21" t="str">
            <v>S/Parts</v>
          </cell>
          <cell r="K21">
            <v>73.533246000000005</v>
          </cell>
          <cell r="R21" t="str">
            <v>RD-684</v>
          </cell>
          <cell r="AG21" t="str">
            <v>RD-688</v>
          </cell>
          <cell r="AH21" t="str">
            <v>TR-33100 KIDECO</v>
          </cell>
        </row>
        <row r="22">
          <cell r="E22" t="str">
            <v>S/Parts</v>
          </cell>
          <cell r="K22">
            <v>49.469174999999993</v>
          </cell>
          <cell r="R22" t="str">
            <v>RD-684</v>
          </cell>
          <cell r="AG22" t="str">
            <v>RD-692</v>
          </cell>
          <cell r="AH22" t="str">
            <v>TR-100 KIDECO</v>
          </cell>
        </row>
        <row r="23">
          <cell r="E23" t="str">
            <v>S/Parts</v>
          </cell>
          <cell r="K23">
            <v>69.398398</v>
          </cell>
          <cell r="R23" t="str">
            <v>RD-684</v>
          </cell>
          <cell r="AG23" t="str">
            <v>RD-694</v>
          </cell>
          <cell r="AH23" t="str">
            <v>TR-100 KIDECO</v>
          </cell>
        </row>
        <row r="24">
          <cell r="E24" t="str">
            <v>S/Parts</v>
          </cell>
          <cell r="K24">
            <v>435.92577499999999</v>
          </cell>
          <cell r="R24" t="str">
            <v>RD-685</v>
          </cell>
          <cell r="AG24" t="str">
            <v>RD-695</v>
          </cell>
          <cell r="AH24" t="str">
            <v>TR-100 KIDECO</v>
          </cell>
        </row>
        <row r="25">
          <cell r="E25" t="str">
            <v>S/Parts</v>
          </cell>
          <cell r="K25">
            <v>632.77379399999995</v>
          </cell>
          <cell r="R25" t="str">
            <v>RD-685</v>
          </cell>
          <cell r="AG25" t="str">
            <v>RD-696</v>
          </cell>
          <cell r="AH25" t="str">
            <v>TR-100 KIDECO</v>
          </cell>
        </row>
        <row r="26">
          <cell r="E26" t="str">
            <v>S/Parts</v>
          </cell>
          <cell r="K26">
            <v>36.857219999999998</v>
          </cell>
          <cell r="R26" t="str">
            <v>RD-688</v>
          </cell>
        </row>
        <row r="27">
          <cell r="E27" t="str">
            <v>S/Parts</v>
          </cell>
          <cell r="K27">
            <v>275.80900000000003</v>
          </cell>
          <cell r="R27" t="str">
            <v>RD-688</v>
          </cell>
        </row>
        <row r="28">
          <cell r="E28" t="str">
            <v>S/Parts</v>
          </cell>
          <cell r="K28">
            <v>185.58349999999999</v>
          </cell>
          <cell r="R28" t="str">
            <v>RD-688</v>
          </cell>
        </row>
        <row r="29">
          <cell r="E29" t="str">
            <v>S/Parts</v>
          </cell>
          <cell r="K29">
            <v>138.796796</v>
          </cell>
          <cell r="R29" t="str">
            <v>RD-688</v>
          </cell>
        </row>
        <row r="30">
          <cell r="E30" t="str">
            <v>S/Parts</v>
          </cell>
          <cell r="K30">
            <v>138.796796</v>
          </cell>
          <cell r="R30" t="str">
            <v>RD-688</v>
          </cell>
        </row>
        <row r="31">
          <cell r="E31" t="str">
            <v>S/Parts</v>
          </cell>
          <cell r="K31">
            <v>189.247671</v>
          </cell>
          <cell r="R31" t="str">
            <v>RD-694</v>
          </cell>
        </row>
        <row r="32">
          <cell r="E32" t="str">
            <v>S/Parts</v>
          </cell>
          <cell r="K32">
            <v>1157.3477379999999</v>
          </cell>
          <cell r="R32" t="str">
            <v>RD-695</v>
          </cell>
        </row>
        <row r="33">
          <cell r="E33" t="str">
            <v>S/Parts</v>
          </cell>
          <cell r="K33">
            <v>115.589496</v>
          </cell>
          <cell r="R33" t="str">
            <v>RD-695</v>
          </cell>
        </row>
        <row r="34">
          <cell r="E34" t="str">
            <v>S/Parts</v>
          </cell>
          <cell r="K34">
            <v>744.51480700000002</v>
          </cell>
          <cell r="R34" t="str">
            <v>RD-695</v>
          </cell>
        </row>
        <row r="35">
          <cell r="E35" t="str">
            <v>S/Parts</v>
          </cell>
          <cell r="K35">
            <v>744.51480700000002</v>
          </cell>
          <cell r="R35" t="str">
            <v>RD-695</v>
          </cell>
        </row>
        <row r="36">
          <cell r="E36" t="str">
            <v>S/Parts</v>
          </cell>
          <cell r="K36">
            <v>53.728523000000003</v>
          </cell>
          <cell r="R36" t="str">
            <v>RD-696</v>
          </cell>
        </row>
        <row r="37">
          <cell r="E37" t="str">
            <v>S/Parts</v>
          </cell>
          <cell r="K37">
            <v>73.309743999999995</v>
          </cell>
          <cell r="R37" t="str">
            <v>RD-696</v>
          </cell>
        </row>
        <row r="38">
          <cell r="E38" t="str">
            <v>S/Parts</v>
          </cell>
          <cell r="K38">
            <v>17.435898000000002</v>
          </cell>
          <cell r="R38" t="str">
            <v>Support</v>
          </cell>
        </row>
        <row r="39">
          <cell r="E39" t="str">
            <v>S/Parts</v>
          </cell>
          <cell r="K39">
            <v>135.388341</v>
          </cell>
          <cell r="R39" t="str">
            <v>RD-675</v>
          </cell>
        </row>
        <row r="40">
          <cell r="E40" t="str">
            <v>S/Parts</v>
          </cell>
          <cell r="K40">
            <v>6.2883540000000009</v>
          </cell>
          <cell r="R40" t="str">
            <v>RD-675</v>
          </cell>
        </row>
        <row r="41">
          <cell r="E41" t="str">
            <v>S/Parts</v>
          </cell>
          <cell r="K41">
            <v>135.388341</v>
          </cell>
          <cell r="R41" t="str">
            <v>RD-678</v>
          </cell>
        </row>
        <row r="42">
          <cell r="E42" t="str">
            <v>S/Parts</v>
          </cell>
          <cell r="K42">
            <v>6.2883540000000009</v>
          </cell>
          <cell r="R42" t="str">
            <v>RD-688</v>
          </cell>
        </row>
        <row r="43">
          <cell r="E43" t="str">
            <v>S/Parts</v>
          </cell>
          <cell r="K43">
            <v>135.388341</v>
          </cell>
          <cell r="R43" t="str">
            <v>RD-688</v>
          </cell>
        </row>
        <row r="44">
          <cell r="E44" t="str">
            <v>S/Parts</v>
          </cell>
          <cell r="K44">
            <v>105.429553</v>
          </cell>
          <cell r="R44" t="str">
            <v>RD-692</v>
          </cell>
        </row>
        <row r="45">
          <cell r="E45" t="str">
            <v>S/Parts</v>
          </cell>
          <cell r="K45">
            <v>18.956900999999998</v>
          </cell>
          <cell r="R45" t="str">
            <v>Support</v>
          </cell>
        </row>
      </sheetData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Cost"/>
      <sheetName val="PL"/>
      <sheetName val="Total"/>
    </sheetNames>
    <sheetDataSet>
      <sheetData sheetId="0" refreshError="1">
        <row r="5">
          <cell r="C5">
            <v>8500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Sheet3"/>
      <sheetName val="편성지침"/>
      <sheetName val="생산판매"/>
      <sheetName val="손익계획"/>
      <sheetName val="투자계획"/>
      <sheetName val="월별"/>
      <sheetName val="KIDECO요약"/>
      <sheetName val="임차도급"/>
      <sheetName val="인원계획"/>
      <sheetName val="원가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IMS"/>
      <sheetName val="yearl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Input"/>
      <sheetName val="Ouput HE"/>
      <sheetName val="Ouput Supp."/>
      <sheetName val="Grs_Histo"/>
      <sheetName val="Price"/>
      <sheetName val="Report HE"/>
      <sheetName val="Report Supp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"/>
      <sheetName val="ANALISA (2)"/>
      <sheetName val="ANALISA"/>
      <sheetName val="BQ"/>
      <sheetName val="04. 현장 관리"/>
    </sheetNames>
    <sheetDataSet>
      <sheetData sheetId="0" refreshError="1">
        <row r="7">
          <cell r="D7" t="str">
            <v>GROUP 1</v>
          </cell>
        </row>
        <row r="9">
          <cell r="D9" t="str">
            <v>Batu bata</v>
          </cell>
          <cell r="E9">
            <v>220</v>
          </cell>
          <cell r="F9" t="str">
            <v>/BH</v>
          </cell>
        </row>
        <row r="10">
          <cell r="D10" t="str">
            <v>Batu Kali</v>
          </cell>
          <cell r="E10">
            <v>70000</v>
          </cell>
          <cell r="F10" t="str">
            <v>/M3</v>
          </cell>
        </row>
        <row r="11">
          <cell r="D11" t="str">
            <v>Benang</v>
          </cell>
          <cell r="E11">
            <v>1500</v>
          </cell>
          <cell r="F11" t="str">
            <v>/ROL</v>
          </cell>
        </row>
        <row r="12">
          <cell r="D12" t="str">
            <v>Bendrat</v>
          </cell>
          <cell r="E12">
            <v>6000</v>
          </cell>
          <cell r="F12" t="str">
            <v>/KG</v>
          </cell>
        </row>
        <row r="13">
          <cell r="D13" t="str">
            <v>Besi</v>
          </cell>
          <cell r="E13">
            <v>2570</v>
          </cell>
          <cell r="F13" t="str">
            <v>/KG</v>
          </cell>
        </row>
        <row r="14">
          <cell r="D14" t="str">
            <v>Grouting ex. Alfagrout</v>
          </cell>
          <cell r="E14">
            <v>6000</v>
          </cell>
          <cell r="F14" t="str">
            <v>/KG</v>
          </cell>
        </row>
        <row r="15">
          <cell r="D15" t="str">
            <v>Kayu Borneo Super</v>
          </cell>
          <cell r="E15">
            <v>700000</v>
          </cell>
          <cell r="F15" t="str">
            <v>/M3</v>
          </cell>
        </row>
        <row r="16">
          <cell r="D16" t="str">
            <v>Kayu Kamper Oven</v>
          </cell>
          <cell r="E16">
            <v>4000000</v>
          </cell>
          <cell r="F16" t="str">
            <v>/M3</v>
          </cell>
        </row>
        <row r="17">
          <cell r="D17" t="str">
            <v>Paku 5 - 7 cm</v>
          </cell>
          <cell r="E17">
            <v>5000</v>
          </cell>
          <cell r="F17" t="str">
            <v>/KG</v>
          </cell>
        </row>
        <row r="18">
          <cell r="D18" t="str">
            <v>Pasir Beton</v>
          </cell>
          <cell r="E18">
            <v>85000</v>
          </cell>
          <cell r="F18" t="str">
            <v>/M3</v>
          </cell>
        </row>
        <row r="19">
          <cell r="D19" t="str">
            <v>Pasir Putih</v>
          </cell>
          <cell r="E19">
            <v>107692.30769230769</v>
          </cell>
          <cell r="F19" t="str">
            <v>/M3</v>
          </cell>
        </row>
        <row r="20">
          <cell r="D20" t="str">
            <v>Semen</v>
          </cell>
          <cell r="E20">
            <v>23000</v>
          </cell>
          <cell r="F20" t="str">
            <v>/ZAK</v>
          </cell>
        </row>
        <row r="21">
          <cell r="D21" t="str">
            <v>Split</v>
          </cell>
          <cell r="E21">
            <v>85000</v>
          </cell>
          <cell r="F21" t="str">
            <v>/M3</v>
          </cell>
        </row>
        <row r="22">
          <cell r="D22" t="str">
            <v>Tripleks 12 mm</v>
          </cell>
          <cell r="E22">
            <v>88000</v>
          </cell>
          <cell r="F22" t="str">
            <v>/LBR</v>
          </cell>
        </row>
        <row r="23">
          <cell r="D23" t="str">
            <v>Tripleks 15 mm</v>
          </cell>
          <cell r="E23">
            <v>105000</v>
          </cell>
          <cell r="F23" t="str">
            <v>/LBR</v>
          </cell>
        </row>
        <row r="24">
          <cell r="D24" t="str">
            <v>Tripleks 18 mm</v>
          </cell>
          <cell r="E24">
            <v>108000</v>
          </cell>
          <cell r="F24" t="str">
            <v>/LBR</v>
          </cell>
        </row>
        <row r="25">
          <cell r="D25" t="str">
            <v>Tripleks 3 mm</v>
          </cell>
          <cell r="E25">
            <v>27500</v>
          </cell>
          <cell r="F25" t="str">
            <v>/LBR</v>
          </cell>
        </row>
        <row r="26">
          <cell r="D26" t="str">
            <v>Tripleks 4 mm</v>
          </cell>
          <cell r="E26">
            <v>34000</v>
          </cell>
          <cell r="F26" t="str">
            <v>/LBR</v>
          </cell>
        </row>
        <row r="27">
          <cell r="D27" t="str">
            <v>Tripleks 6 mm</v>
          </cell>
          <cell r="E27">
            <v>39000</v>
          </cell>
          <cell r="F27" t="str">
            <v>/LBR</v>
          </cell>
        </row>
        <row r="28">
          <cell r="D28" t="str">
            <v>Tripleks 9 mm</v>
          </cell>
          <cell r="E28">
            <v>67000</v>
          </cell>
          <cell r="F28" t="str">
            <v>/LBR</v>
          </cell>
        </row>
        <row r="31">
          <cell r="D31" t="str">
            <v>GROUP 2</v>
          </cell>
        </row>
        <row r="33">
          <cell r="D33" t="str">
            <v>Kabel 2 x 2.5 ex. Eterna/setara</v>
          </cell>
          <cell r="E33">
            <v>96000</v>
          </cell>
          <cell r="F33" t="str">
            <v>/ROL @ 50M</v>
          </cell>
        </row>
        <row r="34">
          <cell r="D34" t="str">
            <v>Kabel 3 x 2.5 ex. Eterna/setara</v>
          </cell>
          <cell r="E34">
            <v>123000</v>
          </cell>
          <cell r="F34" t="str">
            <v>/ROL @ 50M</v>
          </cell>
        </row>
        <row r="35">
          <cell r="D35" t="str">
            <v>Pipa conduit ex. Clipsal/setara</v>
          </cell>
          <cell r="E35">
            <v>4200</v>
          </cell>
          <cell r="F35" t="str">
            <v>/BTG @ 3M</v>
          </cell>
        </row>
        <row r="37">
          <cell r="D37" t="str">
            <v>GROUP 3</v>
          </cell>
        </row>
        <row r="39">
          <cell r="D39" t="str">
            <v>Compound</v>
          </cell>
          <cell r="E39">
            <v>48000</v>
          </cell>
          <cell r="F39" t="str">
            <v>/ZAK @ 20 KG</v>
          </cell>
        </row>
        <row r="40">
          <cell r="D40" t="str">
            <v>Gypsum board 12 mm</v>
          </cell>
          <cell r="E40">
            <v>36200</v>
          </cell>
          <cell r="F40" t="str">
            <v>/LBR</v>
          </cell>
        </row>
        <row r="41">
          <cell r="D41" t="str">
            <v>Gypsum board 9 mm</v>
          </cell>
          <cell r="E41">
            <v>30500</v>
          </cell>
          <cell r="F41" t="str">
            <v>/LBR</v>
          </cell>
        </row>
        <row r="42">
          <cell r="D42" t="str">
            <v>Hollow 2/4</v>
          </cell>
          <cell r="E42">
            <v>11000</v>
          </cell>
          <cell r="F42" t="str">
            <v>/BTG @ 4M</v>
          </cell>
        </row>
        <row r="43">
          <cell r="D43" t="str">
            <v>Hollow 4/4</v>
          </cell>
          <cell r="E43">
            <v>16000</v>
          </cell>
          <cell r="F43" t="str">
            <v>/BTG @ 4M</v>
          </cell>
        </row>
        <row r="44">
          <cell r="D44" t="str">
            <v>Skrup gypsum 1 x 6</v>
          </cell>
          <cell r="E44">
            <v>45000</v>
          </cell>
          <cell r="F44" t="str">
            <v>/DUS @ 2000 PCS</v>
          </cell>
        </row>
        <row r="45">
          <cell r="D45" t="str">
            <v>Textile tape</v>
          </cell>
          <cell r="E45">
            <v>18300</v>
          </cell>
          <cell r="F45" t="str">
            <v>/ROL @ 76M</v>
          </cell>
        </row>
        <row r="47">
          <cell r="D47" t="str">
            <v>GROUP 4</v>
          </cell>
        </row>
        <row r="49">
          <cell r="D49" t="str">
            <v>Kaca Polos 10 mm</v>
          </cell>
          <cell r="E49">
            <v>148000</v>
          </cell>
          <cell r="F49" t="str">
            <v>/M2</v>
          </cell>
        </row>
        <row r="50">
          <cell r="D50" t="str">
            <v>Kaca Polos 5 mm</v>
          </cell>
          <cell r="E50">
            <v>48000</v>
          </cell>
          <cell r="F50" t="str">
            <v>/M2</v>
          </cell>
        </row>
        <row r="51">
          <cell r="D51" t="str">
            <v>Kaca Polos 6 mm</v>
          </cell>
          <cell r="E51">
            <v>70000</v>
          </cell>
          <cell r="F51" t="str">
            <v>/M2</v>
          </cell>
        </row>
        <row r="52">
          <cell r="D52" t="str">
            <v>Kaca Polos 8 mm</v>
          </cell>
          <cell r="E52">
            <v>117000</v>
          </cell>
          <cell r="F52" t="str">
            <v>/M2</v>
          </cell>
        </row>
      </sheetData>
      <sheetData sheetId="1" refreshError="1"/>
      <sheetData sheetId="2" refreshError="1"/>
      <sheetData sheetId="3" refreshError="1"/>
      <sheetData sheetId="4">
        <row r="7">
          <cell r="D7"/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기본Data"/>
      <sheetName val="항목별Cost"/>
      <sheetName val="PasirCost"/>
      <sheetName val="PL분석"/>
      <sheetName val="종합"/>
    </sheetNames>
    <sheetDataSet>
      <sheetData sheetId="0" refreshError="1"/>
      <sheetData sheetId="1" refreshError="1">
        <row r="5">
          <cell r="G5">
            <v>9595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"/>
      <sheetName val="  "/>
      <sheetName val="   "/>
      <sheetName val="`"/>
      <sheetName val="``"/>
      <sheetName val="Material"/>
    </sheetNames>
    <sheetDataSet>
      <sheetData sheetId="0" refreshError="1"/>
      <sheetData sheetId="1" refreshError="1">
        <row r="5">
          <cell r="O5" t="str">
            <v>SOLAR, OIL &amp; GREASE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AG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Cost"/>
      <sheetName val="PL"/>
      <sheetName val="Tota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MPAR"/>
      <sheetName val="COVER"/>
      <sheetName val="SUMMARY"/>
      <sheetName val="cover-1"/>
      <sheetName val="graph"/>
      <sheetName val="so,acc kampar"/>
      <sheetName val="DURI"/>
      <sheetName val="So, acc Detail duri"/>
      <sheetName val="SIAK"/>
      <sheetName val="MINAS"/>
      <sheetName val="SO, acc Detail minas"/>
      <sheetName val="HE"/>
      <sheetName val="ADD"/>
      <sheetName val="acc-add"/>
      <sheetName val="cover-2"/>
      <sheetName val="pm-kampar"/>
      <sheetName val="pm-add"/>
      <sheetName val="pm-minas"/>
      <sheetName val="pm-duri"/>
      <sheetName val="pm-he"/>
      <sheetName val="pm. siak"/>
      <sheetName val="SUMMARY SERVICE"/>
      <sheetName val="repair-he"/>
      <sheetName val="repair-kmp"/>
      <sheetName val="repair-duri"/>
      <sheetName val="repair. siak"/>
      <sheetName val="repair-minas"/>
      <sheetName val="repair-add"/>
      <sheetName val="outstand -ADD"/>
      <sheetName val="outs-kampar"/>
      <sheetName val="delaid-srv"/>
    </sheetNames>
    <sheetDataSet>
      <sheetData sheetId="0" refreshError="1">
        <row r="12">
          <cell r="A12">
            <v>1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4</v>
          </cell>
        </row>
        <row r="16">
          <cell r="A16">
            <v>5</v>
          </cell>
        </row>
        <row r="17">
          <cell r="A17">
            <v>6</v>
          </cell>
        </row>
        <row r="18">
          <cell r="A18">
            <v>7</v>
          </cell>
        </row>
        <row r="19">
          <cell r="A19">
            <v>8</v>
          </cell>
        </row>
        <row r="20">
          <cell r="A20">
            <v>9</v>
          </cell>
        </row>
        <row r="21">
          <cell r="A21">
            <v>10</v>
          </cell>
        </row>
        <row r="22">
          <cell r="A22">
            <v>11</v>
          </cell>
        </row>
        <row r="23">
          <cell r="A23">
            <v>12</v>
          </cell>
        </row>
        <row r="24">
          <cell r="A24">
            <v>13</v>
          </cell>
        </row>
        <row r="25">
          <cell r="A25">
            <v>14</v>
          </cell>
        </row>
        <row r="26">
          <cell r="A26">
            <v>15</v>
          </cell>
        </row>
        <row r="27">
          <cell r="A27">
            <v>16</v>
          </cell>
        </row>
        <row r="28">
          <cell r="A28">
            <v>17</v>
          </cell>
        </row>
        <row r="29">
          <cell r="A29">
            <v>18</v>
          </cell>
        </row>
        <row r="30">
          <cell r="A30">
            <v>19</v>
          </cell>
        </row>
        <row r="31">
          <cell r="A31">
            <v>20</v>
          </cell>
        </row>
        <row r="32">
          <cell r="A32">
            <v>21</v>
          </cell>
        </row>
        <row r="33">
          <cell r="A33">
            <v>22</v>
          </cell>
        </row>
        <row r="34">
          <cell r="A34">
            <v>23</v>
          </cell>
        </row>
        <row r="35">
          <cell r="A35">
            <v>24</v>
          </cell>
        </row>
        <row r="36">
          <cell r="A36">
            <v>25</v>
          </cell>
        </row>
        <row r="37">
          <cell r="A37">
            <v>26</v>
          </cell>
        </row>
        <row r="38">
          <cell r="A38">
            <v>27</v>
          </cell>
        </row>
        <row r="39">
          <cell r="A39">
            <v>28</v>
          </cell>
        </row>
        <row r="40">
          <cell r="A40">
            <v>29</v>
          </cell>
        </row>
        <row r="41">
          <cell r="A41">
            <v>30</v>
          </cell>
        </row>
        <row r="42">
          <cell r="A42">
            <v>31</v>
          </cell>
        </row>
        <row r="43">
          <cell r="A43">
            <v>32</v>
          </cell>
        </row>
        <row r="44">
          <cell r="A44">
            <v>33</v>
          </cell>
        </row>
        <row r="45">
          <cell r="A45">
            <v>34</v>
          </cell>
        </row>
        <row r="46">
          <cell r="A46">
            <v>35</v>
          </cell>
        </row>
        <row r="47">
          <cell r="A47">
            <v>36</v>
          </cell>
        </row>
        <row r="48">
          <cell r="A48">
            <v>37</v>
          </cell>
        </row>
        <row r="49">
          <cell r="A49">
            <v>38</v>
          </cell>
        </row>
        <row r="50">
          <cell r="A50">
            <v>39</v>
          </cell>
        </row>
        <row r="51">
          <cell r="A51">
            <v>40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1.작성기준"/>
      <sheetName val="2.총괄"/>
      <sheetName val="4.인원"/>
      <sheetName val="3-10.계획"/>
      <sheetName val="11.손익"/>
      <sheetName val="인건비"/>
      <sheetName val="경비"/>
      <sheetName val="자재"/>
      <sheetName val="손익총괄"/>
      <sheetName val="학자금"/>
      <sheetName val="산출내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G3">
            <v>0.05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원탄생산"/>
      <sheetName val="폐석"/>
      <sheetName val="정탄운송"/>
      <sheetName val="작업방법별"/>
      <sheetName val="판매계획"/>
      <sheetName val="단가(CFR)"/>
      <sheetName val="단가(FRT)"/>
      <sheetName val="단가(FOB)"/>
      <sheetName val="매출(CFR)"/>
      <sheetName val="매출(FOB)"/>
      <sheetName val="인원(한국)"/>
      <sheetName val="인원(현지인)"/>
      <sheetName val="투자계획"/>
      <sheetName val="매출액"/>
      <sheetName val="영업외수익"/>
      <sheetName val="생산비"/>
      <sheetName val="인건비"/>
      <sheetName val="재료비"/>
      <sheetName val="경비"/>
      <sheetName val="JKT인건비"/>
      <sheetName val="JKT경비"/>
      <sheetName val="판매비"/>
      <sheetName val="영업외비용"/>
      <sheetName val="월별손익"/>
      <sheetName val="산출내역(인건비)"/>
      <sheetName val="산출내역(재료비)"/>
      <sheetName val="산출내역(경비)"/>
      <sheetName val="임차계획(x)"/>
      <sheetName val="도급계획(x)"/>
      <sheetName val="월별도급"/>
      <sheetName val="대민지원"/>
      <sheetName val="Jkt인건비(산출)"/>
      <sheetName val="Jkt경비(산출)"/>
      <sheetName val="판매비(산출)"/>
      <sheetName val="영업외비용(산출)"/>
      <sheetName val="월별자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epre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Cost"/>
      <sheetName val="PL"/>
      <sheetName val="Tota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ALES"/>
      <sheetName val="MCOST1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2004"/>
      <sheetName val="D-04"/>
      <sheetName val="D-05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기본Data"/>
      <sheetName val="항목별Cost"/>
      <sheetName val="PasirCost"/>
      <sheetName val="PL분석"/>
      <sheetName val="종합"/>
    </sheetNames>
    <sheetDataSet>
      <sheetData sheetId="0" refreshError="1"/>
      <sheetData sheetId="1" refreshError="1">
        <row r="5">
          <cell r="G5">
            <v>9595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Input"/>
      <sheetName val="Ouput Supp."/>
      <sheetName val="Ouput HE"/>
      <sheetName val="Grs_Histo"/>
      <sheetName val="Report Supp."/>
      <sheetName val="Report HE"/>
      <sheetName val="Price"/>
      <sheetName val="I"/>
      <sheetName val="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IMS"/>
      <sheetName val="yearly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showGridLines="0" view="pageBreakPreview" topLeftCell="A10" zoomScaleNormal="100" zoomScaleSheetLayoutView="100" workbookViewId="0">
      <selection activeCell="M17" sqref="M17"/>
    </sheetView>
  </sheetViews>
  <sheetFormatPr defaultColWidth="11.42578125" defaultRowHeight="14.25"/>
  <cols>
    <col min="1" max="1" width="5.7109375" style="22" customWidth="1"/>
    <col min="2" max="9" width="10.7109375" style="22" customWidth="1"/>
    <col min="10" max="10" width="5.7109375" style="22" customWidth="1"/>
    <col min="11" max="16384" width="11.42578125" style="22"/>
  </cols>
  <sheetData>
    <row r="1" spans="1:10" ht="30.75" customHeight="1" thickBot="1"/>
    <row r="2" spans="1:10" ht="36.75" customHeight="1" thickTop="1" thickBot="1">
      <c r="B2" s="285" t="s">
        <v>182</v>
      </c>
      <c r="C2" s="285"/>
      <c r="D2" s="285"/>
      <c r="E2" s="285"/>
      <c r="F2" s="285"/>
      <c r="G2" s="285"/>
      <c r="H2" s="285"/>
      <c r="I2" s="285"/>
    </row>
    <row r="3" spans="1:10" ht="30" customHeight="1" thickTop="1">
      <c r="A3" s="286">
        <f>+Pama!D7</f>
        <v>44652</v>
      </c>
      <c r="B3" s="286"/>
      <c r="C3" s="286"/>
      <c r="D3" s="286"/>
      <c r="E3" s="286"/>
      <c r="F3" s="286"/>
      <c r="G3" s="286"/>
      <c r="H3" s="286"/>
      <c r="I3" s="286"/>
      <c r="J3" s="286"/>
    </row>
    <row r="4" spans="1:10" s="24" customFormat="1" ht="20.100000000000001" customHeight="1">
      <c r="B4" s="25"/>
      <c r="C4" s="287" t="s">
        <v>183</v>
      </c>
      <c r="D4" s="287"/>
      <c r="E4" s="287"/>
      <c r="F4" s="287"/>
      <c r="G4" s="287"/>
      <c r="H4" s="287"/>
    </row>
    <row r="5" spans="1:10" ht="20.100000000000001" customHeight="1">
      <c r="B5" s="23"/>
    </row>
    <row r="6" spans="1:10" ht="20.100000000000001" customHeight="1">
      <c r="B6" s="23"/>
    </row>
    <row r="7" spans="1:10" s="26" customFormat="1" ht="28.5" customHeight="1">
      <c r="B7" s="27"/>
      <c r="C7" s="28" t="s">
        <v>184</v>
      </c>
      <c r="D7" s="29" t="s">
        <v>185</v>
      </c>
    </row>
    <row r="8" spans="1:10" s="26" customFormat="1" ht="28.5" customHeight="1">
      <c r="B8" s="27"/>
      <c r="C8" s="28" t="s">
        <v>186</v>
      </c>
      <c r="D8" s="29" t="s">
        <v>261</v>
      </c>
    </row>
    <row r="9" spans="1:10" s="26" customFormat="1" ht="28.5" customHeight="1">
      <c r="B9" s="27"/>
      <c r="C9" s="28" t="s">
        <v>188</v>
      </c>
      <c r="D9" s="29" t="s">
        <v>191</v>
      </c>
    </row>
    <row r="10" spans="1:10" s="26" customFormat="1" ht="28.5" customHeight="1">
      <c r="B10" s="27"/>
      <c r="C10" s="28" t="s">
        <v>189</v>
      </c>
      <c r="D10" s="29" t="s">
        <v>434</v>
      </c>
    </row>
    <row r="11" spans="1:10" s="26" customFormat="1" ht="28.5" customHeight="1">
      <c r="B11" s="27"/>
      <c r="C11" s="28" t="s">
        <v>190</v>
      </c>
      <c r="D11" s="29" t="s">
        <v>2704</v>
      </c>
    </row>
    <row r="12" spans="1:10" s="26" customFormat="1" ht="28.5" customHeight="1">
      <c r="B12" s="27"/>
      <c r="C12" s="28"/>
      <c r="D12" s="29"/>
    </row>
    <row r="13" spans="1:10" s="26" customFormat="1" ht="28.5" customHeight="1">
      <c r="B13" s="27"/>
      <c r="C13" s="28"/>
      <c r="D13" s="29"/>
    </row>
    <row r="14" spans="1:10" s="26" customFormat="1" ht="28.5" customHeight="1">
      <c r="B14" s="27"/>
      <c r="C14" s="28"/>
      <c r="D14" s="29"/>
    </row>
    <row r="15" spans="1:10" s="26" customFormat="1" ht="28.5" customHeight="1">
      <c r="B15" s="27"/>
      <c r="C15" s="28"/>
      <c r="D15" s="29"/>
    </row>
    <row r="16" spans="1:10" s="24" customFormat="1" ht="20.100000000000001" customHeight="1">
      <c r="B16" s="30"/>
      <c r="D16" s="31"/>
    </row>
    <row r="17" spans="1:10" s="24" customFormat="1" ht="20.100000000000001" customHeight="1">
      <c r="B17" s="30"/>
      <c r="D17" s="31"/>
    </row>
    <row r="18" spans="1:10" s="24" customFormat="1" ht="20.100000000000001" customHeight="1">
      <c r="B18" s="30"/>
      <c r="D18" s="31"/>
    </row>
    <row r="19" spans="1:10" s="24" customFormat="1" ht="20.100000000000001" customHeight="1">
      <c r="B19" s="30"/>
      <c r="D19" s="31"/>
    </row>
    <row r="20" spans="1:10" s="24" customFormat="1" ht="20.100000000000001" customHeight="1">
      <c r="B20" s="30"/>
      <c r="D20" s="31"/>
    </row>
    <row r="21" spans="1:10" s="24" customFormat="1" ht="20.100000000000001" customHeight="1">
      <c r="B21" s="30"/>
      <c r="D21" s="31"/>
    </row>
    <row r="22" spans="1:10" s="24" customFormat="1" ht="20.100000000000001" customHeight="1">
      <c r="B22" s="30"/>
      <c r="D22" s="31"/>
    </row>
    <row r="23" spans="1:10" s="24" customFormat="1" ht="20.100000000000001" customHeight="1">
      <c r="B23" s="30"/>
      <c r="D23" s="31"/>
    </row>
    <row r="24" spans="1:10" s="24" customFormat="1" ht="20.100000000000001" customHeight="1">
      <c r="B24" s="30"/>
      <c r="D24" s="31"/>
    </row>
    <row r="25" spans="1:10" s="24" customFormat="1" ht="20.100000000000001" customHeight="1">
      <c r="B25" s="30"/>
      <c r="D25" s="31"/>
    </row>
    <row r="26" spans="1:10" s="24" customFormat="1" ht="20.100000000000001" customHeight="1">
      <c r="B26" s="30"/>
      <c r="D26" s="31"/>
    </row>
    <row r="27" spans="1:10" s="24" customFormat="1" ht="20.100000000000001" customHeight="1">
      <c r="B27" s="30"/>
      <c r="D27" s="31"/>
    </row>
    <row r="28" spans="1:10" s="24" customFormat="1" ht="20.100000000000001" customHeight="1">
      <c r="B28" s="30"/>
      <c r="D28" s="31"/>
    </row>
    <row r="29" spans="1:10" s="24" customFormat="1" ht="20.100000000000001" customHeight="1">
      <c r="B29" s="30"/>
      <c r="D29" s="31"/>
    </row>
    <row r="30" spans="1:10" ht="20.100000000000001" customHeight="1">
      <c r="C30" s="32"/>
      <c r="D30" s="32"/>
      <c r="E30" s="32"/>
      <c r="F30" s="32"/>
      <c r="G30" s="32"/>
      <c r="H30" s="32"/>
    </row>
    <row r="31" spans="1:10" ht="20.100000000000001" customHeight="1">
      <c r="C31" s="32"/>
      <c r="D31" s="32"/>
      <c r="E31" s="32"/>
      <c r="F31" s="32"/>
      <c r="G31" s="32"/>
      <c r="H31" s="32"/>
    </row>
    <row r="32" spans="1:10" s="24" customFormat="1" ht="20.100000000000001" customHeight="1">
      <c r="A32" s="288" t="s">
        <v>192</v>
      </c>
      <c r="B32" s="288"/>
      <c r="C32" s="288"/>
      <c r="D32" s="288"/>
      <c r="E32" s="288"/>
      <c r="F32" s="288"/>
      <c r="G32" s="288"/>
      <c r="H32" s="288"/>
      <c r="I32" s="288"/>
      <c r="J32" s="288"/>
    </row>
    <row r="33" spans="1:9" s="24" customFormat="1" ht="20.100000000000001" customHeight="1">
      <c r="A33" s="33"/>
      <c r="B33" s="33"/>
      <c r="C33" s="33"/>
      <c r="D33" s="33"/>
      <c r="E33" s="33"/>
      <c r="F33" s="33"/>
      <c r="G33" s="33"/>
      <c r="H33" s="33"/>
      <c r="I33" s="33"/>
    </row>
    <row r="34" spans="1:9" ht="20.100000000000001" customHeight="1"/>
    <row r="35" spans="1:9" ht="30" customHeight="1"/>
    <row r="36" spans="1:9" ht="30" customHeight="1"/>
    <row r="37" spans="1:9" ht="30" customHeight="1"/>
    <row r="38" spans="1:9" ht="30" customHeight="1"/>
    <row r="39" spans="1:9" ht="30" customHeight="1"/>
  </sheetData>
  <mergeCells count="4">
    <mergeCell ref="B2:I2"/>
    <mergeCell ref="A3:J3"/>
    <mergeCell ref="C4:H4"/>
    <mergeCell ref="A32:J32"/>
  </mergeCells>
  <printOptions horizontalCentered="1" verticalCentered="1"/>
  <pageMargins left="0.4" right="0.4" top="0.5" bottom="0.5" header="0" footer="0.3"/>
  <pageSetup paperSize="9" orientation="portrait" r:id="rId1"/>
  <headerFooter alignWithMargins="0">
    <oddFooter>&amp;LNo. Form : FM/PROD-007&amp;RReported by Planning Section</oddFooter>
  </headerFooter>
  <ignoredErrors>
    <ignoredError sqref="A3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F178"/>
  <sheetViews>
    <sheetView showGridLines="0" view="pageBreakPreview" zoomScale="70" zoomScaleNormal="100" zoomScaleSheetLayoutView="70" workbookViewId="0">
      <pane ySplit="7" topLeftCell="A8" activePane="bottomLeft" state="frozen"/>
      <selection pane="bottomLeft" activeCell="G31" sqref="G31"/>
    </sheetView>
  </sheetViews>
  <sheetFormatPr defaultColWidth="16.140625" defaultRowHeight="12.75"/>
  <cols>
    <col min="1" max="1" width="19.140625" style="37" customWidth="1"/>
    <col min="2" max="2" width="13.85546875" style="37" customWidth="1"/>
    <col min="3" max="3" width="19" style="37" customWidth="1"/>
    <col min="4" max="6" width="17.85546875" style="37" customWidth="1"/>
    <col min="7" max="16384" width="16.140625" style="37"/>
  </cols>
  <sheetData>
    <row r="1" spans="1:6" ht="15" customHeight="1">
      <c r="A1" s="289"/>
      <c r="B1" s="292" t="s">
        <v>283</v>
      </c>
      <c r="C1" s="293"/>
      <c r="D1" s="294"/>
      <c r="E1" s="161" t="s">
        <v>278</v>
      </c>
      <c r="F1" s="162" t="s">
        <v>279</v>
      </c>
    </row>
    <row r="2" spans="1:6" ht="15" customHeight="1">
      <c r="A2" s="290"/>
      <c r="B2" s="295"/>
      <c r="C2" s="296"/>
      <c r="D2" s="297"/>
      <c r="E2" s="163" t="s">
        <v>280</v>
      </c>
      <c r="F2" s="164" t="s">
        <v>540</v>
      </c>
    </row>
    <row r="3" spans="1:6" ht="15" customHeight="1">
      <c r="A3" s="290"/>
      <c r="B3" s="295"/>
      <c r="C3" s="296"/>
      <c r="D3" s="297"/>
      <c r="E3" s="163" t="s">
        <v>281</v>
      </c>
      <c r="F3" s="280">
        <f>2022*1</f>
        <v>2022</v>
      </c>
    </row>
    <row r="4" spans="1:6" ht="15" customHeight="1" thickBot="1">
      <c r="A4" s="291"/>
      <c r="B4" s="298">
        <f>+Pama!D7</f>
        <v>44652</v>
      </c>
      <c r="C4" s="299"/>
      <c r="D4" s="300"/>
      <c r="E4" s="165" t="s">
        <v>282</v>
      </c>
      <c r="F4" s="281">
        <v>2022</v>
      </c>
    </row>
    <row r="5" spans="1:6" ht="12" customHeight="1" thickBot="1">
      <c r="A5" s="121" t="s">
        <v>271</v>
      </c>
      <c r="F5" s="123"/>
    </row>
    <row r="6" spans="1:6" s="38" customFormat="1" ht="17.25" customHeight="1">
      <c r="A6" s="302" t="s">
        <v>239</v>
      </c>
      <c r="B6" s="304" t="s">
        <v>240</v>
      </c>
      <c r="C6" s="304" t="s">
        <v>246</v>
      </c>
      <c r="D6" s="304"/>
      <c r="E6" s="304"/>
      <c r="F6" s="306" t="s">
        <v>175</v>
      </c>
    </row>
    <row r="7" spans="1:6" ht="17.25" customHeight="1">
      <c r="A7" s="303"/>
      <c r="B7" s="305"/>
      <c r="C7" s="128" t="s">
        <v>6</v>
      </c>
      <c r="D7" s="128" t="s">
        <v>241</v>
      </c>
      <c r="E7" s="128" t="s">
        <v>242</v>
      </c>
      <c r="F7" s="307"/>
    </row>
    <row r="8" spans="1:6" ht="13.5" customHeight="1">
      <c r="A8" s="309" t="s">
        <v>10</v>
      </c>
      <c r="B8" s="311" t="s">
        <v>13</v>
      </c>
      <c r="C8" s="42" t="s">
        <v>160</v>
      </c>
      <c r="D8" s="43">
        <f>COUNTIFS(Pama!$F$12:$F$76,"EX2600-6")</f>
        <v>0</v>
      </c>
      <c r="E8" s="43">
        <f>COUNTIFS(Pama!$F$12:$F$76,C8,Pama!$R$12:$R$76,"PAMA")</f>
        <v>0</v>
      </c>
      <c r="F8" s="254"/>
    </row>
    <row r="9" spans="1:6" ht="13.5" customHeight="1">
      <c r="A9" s="309"/>
      <c r="B9" s="311"/>
      <c r="C9" s="42" t="s">
        <v>18</v>
      </c>
      <c r="D9" s="43">
        <f>COUNTIFS(Pama!$F$12:$F$76,"PC2000-8")</f>
        <v>11</v>
      </c>
      <c r="E9" s="43">
        <f>COUNTIFS(Pama!$F$12:$F$76,C9,Pama!$R$12:$R$76,"PAMA")</f>
        <v>11</v>
      </c>
      <c r="F9" s="254"/>
    </row>
    <row r="10" spans="1:6" ht="13.5" customHeight="1">
      <c r="A10" s="309"/>
      <c r="B10" s="311"/>
      <c r="C10" s="42" t="s">
        <v>17</v>
      </c>
      <c r="D10" s="43">
        <f>COUNTIFS(Pama!$F$12:$F$76,"PC1250SP8")</f>
        <v>3</v>
      </c>
      <c r="E10" s="43">
        <f>COUNTIFS(Pama!$F$12:$F$76,C10,Pama!$R$12:$R$76,"PAMA")</f>
        <v>3</v>
      </c>
      <c r="F10" s="254"/>
    </row>
    <row r="11" spans="1:6" ht="13.5" customHeight="1">
      <c r="A11" s="309"/>
      <c r="B11" s="311"/>
      <c r="C11" s="42" t="s">
        <v>452</v>
      </c>
      <c r="D11" s="43">
        <f>COUNTIFS(Pama!$F$12:$F$76,"EX1200")</f>
        <v>1</v>
      </c>
      <c r="E11" s="43">
        <f>COUNTIFS(Pama!$F$12:$F$76,C11,Pama!$R$12:$R$76,"PAMA")</f>
        <v>1</v>
      </c>
      <c r="F11" s="254"/>
    </row>
    <row r="12" spans="1:6" ht="13.5" customHeight="1">
      <c r="A12" s="309"/>
      <c r="B12" s="311"/>
      <c r="C12" s="42" t="s">
        <v>564</v>
      </c>
      <c r="D12" s="43">
        <f>COUNTIFS(Pama!$F$12:$F$76,"PC 800")</f>
        <v>0</v>
      </c>
      <c r="E12" s="43">
        <f>COUNTIFS(Pama!$F$12:$F$76,C12,Pama!$R$12:$R$76,"PAMA")</f>
        <v>0</v>
      </c>
      <c r="F12" s="254"/>
    </row>
    <row r="13" spans="1:6" ht="13.5" customHeight="1">
      <c r="A13" s="309"/>
      <c r="B13" s="312"/>
      <c r="C13" s="122" t="s">
        <v>243</v>
      </c>
      <c r="D13" s="122">
        <f>SUM(D8:D12)</f>
        <v>15</v>
      </c>
      <c r="E13" s="122">
        <f>SUM(E8:E12)</f>
        <v>15</v>
      </c>
      <c r="F13" s="48"/>
    </row>
    <row r="14" spans="1:6" ht="13.5" customHeight="1">
      <c r="A14" s="309"/>
      <c r="B14" s="301" t="s">
        <v>25</v>
      </c>
      <c r="C14" s="42" t="s">
        <v>30</v>
      </c>
      <c r="D14" s="43">
        <f>COUNTIF(Pama!$F$126:$F$10511,"HD785-7")</f>
        <v>196</v>
      </c>
      <c r="E14" s="43">
        <f>COUNTIFS(Pama!$F$126:$F$899,C14,Pama!$R$126:$R$899,"PAMA")</f>
        <v>171</v>
      </c>
      <c r="F14" s="44"/>
    </row>
    <row r="15" spans="1:6" ht="13.5" customHeight="1">
      <c r="A15" s="309"/>
      <c r="B15" s="301"/>
      <c r="C15" s="42" t="s">
        <v>28</v>
      </c>
      <c r="D15" s="43">
        <f>COUNTIF(Pama!$F$126:$F$899,"HD785-7 Mud")</f>
        <v>17</v>
      </c>
      <c r="E15" s="43">
        <f>COUNTIFS(Pama!$F$126:$F$899,C15,Pama!$R$126:$R$899,"PAMA")</f>
        <v>16</v>
      </c>
      <c r="F15" s="44"/>
    </row>
    <row r="16" spans="1:6" ht="13.5" customHeight="1">
      <c r="A16" s="309"/>
      <c r="B16" s="301"/>
      <c r="C16" s="122" t="s">
        <v>243</v>
      </c>
      <c r="D16" s="122">
        <f>SUM(D14:D15)</f>
        <v>213</v>
      </c>
      <c r="E16" s="122">
        <f>SUM(E14:E15)</f>
        <v>187</v>
      </c>
      <c r="F16" s="48"/>
    </row>
    <row r="17" spans="1:6" ht="13.5" customHeight="1">
      <c r="A17" s="309"/>
      <c r="B17" s="314" t="s">
        <v>206</v>
      </c>
      <c r="C17" s="49" t="s">
        <v>97</v>
      </c>
      <c r="D17" s="50">
        <f>COUNTIF(Pama!$F$904:$F$10511,"WA600-3")</f>
        <v>1</v>
      </c>
      <c r="E17" s="43">
        <f>COUNTIFS(Pama!$F$904:$F$10511,C17,Pama!$R$904:$R$10511,"PAMA")</f>
        <v>1</v>
      </c>
      <c r="F17" s="51" t="s">
        <v>247</v>
      </c>
    </row>
    <row r="18" spans="1:6" ht="13.5" customHeight="1">
      <c r="A18" s="309"/>
      <c r="B18" s="311"/>
      <c r="C18" s="42" t="s">
        <v>102</v>
      </c>
      <c r="D18" s="43">
        <f>COUNTIF(Pama!$F$904:$F$10511,"WA380")</f>
        <v>1</v>
      </c>
      <c r="E18" s="43">
        <f>COUNTIFS(Pama!$F$904:$F$10511,C18,Pama!$R$904:$R$10511,"PAMA")</f>
        <v>1</v>
      </c>
      <c r="F18" s="44" t="s">
        <v>247</v>
      </c>
    </row>
    <row r="19" spans="1:6" ht="13.5" customHeight="1">
      <c r="A19" s="309"/>
      <c r="B19" s="311"/>
      <c r="C19" s="42" t="s">
        <v>116</v>
      </c>
      <c r="D19" s="43">
        <f>COUNTIF(Pama!$F$904:$F$10511,"D155A6A")</f>
        <v>17</v>
      </c>
      <c r="E19" s="43">
        <f>COUNTIFS(Pama!$F$904:$F$10511,C19,Pama!$R$904:$R$10511,"PAMA")</f>
        <v>16</v>
      </c>
      <c r="F19" s="44" t="s">
        <v>232</v>
      </c>
    </row>
    <row r="20" spans="1:6" ht="13.5" customHeight="1">
      <c r="A20" s="309"/>
      <c r="B20" s="311"/>
      <c r="C20" s="42" t="s">
        <v>123</v>
      </c>
      <c r="D20" s="43">
        <f>COUNTIF(Pama!$F$904:$F$10511,"D155A6R")</f>
        <v>5</v>
      </c>
      <c r="E20" s="43">
        <f>COUNTIFS(Pama!$F$904:$F$10511,C20,Pama!$R$904:$R$10511,"PAMA")</f>
        <v>5</v>
      </c>
      <c r="F20" s="44" t="s">
        <v>232</v>
      </c>
    </row>
    <row r="21" spans="1:6" ht="13.5" customHeight="1">
      <c r="A21" s="309"/>
      <c r="B21" s="311"/>
      <c r="C21" s="42" t="s">
        <v>126</v>
      </c>
      <c r="D21" s="43">
        <f>COUNTIF(Pama!$F$904:$F$10511,"D375A-5")</f>
        <v>3</v>
      </c>
      <c r="E21" s="43">
        <f>COUNTIFS(Pama!$F$904:$F$10511,C21,Pama!$R$904:$R$10511,"PAMA")</f>
        <v>3</v>
      </c>
      <c r="F21" s="44" t="s">
        <v>232</v>
      </c>
    </row>
    <row r="22" spans="1:6" ht="13.5" customHeight="1">
      <c r="A22" s="309"/>
      <c r="B22" s="311"/>
      <c r="C22" s="42" t="s">
        <v>131</v>
      </c>
      <c r="D22" s="43">
        <f>COUNTIF(Pama!$F$904:$F$10511,"D375A-6R")</f>
        <v>9</v>
      </c>
      <c r="E22" s="43">
        <f>COUNTIFS(Pama!$F$904:$F$10511,C22,Pama!$R$904:$R$10511,"PAMA")</f>
        <v>9</v>
      </c>
      <c r="F22" s="44" t="s">
        <v>232</v>
      </c>
    </row>
    <row r="23" spans="1:6" ht="13.5" customHeight="1">
      <c r="A23" s="309"/>
      <c r="B23" s="311"/>
      <c r="C23" s="42" t="s">
        <v>136</v>
      </c>
      <c r="D23" s="43">
        <f>COUNTIF(Pama!$F$904:$F$10511,"GD825A-2")</f>
        <v>19</v>
      </c>
      <c r="E23" s="43">
        <f>COUNTIFS(Pama!$F$904:$F$10511,C23,Pama!$R$904:$R$10511,"PAMA")</f>
        <v>18</v>
      </c>
      <c r="F23" s="44" t="s">
        <v>244</v>
      </c>
    </row>
    <row r="24" spans="1:6" ht="13.5" customHeight="1">
      <c r="A24" s="309"/>
      <c r="B24" s="311"/>
      <c r="C24" s="42" t="s">
        <v>228</v>
      </c>
      <c r="D24" s="43">
        <f>COUNTIF(Pama!$F$904:$F$10511,"Water Truck")</f>
        <v>11</v>
      </c>
      <c r="E24" s="43"/>
      <c r="F24" s="44" t="s">
        <v>228</v>
      </c>
    </row>
    <row r="25" spans="1:6" ht="13.5" customHeight="1">
      <c r="A25" s="309"/>
      <c r="B25" s="311"/>
      <c r="C25" s="42" t="s">
        <v>233</v>
      </c>
      <c r="D25" s="43">
        <f>COUNTIF(Pama!$H$904:$H$10511,"Drilling")</f>
        <v>6</v>
      </c>
      <c r="E25" s="43"/>
      <c r="F25" s="44" t="s">
        <v>233</v>
      </c>
    </row>
    <row r="26" spans="1:6" ht="13.5" customHeight="1">
      <c r="A26" s="309"/>
      <c r="B26" s="311"/>
      <c r="C26" s="45" t="s">
        <v>155</v>
      </c>
      <c r="D26" s="43">
        <f>COUNTIF(Pama!$F$904:$F$10511,"Water Pump")</f>
        <v>67</v>
      </c>
      <c r="E26" s="43"/>
      <c r="F26" s="44" t="s">
        <v>155</v>
      </c>
    </row>
    <row r="27" spans="1:6" ht="13.5" customHeight="1">
      <c r="A27" s="309"/>
      <c r="B27" s="311"/>
      <c r="C27" s="45" t="s">
        <v>156</v>
      </c>
      <c r="D27" s="43">
        <f>COUNTIF(Pama!$F$904:$F$10511,"Mud Pump")</f>
        <v>3</v>
      </c>
      <c r="E27" s="46"/>
      <c r="F27" s="47" t="s">
        <v>156</v>
      </c>
    </row>
    <row r="28" spans="1:6" ht="13.5" customHeight="1">
      <c r="A28" s="309"/>
      <c r="B28" s="311"/>
      <c r="C28" s="45" t="s">
        <v>330</v>
      </c>
      <c r="D28" s="43">
        <f>COUNTIF(Pama!$F$904:$F$10511,"ANFO Truck")</f>
        <v>5</v>
      </c>
      <c r="E28" s="46"/>
      <c r="F28" s="47" t="s">
        <v>154</v>
      </c>
    </row>
    <row r="29" spans="1:6" ht="13.5" customHeight="1">
      <c r="A29" s="309"/>
      <c r="B29" s="311"/>
      <c r="C29" s="45" t="s">
        <v>150</v>
      </c>
      <c r="D29" s="43">
        <f>COUNTIF(Pama!$F$904:$F$10511,"Fuel Truck")</f>
        <v>17</v>
      </c>
      <c r="E29" s="46"/>
      <c r="F29" s="47" t="s">
        <v>150</v>
      </c>
    </row>
    <row r="30" spans="1:6" ht="13.5" customHeight="1">
      <c r="A30" s="309"/>
      <c r="B30" s="311"/>
      <c r="C30" s="45" t="s">
        <v>153</v>
      </c>
      <c r="D30" s="43">
        <f>COUNTIF(Pama!$F$904:$F$10511,"Lubrication Truck")</f>
        <v>11</v>
      </c>
      <c r="E30" s="46"/>
      <c r="F30" s="47" t="s">
        <v>153</v>
      </c>
    </row>
    <row r="31" spans="1:6" ht="13.5" customHeight="1">
      <c r="A31" s="309"/>
      <c r="B31" s="311"/>
      <c r="C31" s="45" t="s">
        <v>332</v>
      </c>
      <c r="D31" s="43">
        <f>COUNTIF(Pama!$F$904:$F$10511,"Crane Truck")</f>
        <v>6</v>
      </c>
      <c r="E31" s="46"/>
      <c r="F31" s="47" t="s">
        <v>332</v>
      </c>
    </row>
    <row r="32" spans="1:6" ht="13.5" customHeight="1">
      <c r="A32" s="309"/>
      <c r="B32" s="311"/>
      <c r="C32" s="45" t="s">
        <v>333</v>
      </c>
      <c r="D32" s="43">
        <f>COUNTIF(Pama!$F$904:$F$10511,"Forklift")</f>
        <v>3</v>
      </c>
      <c r="E32" s="46"/>
      <c r="F32" s="47" t="s">
        <v>333</v>
      </c>
    </row>
    <row r="33" spans="1:6" ht="13.5" customHeight="1" thickBot="1">
      <c r="A33" s="313"/>
      <c r="B33" s="315"/>
      <c r="C33" s="45" t="s">
        <v>335</v>
      </c>
      <c r="D33" s="43">
        <f>COUNTIF(Pama!$F$904:$F$10511,"Tower Lamp")+COUNTIF(Pama!$F$904:$F$10511,"Mega Tower")+COUNTIF(Pama!$F$1:$F$10511,"Mini Tower")</f>
        <v>62</v>
      </c>
      <c r="E33" s="46"/>
      <c r="F33" s="47" t="s">
        <v>335</v>
      </c>
    </row>
    <row r="34" spans="1:6" ht="13.5" hidden="1" customHeight="1" thickTop="1">
      <c r="A34" s="308" t="s">
        <v>245</v>
      </c>
      <c r="B34" s="310" t="s">
        <v>13</v>
      </c>
      <c r="C34" s="39" t="s">
        <v>405</v>
      </c>
      <c r="D34" s="40">
        <f>(COUNTIF(Buma!$F$11:$F$18,"6020B"))</f>
        <v>4</v>
      </c>
      <c r="E34" s="40"/>
      <c r="F34" s="41"/>
    </row>
    <row r="35" spans="1:6" ht="13.5" hidden="1" customHeight="1">
      <c r="A35" s="309"/>
      <c r="B35" s="311"/>
      <c r="C35" s="42" t="s">
        <v>18</v>
      </c>
      <c r="D35" s="43">
        <f>(COUNTIF(Buma!$F$11:$F$18,"PC2000-8"))</f>
        <v>1</v>
      </c>
      <c r="E35" s="43"/>
      <c r="F35" s="44"/>
    </row>
    <row r="36" spans="1:6" ht="13.5" hidden="1" customHeight="1">
      <c r="A36" s="309"/>
      <c r="B36" s="311"/>
      <c r="C36" s="42" t="s">
        <v>326</v>
      </c>
      <c r="D36" s="43">
        <f>(COUNTIF(Buma!$F$11:$F$18,"6015B"))</f>
        <v>3</v>
      </c>
      <c r="E36" s="43"/>
      <c r="F36" s="44"/>
    </row>
    <row r="37" spans="1:6" ht="13.5" hidden="1" customHeight="1">
      <c r="A37" s="309"/>
      <c r="B37" s="312"/>
      <c r="C37" s="122" t="s">
        <v>243</v>
      </c>
      <c r="D37" s="122">
        <f>SUM(D34:D36)</f>
        <v>8</v>
      </c>
      <c r="E37" s="122">
        <f>SUM(E34:E36)</f>
        <v>0</v>
      </c>
      <c r="F37" s="48"/>
    </row>
    <row r="38" spans="1:6" hidden="1">
      <c r="A38" s="309"/>
      <c r="B38" s="311" t="s">
        <v>25</v>
      </c>
      <c r="C38" s="42" t="s">
        <v>358</v>
      </c>
      <c r="D38" s="43">
        <f>(COUNTIF(Buma!$F$23:$F$75,"OHT-777E"))</f>
        <v>34</v>
      </c>
      <c r="E38" s="43"/>
      <c r="F38" s="44"/>
    </row>
    <row r="39" spans="1:6" hidden="1">
      <c r="A39" s="309"/>
      <c r="B39" s="311"/>
      <c r="C39" s="42" t="s">
        <v>30</v>
      </c>
      <c r="D39" s="43">
        <f>(COUNTIF(Buma!$F$23:$F$75,"HD785-7"))</f>
        <v>19</v>
      </c>
      <c r="E39" s="43"/>
      <c r="F39" s="44"/>
    </row>
    <row r="40" spans="1:6" hidden="1">
      <c r="A40" s="309"/>
      <c r="B40" s="311"/>
      <c r="C40" s="42" t="s">
        <v>511</v>
      </c>
      <c r="D40" s="43">
        <f>(COUNTIF(Buma!$F$23:$F$75,"OHT-777D"))</f>
        <v>0</v>
      </c>
      <c r="E40" s="46"/>
      <c r="F40" s="47"/>
    </row>
    <row r="41" spans="1:6" hidden="1">
      <c r="A41" s="309"/>
      <c r="B41" s="312"/>
      <c r="C41" s="122" t="s">
        <v>243</v>
      </c>
      <c r="D41" s="122">
        <f>SUM(D38:D40)</f>
        <v>53</v>
      </c>
      <c r="E41" s="122">
        <f>SUM(E38:E39)</f>
        <v>0</v>
      </c>
      <c r="F41" s="48"/>
    </row>
    <row r="42" spans="1:6" hidden="1">
      <c r="A42" s="309"/>
      <c r="B42" s="311" t="s">
        <v>206</v>
      </c>
      <c r="C42" s="42" t="s">
        <v>126</v>
      </c>
      <c r="D42" s="43">
        <f>(COUNTIF(Buma!$F$86:$F$113,"D375A-5"))</f>
        <v>0</v>
      </c>
      <c r="E42" s="43"/>
      <c r="F42" s="44" t="s">
        <v>232</v>
      </c>
    </row>
    <row r="43" spans="1:6" hidden="1">
      <c r="A43" s="309"/>
      <c r="B43" s="311"/>
      <c r="C43" s="42" t="s">
        <v>212</v>
      </c>
      <c r="D43" s="43">
        <f>(COUNTIF(Buma!$F$86:$F$113,"D375-6R"))</f>
        <v>3</v>
      </c>
      <c r="E43" s="43"/>
      <c r="F43" s="44" t="s">
        <v>232</v>
      </c>
    </row>
    <row r="44" spans="1:6" hidden="1">
      <c r="A44" s="309"/>
      <c r="B44" s="311"/>
      <c r="C44" s="42" t="s">
        <v>209</v>
      </c>
      <c r="D44" s="43">
        <f>(COUNTIF(Buma!$F$86:$F$113,"D155A-6"))</f>
        <v>6</v>
      </c>
      <c r="E44" s="43"/>
      <c r="F44" s="44" t="s">
        <v>232</v>
      </c>
    </row>
    <row r="45" spans="1:6" hidden="1">
      <c r="A45" s="309"/>
      <c r="B45" s="311"/>
      <c r="C45" s="42" t="s">
        <v>113</v>
      </c>
      <c r="D45" s="43">
        <f>(COUNTIF(Buma!$F$86:$F$113,"D85ESS-2"))</f>
        <v>2</v>
      </c>
      <c r="E45" s="43"/>
      <c r="F45" s="44" t="s">
        <v>232</v>
      </c>
    </row>
    <row r="46" spans="1:6" hidden="1">
      <c r="A46" s="309"/>
      <c r="B46" s="311"/>
      <c r="C46" s="42" t="s">
        <v>136</v>
      </c>
      <c r="D46" s="43">
        <f>(COUNTIF(Buma!$F$86:$F$113,"GD825A-2"))</f>
        <v>6</v>
      </c>
      <c r="E46" s="43"/>
      <c r="F46" s="44" t="s">
        <v>244</v>
      </c>
    </row>
    <row r="47" spans="1:6" hidden="1">
      <c r="A47" s="309"/>
      <c r="B47" s="311"/>
      <c r="C47" s="45" t="s">
        <v>216</v>
      </c>
      <c r="D47" s="46">
        <f>(COUNTIF(Buma!$F$86:$F$113,"WD600-3"))</f>
        <v>2</v>
      </c>
      <c r="E47" s="46"/>
      <c r="F47" s="47" t="s">
        <v>247</v>
      </c>
    </row>
    <row r="48" spans="1:6" hidden="1">
      <c r="A48" s="309"/>
      <c r="B48" s="311"/>
      <c r="C48" s="42" t="s">
        <v>228</v>
      </c>
      <c r="D48" s="43">
        <f>(COUNTIF(Buma!$H$86:$H$113,"Spraying"))</f>
        <v>3</v>
      </c>
      <c r="E48" s="43"/>
      <c r="F48" s="44" t="s">
        <v>228</v>
      </c>
    </row>
    <row r="49" spans="1:6" hidden="1">
      <c r="A49" s="309"/>
      <c r="B49" s="311"/>
      <c r="C49" s="45" t="s">
        <v>233</v>
      </c>
      <c r="D49" s="43">
        <f>(COUNTIF(Buma!$H$86:$H$113,"Drilling"))</f>
        <v>2</v>
      </c>
      <c r="E49" s="46"/>
      <c r="F49" s="47" t="s">
        <v>233</v>
      </c>
    </row>
    <row r="50" spans="1:6" hidden="1">
      <c r="A50" s="309"/>
      <c r="B50" s="311"/>
      <c r="C50" s="45" t="s">
        <v>155</v>
      </c>
      <c r="D50" s="43">
        <f>(COUNTIF(Buma!$H$86:$H$113,"Pumping"))</f>
        <v>3</v>
      </c>
      <c r="E50" s="46"/>
      <c r="F50" s="47" t="s">
        <v>155</v>
      </c>
    </row>
    <row r="51" spans="1:6" hidden="1">
      <c r="A51" s="309"/>
      <c r="B51" s="311"/>
      <c r="C51" s="45" t="s">
        <v>457</v>
      </c>
      <c r="D51" s="43">
        <f>(COUNTIF(Buma!$H$86:$H$113,"W/Dozing"))</f>
        <v>2</v>
      </c>
      <c r="E51" s="46"/>
      <c r="F51" s="47" t="s">
        <v>457</v>
      </c>
    </row>
    <row r="52" spans="1:6" ht="13.5" hidden="1" thickBot="1">
      <c r="A52" s="309"/>
      <c r="B52" s="311"/>
      <c r="C52" s="45" t="s">
        <v>334</v>
      </c>
      <c r="D52" s="43">
        <f>(COUNTIF(Buma!$H$86:$H$113,"V/Rolling"))</f>
        <v>0</v>
      </c>
      <c r="E52" s="46"/>
      <c r="F52" s="47" t="s">
        <v>334</v>
      </c>
    </row>
    <row r="53" spans="1:6" ht="13.5" thickTop="1">
      <c r="A53" s="308" t="s">
        <v>509</v>
      </c>
      <c r="B53" s="310" t="s">
        <v>13</v>
      </c>
      <c r="C53" s="39" t="s">
        <v>1002</v>
      </c>
      <c r="D53" s="40">
        <f>(COUNTIF(Sims!$F$11:$F$27,"2600"))</f>
        <v>1</v>
      </c>
      <c r="E53" s="40">
        <f>COUNTIFS(Sims!$F$12:$F$76,"2600",Sims!$R$12:$R$76,"Sims")</f>
        <v>0</v>
      </c>
      <c r="F53" s="41"/>
    </row>
    <row r="54" spans="1:6">
      <c r="A54" s="309"/>
      <c r="B54" s="311"/>
      <c r="C54" s="118" t="s">
        <v>12</v>
      </c>
      <c r="D54" s="119">
        <f>(COUNTIF(Sims!$F$11:$F$27,"2500-5"))</f>
        <v>3</v>
      </c>
      <c r="E54" s="119">
        <f>COUNTIFS(Sims!$F$12:$F$76,"2500-5",Sims!$R$12:$R$76,"Sims")</f>
        <v>3</v>
      </c>
      <c r="F54" s="120"/>
    </row>
    <row r="55" spans="1:6">
      <c r="A55" s="309"/>
      <c r="B55" s="311"/>
      <c r="C55" s="118" t="s">
        <v>14</v>
      </c>
      <c r="D55" s="119">
        <f>(COUNTIF(Sims!$F$11:$F$27,"2500-6"))</f>
        <v>5</v>
      </c>
      <c r="E55" s="119">
        <f>COUNTIFS(Sims!$F$12:$F$76,"2500-6",Sims!$R$12:$R$76,"Sims")</f>
        <v>4</v>
      </c>
      <c r="F55" s="120"/>
    </row>
    <row r="56" spans="1:6">
      <c r="A56" s="309"/>
      <c r="B56" s="311"/>
      <c r="C56" s="42" t="s">
        <v>172</v>
      </c>
      <c r="D56" s="43">
        <f>(COUNTIF(Sims!$F$11:$F$27,"2000-8"))</f>
        <v>4</v>
      </c>
      <c r="E56" s="43">
        <f>COUNTIFS(Sims!$F$12:$F$76,"2000-8",Sims!$R$12:$R$76,"Sims")</f>
        <v>2</v>
      </c>
      <c r="F56" s="44"/>
    </row>
    <row r="57" spans="1:6">
      <c r="A57" s="309"/>
      <c r="B57" s="311"/>
      <c r="C57" s="42" t="s">
        <v>229</v>
      </c>
      <c r="D57" s="43">
        <f>(COUNTIF(Sims!$F$11:$F$27,"1900-6"))</f>
        <v>1</v>
      </c>
      <c r="E57" s="43">
        <f>COUNTIFS(Sims!$F$12:$F$76,"1900-6",Sims!$R$12:$R$76,"Sims")</f>
        <v>1</v>
      </c>
      <c r="F57" s="44"/>
    </row>
    <row r="58" spans="1:6">
      <c r="A58" s="309"/>
      <c r="B58" s="311"/>
      <c r="C58" s="42" t="s">
        <v>165</v>
      </c>
      <c r="D58" s="43">
        <f>(COUNTIF(Sims!$F$11:$F$27,"1200-5C"))</f>
        <v>0</v>
      </c>
      <c r="E58" s="43">
        <f>COUNTIFS(Sims!$F$12:$F$76,"1200-5C",Sims!$R$12:$R$76,"Sims")</f>
        <v>0</v>
      </c>
      <c r="F58" s="44"/>
    </row>
    <row r="59" spans="1:6">
      <c r="A59" s="309"/>
      <c r="B59" s="311"/>
      <c r="C59" s="42" t="s">
        <v>230</v>
      </c>
      <c r="D59" s="43">
        <f>(COUNTIF(Sims!$F$11:$F$27,"1200-6C"))</f>
        <v>2</v>
      </c>
      <c r="E59" s="43">
        <f>COUNTIFS(Sims!$F$12:$F$76,"1200-6C",Sims!$R$12:$R$76,"Sims")</f>
        <v>0</v>
      </c>
      <c r="F59" s="44"/>
    </row>
    <row r="60" spans="1:6">
      <c r="A60" s="309"/>
      <c r="B60" s="312"/>
      <c r="C60" s="122" t="s">
        <v>243</v>
      </c>
      <c r="D60" s="122">
        <f>SUM(D53:D59)</f>
        <v>16</v>
      </c>
      <c r="E60" s="122">
        <f>SUM(E53:E59)</f>
        <v>10</v>
      </c>
      <c r="F60" s="48"/>
    </row>
    <row r="61" spans="1:6">
      <c r="A61" s="309"/>
      <c r="B61" s="301" t="s">
        <v>25</v>
      </c>
      <c r="C61" s="49" t="s">
        <v>27</v>
      </c>
      <c r="D61" s="43">
        <f>(COUNTIF(Sims!$F$32:$F$174,"785-5"))</f>
        <v>15</v>
      </c>
      <c r="E61" s="50">
        <f>COUNTIFS(Sims!$F$30:$F$9999,"785-5",Sims!$R$30:$R$9999,"Sims")</f>
        <v>0</v>
      </c>
      <c r="F61" s="51"/>
    </row>
    <row r="62" spans="1:6">
      <c r="A62" s="309"/>
      <c r="B62" s="301"/>
      <c r="C62" s="42" t="s">
        <v>30</v>
      </c>
      <c r="D62" s="43">
        <f>(COUNTIF(Sims!$F$32:$F$174,"785-7"))</f>
        <v>35</v>
      </c>
      <c r="E62" s="43">
        <f>COUNTIFS(Sims!$F$30:$F$9999,"785-7",Sims!$R$30:$R$9999,"Sims")</f>
        <v>19</v>
      </c>
      <c r="F62" s="44"/>
    </row>
    <row r="63" spans="1:6">
      <c r="A63" s="309"/>
      <c r="B63" s="301"/>
      <c r="C63" s="42" t="s">
        <v>167</v>
      </c>
      <c r="D63" s="43">
        <f>(COUNTIF(Sims!$F$32:$F$174,"777D"))</f>
        <v>4</v>
      </c>
      <c r="E63" s="43">
        <f>COUNTIFS(Sims!$F$30:$F$9999,"777D",Sims!$R$30:$R$9999,"Sims")</f>
        <v>3</v>
      </c>
      <c r="F63" s="44"/>
    </row>
    <row r="64" spans="1:6">
      <c r="A64" s="309"/>
      <c r="B64" s="301"/>
      <c r="C64" s="42" t="s">
        <v>403</v>
      </c>
      <c r="D64" s="43">
        <f>(COUNTIF(Sims!$F$32:$F$174," 777E"))</f>
        <v>20</v>
      </c>
      <c r="E64" s="43">
        <f>COUNTIFS(Sims!$F$30:$F$9999,"777E",Sims!$R$30:$R$9999,"Sims")</f>
        <v>0</v>
      </c>
      <c r="F64" s="44"/>
    </row>
    <row r="65" spans="1:6">
      <c r="A65" s="309"/>
      <c r="B65" s="301"/>
      <c r="C65" s="42" t="s">
        <v>510</v>
      </c>
      <c r="D65" s="43">
        <f>(COUNTIF(Sims!$F$32:$F$174," 773E"))</f>
        <v>0</v>
      </c>
      <c r="E65" s="43">
        <f>COUNTIFS(Sims!$F$30:$F$9999,"773E",Sims!$R$30:$R$9999,"Sims")</f>
        <v>0</v>
      </c>
      <c r="F65" s="44"/>
    </row>
    <row r="66" spans="1:6">
      <c r="A66" s="309"/>
      <c r="B66" s="301"/>
      <c r="C66" s="122" t="s">
        <v>243</v>
      </c>
      <c r="D66" s="122">
        <f>SUM(D61:D65)</f>
        <v>74</v>
      </c>
      <c r="E66" s="122">
        <f>SUM(E61:E65)</f>
        <v>22</v>
      </c>
      <c r="F66" s="48"/>
    </row>
    <row r="67" spans="1:6">
      <c r="A67" s="309"/>
      <c r="B67" s="314" t="s">
        <v>206</v>
      </c>
      <c r="C67" s="124" t="s">
        <v>169</v>
      </c>
      <c r="D67" s="50">
        <f>(COUNTIF(Sims!$F$179:$F$268,"D9R"))</f>
        <v>13</v>
      </c>
      <c r="E67" s="43">
        <f>COUNTIFS(Sims!$F$30:$F$9999,C67,Sims!$R$30:$R$9999,"Sims")</f>
        <v>1</v>
      </c>
      <c r="F67" s="51" t="s">
        <v>232</v>
      </c>
    </row>
    <row r="68" spans="1:6">
      <c r="A68" s="309"/>
      <c r="B68" s="311"/>
      <c r="C68" s="118" t="s">
        <v>174</v>
      </c>
      <c r="D68" s="119">
        <f>(COUNTIF(Sims!$F$179:$F$268,"D7G"))</f>
        <v>7</v>
      </c>
      <c r="E68" s="119">
        <f>COUNTIFS(Sims!$F$30:$F$9999,C68,Sims!$R$30:$R$9999,"Sims")</f>
        <v>0</v>
      </c>
      <c r="F68" s="120" t="s">
        <v>232</v>
      </c>
    </row>
    <row r="69" spans="1:6">
      <c r="A69" s="309"/>
      <c r="B69" s="311"/>
      <c r="C69" s="42" t="s">
        <v>168</v>
      </c>
      <c r="D69" s="43">
        <f>(COUNTIF(Sims!$F$179:$F$268,"D6R"))</f>
        <v>4</v>
      </c>
      <c r="E69" s="43">
        <f>COUNTIFS(Sims!$F$30:$F$9999,C69,Sims!$R$30:$R$9999,"Sims")</f>
        <v>2</v>
      </c>
      <c r="F69" s="44" t="s">
        <v>232</v>
      </c>
    </row>
    <row r="70" spans="1:6">
      <c r="A70" s="309"/>
      <c r="B70" s="311"/>
      <c r="C70" s="42" t="s">
        <v>170</v>
      </c>
      <c r="D70" s="43">
        <f>(COUNTIF(Sims!$F$179:$F$268,"D10R"))</f>
        <v>5</v>
      </c>
      <c r="E70" s="43">
        <f>COUNTIFS(Sims!$F$30:$F$9999,C70,Sims!$R$30:$R$9999,"Sims")</f>
        <v>0</v>
      </c>
      <c r="F70" s="44" t="s">
        <v>232</v>
      </c>
    </row>
    <row r="71" spans="1:6">
      <c r="A71" s="309"/>
      <c r="B71" s="311"/>
      <c r="C71" s="42" t="s">
        <v>209</v>
      </c>
      <c r="D71" s="43">
        <f>(COUNTIF(Sims!$F$179:$F$268,"155A-6"))</f>
        <v>9</v>
      </c>
      <c r="E71" s="43">
        <f>COUNTIFS(Sims!$F$30:$F$9999,"155A-6",Sims!$R$30:$R$9999,"Sims")</f>
        <v>3</v>
      </c>
      <c r="F71" s="44" t="s">
        <v>232</v>
      </c>
    </row>
    <row r="72" spans="1:6">
      <c r="A72" s="309"/>
      <c r="B72" s="311"/>
      <c r="C72" s="42" t="s">
        <v>273</v>
      </c>
      <c r="D72" s="43">
        <f>(COUNTIF(Sims!$F$179:$F$268,"16H"))</f>
        <v>3</v>
      </c>
      <c r="E72" s="43">
        <f>COUNTIFS(Sims!$F$30:$F$9999,"16H",Sims!$R$30:$R$9999,"Sims")</f>
        <v>0</v>
      </c>
      <c r="F72" s="44" t="s">
        <v>244</v>
      </c>
    </row>
    <row r="73" spans="1:6">
      <c r="A73" s="309"/>
      <c r="B73" s="311"/>
      <c r="C73" s="42" t="s">
        <v>171</v>
      </c>
      <c r="D73" s="43">
        <f>(COUNTIF(Sims!$F$179:$F$268,"825A"))</f>
        <v>8</v>
      </c>
      <c r="E73" s="43">
        <f>COUNTIFS(Sims!$F$30:$F$9999,"825A",Sims!$R$30:$R$9999,"Sims")</f>
        <v>2</v>
      </c>
      <c r="F73" s="44" t="s">
        <v>244</v>
      </c>
    </row>
    <row r="74" spans="1:6">
      <c r="A74" s="309"/>
      <c r="B74" s="311"/>
      <c r="C74" s="42" t="s">
        <v>136</v>
      </c>
      <c r="D74" s="43">
        <f>(COUNTIF(Sims!$F$179:$F$268,"825A-2"))</f>
        <v>2</v>
      </c>
      <c r="E74" s="43">
        <f>COUNTIFS(Sims!$F$30:$F$9999,"825A-2",Sims!$R$30:$R$9999,"Sims")</f>
        <v>1</v>
      </c>
      <c r="F74" s="44" t="s">
        <v>244</v>
      </c>
    </row>
    <row r="75" spans="1:6">
      <c r="A75" s="309"/>
      <c r="B75" s="311"/>
      <c r="C75" s="42" t="s">
        <v>274</v>
      </c>
      <c r="D75" s="43">
        <f>(COUNTIF(Sims!$F$179:$F$268,"16M"))</f>
        <v>1</v>
      </c>
      <c r="E75" s="43">
        <f>COUNTIFS(Sims!$F$30:$F$9999,"16M",Sims!$R$30:$R$9999,"Sims")</f>
        <v>1</v>
      </c>
      <c r="F75" s="44" t="s">
        <v>244</v>
      </c>
    </row>
    <row r="76" spans="1:6">
      <c r="A76" s="309"/>
      <c r="B76" s="311"/>
      <c r="C76" s="42" t="s">
        <v>272</v>
      </c>
      <c r="D76" s="43">
        <f>(COUNTIF(Sims!$F$179:$F$268,"14H"))</f>
        <v>1</v>
      </c>
      <c r="E76" s="43">
        <f>COUNTIFS(Sims!$F$30:$F$9999,"14H",Sims!$R$30:$R$9999,"Sims")</f>
        <v>0</v>
      </c>
      <c r="F76" s="44" t="s">
        <v>244</v>
      </c>
    </row>
    <row r="77" spans="1:6">
      <c r="A77" s="309"/>
      <c r="B77" s="311"/>
      <c r="C77" s="42" t="s">
        <v>314</v>
      </c>
      <c r="D77" s="43">
        <f>(COUNTIF(Sims!$F$179:$F$268,"14M"))</f>
        <v>3</v>
      </c>
      <c r="E77" s="43">
        <f>COUNTIFS(Sims!$F$30:$F$9999,"14M",Sims!$R$30:$R$9999,"Sims")</f>
        <v>2</v>
      </c>
      <c r="F77" s="44" t="s">
        <v>244</v>
      </c>
    </row>
    <row r="78" spans="1:6">
      <c r="A78" s="309"/>
      <c r="B78" s="311"/>
      <c r="C78" s="42" t="s">
        <v>275</v>
      </c>
      <c r="D78" s="43">
        <f>(COUNTIF(Sims!$H$179:$H$268,"General"))</f>
        <v>14</v>
      </c>
      <c r="E78" s="43"/>
      <c r="F78" s="44" t="s">
        <v>231</v>
      </c>
    </row>
    <row r="79" spans="1:6">
      <c r="A79" s="309"/>
      <c r="B79" s="311"/>
      <c r="C79" s="42" t="s">
        <v>228</v>
      </c>
      <c r="D79" s="43">
        <f>(COUNTIF(Sims!$H$179:$H$268,"Watering"))</f>
        <v>15</v>
      </c>
      <c r="E79" s="43"/>
      <c r="F79" s="44" t="s">
        <v>228</v>
      </c>
    </row>
    <row r="80" spans="1:6" ht="13.5" thickBot="1">
      <c r="A80" s="313"/>
      <c r="B80" s="315"/>
      <c r="C80" s="122" t="s">
        <v>243</v>
      </c>
      <c r="D80" s="122">
        <f>SUM(D67:D79)</f>
        <v>85</v>
      </c>
      <c r="E80" s="122">
        <f>SUM(E67:E79)</f>
        <v>12</v>
      </c>
      <c r="F80" s="44"/>
    </row>
    <row r="81" spans="1:6" ht="13.5" thickTop="1">
      <c r="A81" s="318" t="s">
        <v>438</v>
      </c>
      <c r="B81" s="316" t="s">
        <v>13</v>
      </c>
      <c r="C81" s="39" t="s">
        <v>439</v>
      </c>
      <c r="D81" s="40" t="e">
        <f>(COUNTIF(#REF!,"ZX 470 LC-5G"))</f>
        <v>#REF!</v>
      </c>
      <c r="E81" s="43" t="e">
        <f>COUNTIFS(#REF!,"ZX 470 LC-5G",#REF!,"K2B")</f>
        <v>#REF!</v>
      </c>
      <c r="F81" s="41"/>
    </row>
    <row r="82" spans="1:6">
      <c r="A82" s="319"/>
      <c r="B82" s="301"/>
      <c r="C82" s="122" t="s">
        <v>243</v>
      </c>
      <c r="D82" s="122" t="e">
        <f>SUM(D81:D81)</f>
        <v>#REF!</v>
      </c>
      <c r="E82" s="122" t="e">
        <f>SUM(E81:E81)</f>
        <v>#REF!</v>
      </c>
      <c r="F82" s="48"/>
    </row>
    <row r="83" spans="1:6">
      <c r="A83" s="319"/>
      <c r="B83" s="301" t="s">
        <v>25</v>
      </c>
      <c r="C83" s="49" t="s">
        <v>431</v>
      </c>
      <c r="D83" s="43" t="e">
        <f>(COUNTIF(#REF!,"ACTROSS 3636"))</f>
        <v>#REF!</v>
      </c>
      <c r="E83" s="43" t="e">
        <f>COUNTIFS(#REF!,"ACTROSS 3636",#REF!,"K2B")</f>
        <v>#REF!</v>
      </c>
      <c r="F83" s="51"/>
    </row>
    <row r="84" spans="1:6">
      <c r="A84" s="319"/>
      <c r="B84" s="301"/>
      <c r="C84" s="122" t="s">
        <v>243</v>
      </c>
      <c r="D84" s="122" t="e">
        <f>SUM(D83:D83)</f>
        <v>#REF!</v>
      </c>
      <c r="E84" s="122" t="e">
        <f>SUM(E83:E83)</f>
        <v>#REF!</v>
      </c>
      <c r="F84" s="48"/>
    </row>
    <row r="85" spans="1:6">
      <c r="A85" s="319"/>
      <c r="B85" s="301" t="s">
        <v>206</v>
      </c>
      <c r="C85" s="49" t="s">
        <v>227</v>
      </c>
      <c r="D85" s="43" t="e">
        <f>(COUNTIF(#REF!,"D 85 E-SS"))</f>
        <v>#REF!</v>
      </c>
      <c r="E85" s="50" t="e">
        <f>COUNTIFS(#REF!,"D 85 E-SS",#REF!,"K2B")</f>
        <v>#REF!</v>
      </c>
      <c r="F85" s="51" t="s">
        <v>232</v>
      </c>
    </row>
    <row r="86" spans="1:6">
      <c r="A86" s="320"/>
      <c r="B86" s="317"/>
      <c r="C86" s="118" t="s">
        <v>440</v>
      </c>
      <c r="D86" s="43" t="e">
        <f>(COUNTIF(#REF!,"GD535-5"))</f>
        <v>#REF!</v>
      </c>
      <c r="E86" s="119" t="e">
        <f>COUNTIFS(#REF!,"GD535-5",#REF!,"K2B")</f>
        <v>#REF!</v>
      </c>
      <c r="F86" s="120" t="s">
        <v>244</v>
      </c>
    </row>
    <row r="87" spans="1:6">
      <c r="A87" s="320"/>
      <c r="B87" s="317"/>
      <c r="C87" s="118" t="s">
        <v>150</v>
      </c>
      <c r="D87" s="43" t="e">
        <f>(COUNTIF(#REF!,"Fueling"))</f>
        <v>#REF!</v>
      </c>
      <c r="E87" s="119"/>
      <c r="F87" s="120" t="s">
        <v>150</v>
      </c>
    </row>
    <row r="88" spans="1:6">
      <c r="A88" s="320"/>
      <c r="B88" s="317"/>
      <c r="C88" s="118" t="s">
        <v>228</v>
      </c>
      <c r="D88" s="43" t="e">
        <f>(COUNTIF(#REF!,"Spraying"))</f>
        <v>#REF!</v>
      </c>
      <c r="E88" s="119"/>
      <c r="F88" s="120" t="s">
        <v>228</v>
      </c>
    </row>
    <row r="89" spans="1:6">
      <c r="A89" s="320"/>
      <c r="B89" s="317"/>
      <c r="C89" s="118" t="s">
        <v>335</v>
      </c>
      <c r="D89" s="43" t="e">
        <f>(COUNTIF(#REF!,"Lighting"))</f>
        <v>#REF!</v>
      </c>
      <c r="E89" s="119"/>
      <c r="F89" s="120" t="s">
        <v>335</v>
      </c>
    </row>
    <row r="90" spans="1:6">
      <c r="A90" s="320"/>
      <c r="B90" s="317"/>
      <c r="C90" s="118" t="s">
        <v>549</v>
      </c>
      <c r="D90" s="43" t="e">
        <f>(COUNTIF(#REF!,"Light Vehicle"))</f>
        <v>#REF!</v>
      </c>
      <c r="E90" s="119"/>
      <c r="F90" s="120" t="s">
        <v>549</v>
      </c>
    </row>
    <row r="91" spans="1:6">
      <c r="A91" s="320"/>
      <c r="B91" s="317"/>
      <c r="C91" s="118" t="s">
        <v>454</v>
      </c>
      <c r="D91" s="43" t="e">
        <f>(COUNTIF(#REF!,"Manhaul"))</f>
        <v>#REF!</v>
      </c>
      <c r="E91" s="119"/>
      <c r="F91" s="120" t="s">
        <v>454</v>
      </c>
    </row>
    <row r="92" spans="1:6" ht="13.5" thickBot="1">
      <c r="A92" s="319"/>
      <c r="B92" s="301"/>
      <c r="C92" s="118" t="s">
        <v>157</v>
      </c>
      <c r="D92" s="43" t="e">
        <f>(COUNTIF(#REF!,"Genset"))</f>
        <v>#REF!</v>
      </c>
      <c r="E92" s="119"/>
      <c r="F92" s="120" t="s">
        <v>157</v>
      </c>
    </row>
    <row r="93" spans="1:6" ht="13.5" thickTop="1">
      <c r="A93" s="308" t="s">
        <v>567</v>
      </c>
      <c r="B93" s="316" t="s">
        <v>13</v>
      </c>
      <c r="C93" s="39" t="s">
        <v>160</v>
      </c>
      <c r="D93" s="40">
        <f>(COUNTIF(Petrosea!$F$1:$F$100041,"ex2600-6"))</f>
        <v>1</v>
      </c>
      <c r="E93" s="40">
        <f>COUNTIFS(Petrosea!$F$1:$F$84,C93,Petrosea!$R$1:$R$84,"PTP")</f>
        <v>0</v>
      </c>
      <c r="F93" s="41"/>
    </row>
    <row r="94" spans="1:6">
      <c r="A94" s="309"/>
      <c r="B94" s="312"/>
      <c r="C94" s="132" t="s">
        <v>14</v>
      </c>
      <c r="D94" s="43">
        <f>(COUNTIF(Petrosea!$F$1:$F$100041,"ex2500-6"))</f>
        <v>0</v>
      </c>
      <c r="E94" s="185">
        <f>COUNTIFS(Petrosea!$F$1:$F$84,C94,Petrosea!$R$1:$R$84,"PTP")</f>
        <v>0</v>
      </c>
      <c r="F94" s="133"/>
    </row>
    <row r="95" spans="1:6">
      <c r="A95" s="309"/>
      <c r="B95" s="301"/>
      <c r="C95" s="45" t="s">
        <v>18</v>
      </c>
      <c r="D95" s="185">
        <f>(COUNTIF(Petrosea!$F$1:$F$1041,"pc2000-8"))</f>
        <v>0</v>
      </c>
      <c r="E95" s="46">
        <f>COUNTIFS(Petrosea!$F$1:$F$84,C95,Petrosea!$R$1:$R$84,"PTP")</f>
        <v>0</v>
      </c>
      <c r="F95" s="47"/>
    </row>
    <row r="96" spans="1:6">
      <c r="A96" s="309"/>
      <c r="B96" s="317"/>
      <c r="C96" s="45" t="s">
        <v>305</v>
      </c>
      <c r="D96" s="46">
        <f>(COUNTIF(Petrosea!$F$1:$F$10041,"r9350"))</f>
        <v>0</v>
      </c>
      <c r="E96" s="46">
        <f>COUNTIFS(Petrosea!$F$1:$F$84,C96,Petrosea!$R$1:$R$84,"PTP")</f>
        <v>0</v>
      </c>
      <c r="F96" s="47"/>
    </row>
    <row r="97" spans="1:6">
      <c r="A97" s="309"/>
      <c r="B97" s="301"/>
      <c r="C97" s="122" t="s">
        <v>243</v>
      </c>
      <c r="D97" s="122">
        <f>SUM(D93:D96)</f>
        <v>1</v>
      </c>
      <c r="E97" s="122">
        <f>SUM(E93:E96)</f>
        <v>0</v>
      </c>
      <c r="F97" s="48"/>
    </row>
    <row r="98" spans="1:6">
      <c r="A98" s="309"/>
      <c r="B98" s="301" t="s">
        <v>25</v>
      </c>
      <c r="C98" s="49" t="s">
        <v>173</v>
      </c>
      <c r="D98" s="43">
        <f>(COUNTIF(Petrosea!$F$45:$F$213,"777D"))</f>
        <v>0</v>
      </c>
      <c r="E98" s="50">
        <f>COUNTIFS(Petrosea!$F$1:$F$10041,C98,Petrosea!$R$1:$R$10041,"PTP")</f>
        <v>0</v>
      </c>
      <c r="F98" s="51"/>
    </row>
    <row r="99" spans="1:6">
      <c r="A99" s="309"/>
      <c r="B99" s="301"/>
      <c r="C99" s="42" t="s">
        <v>338</v>
      </c>
      <c r="D99" s="43">
        <f>(COUNTIF(Petrosea!$F$45:$F$213,"777E"))</f>
        <v>0</v>
      </c>
      <c r="E99" s="43">
        <f>COUNTIFS(Petrosea!$F$1:$F$10041,C99,Petrosea!$R$1:$R$10041,"PTP")</f>
        <v>0</v>
      </c>
      <c r="F99" s="44"/>
    </row>
    <row r="100" spans="1:6">
      <c r="A100" s="309"/>
      <c r="B100" s="301"/>
      <c r="C100" s="132" t="s">
        <v>30</v>
      </c>
      <c r="D100" s="185">
        <f>(COUNTIF(Petrosea!$F$45:$F$213,"hd785-7"))</f>
        <v>0</v>
      </c>
      <c r="E100" s="185">
        <f>COUNTIFS(Petrosea!$F$1:$F$10041,C100,Petrosea!$R$1:$R$10041,"PTP")</f>
        <v>0</v>
      </c>
      <c r="F100" s="133"/>
    </row>
    <row r="101" spans="1:6">
      <c r="A101" s="309"/>
      <c r="B101" s="301"/>
      <c r="C101" s="122" t="s">
        <v>243</v>
      </c>
      <c r="D101" s="122">
        <f>SUM(D98:D100)</f>
        <v>0</v>
      </c>
      <c r="E101" s="122">
        <f>SUM(E98:E100)</f>
        <v>0</v>
      </c>
      <c r="F101" s="48"/>
    </row>
    <row r="102" spans="1:6">
      <c r="A102" s="309"/>
      <c r="B102" s="314" t="s">
        <v>206</v>
      </c>
      <c r="C102" s="49" t="s">
        <v>441</v>
      </c>
      <c r="D102" s="50">
        <f>(COUNTIF(Petrosea!$H$219:$H$531,"GRADING"))</f>
        <v>13</v>
      </c>
      <c r="E102" s="50">
        <f>COUNTIFS(Petrosea!$H$1:$H$10041,"GRADING",Petrosea!$R$1:$R$10041,"PTP")</f>
        <v>6</v>
      </c>
      <c r="F102" s="51" t="s">
        <v>244</v>
      </c>
    </row>
    <row r="103" spans="1:6">
      <c r="A103" s="309"/>
      <c r="B103" s="311"/>
      <c r="C103" s="42" t="s">
        <v>268</v>
      </c>
      <c r="D103" s="43">
        <f>(COUNTIF(Petrosea!$H$219:$H$531,"dozing"))</f>
        <v>21</v>
      </c>
      <c r="E103" s="43">
        <f>COUNTIFS(Petrosea!$H$1:$H$10041,"dozing",Petrosea!$R$1:$R$10041,"PTP")</f>
        <v>14</v>
      </c>
      <c r="F103" s="44" t="s">
        <v>232</v>
      </c>
    </row>
    <row r="104" spans="1:6">
      <c r="A104" s="309"/>
      <c r="B104" s="311"/>
      <c r="C104" s="42" t="s">
        <v>247</v>
      </c>
      <c r="D104" s="43">
        <f>(COUNTIF(Petrosea!$H$219:$H$531,"loader"))</f>
        <v>3</v>
      </c>
      <c r="E104" s="43"/>
      <c r="F104" s="44" t="s">
        <v>247</v>
      </c>
    </row>
    <row r="105" spans="1:6" hidden="1">
      <c r="A105" s="309"/>
      <c r="B105" s="311"/>
      <c r="C105" s="42" t="s">
        <v>228</v>
      </c>
      <c r="D105" s="43">
        <f>(COUNTIF(Petrosea!$H$219:$H$531,"Spraying"))</f>
        <v>0</v>
      </c>
      <c r="E105" s="43"/>
      <c r="F105" s="44" t="s">
        <v>228</v>
      </c>
    </row>
    <row r="106" spans="1:6" ht="13.5" hidden="1" customHeight="1">
      <c r="A106" s="309"/>
      <c r="B106" s="311"/>
      <c r="C106" s="42" t="s">
        <v>150</v>
      </c>
      <c r="D106" s="43">
        <f>(COUNTIF(Petrosea!$H$219:$H$531,"Fueling"))</f>
        <v>0</v>
      </c>
      <c r="E106" s="43"/>
      <c r="F106" s="44" t="s">
        <v>150</v>
      </c>
    </row>
    <row r="107" spans="1:6">
      <c r="A107" s="309"/>
      <c r="B107" s="311"/>
      <c r="C107" s="45" t="s">
        <v>335</v>
      </c>
      <c r="D107" s="43">
        <f>(COUNTIF(Petrosea!$H$219:$H$531,"Lighting"))</f>
        <v>27</v>
      </c>
      <c r="E107" s="46"/>
      <c r="F107" s="47" t="s">
        <v>335</v>
      </c>
    </row>
    <row r="108" spans="1:6">
      <c r="A108" s="309"/>
      <c r="B108" s="311"/>
      <c r="C108" s="45" t="s">
        <v>155</v>
      </c>
      <c r="D108" s="43">
        <f>(COUNTIF(Petrosea!$H$219:$H$531,"Pump"))</f>
        <v>48</v>
      </c>
      <c r="E108" s="46"/>
      <c r="F108" s="47" t="s">
        <v>155</v>
      </c>
    </row>
    <row r="109" spans="1:6">
      <c r="A109" s="309"/>
      <c r="B109" s="311"/>
      <c r="C109" s="45" t="s">
        <v>568</v>
      </c>
      <c r="D109" s="43">
        <f>(COUNTIF(Petrosea!$H$219:$H$531,"Support Truck"))</f>
        <v>55</v>
      </c>
      <c r="E109" s="46"/>
      <c r="F109" s="235" t="s">
        <v>570</v>
      </c>
    </row>
    <row r="110" spans="1:6">
      <c r="A110" s="309"/>
      <c r="B110" s="311"/>
      <c r="C110" s="45" t="s">
        <v>276</v>
      </c>
      <c r="D110" s="43">
        <f>(COUNTIF(Petrosea!$H$219:$H$531,"Welder"))</f>
        <v>5</v>
      </c>
      <c r="E110" s="46"/>
      <c r="F110" s="47" t="s">
        <v>276</v>
      </c>
    </row>
    <row r="111" spans="1:6">
      <c r="A111" s="309"/>
      <c r="B111" s="311"/>
      <c r="C111" s="45" t="s">
        <v>234</v>
      </c>
      <c r="D111" s="43">
        <f>(COUNTIF(Petrosea!$H$219:$H$531,"Compressor"))</f>
        <v>29</v>
      </c>
      <c r="E111" s="46"/>
      <c r="F111" s="47" t="s">
        <v>234</v>
      </c>
    </row>
    <row r="112" spans="1:6">
      <c r="A112" s="309"/>
      <c r="B112" s="311"/>
      <c r="C112" s="45" t="s">
        <v>157</v>
      </c>
      <c r="D112" s="43">
        <f>(COUNTIF(Petrosea!$H$219:$H$531,"Genset"))</f>
        <v>47</v>
      </c>
      <c r="E112" s="46"/>
      <c r="F112" s="47" t="s">
        <v>157</v>
      </c>
    </row>
    <row r="113" spans="1:6">
      <c r="A113" s="309"/>
      <c r="B113" s="311"/>
      <c r="C113" s="45" t="s">
        <v>233</v>
      </c>
      <c r="D113" s="43">
        <f>(COUNTIF(Petrosea!$H$219:$H$531,"Drilling"))</f>
        <v>0</v>
      </c>
      <c r="E113" s="46"/>
      <c r="F113" s="47" t="s">
        <v>233</v>
      </c>
    </row>
    <row r="114" spans="1:6">
      <c r="A114" s="309"/>
      <c r="B114" s="311"/>
      <c r="C114" s="45" t="s">
        <v>569</v>
      </c>
      <c r="D114" s="43">
        <f>(COUNTIF(Petrosea!$H$219:$H$531,"Pontoon"))</f>
        <v>17</v>
      </c>
      <c r="E114" s="46"/>
      <c r="F114" s="47" t="s">
        <v>569</v>
      </c>
    </row>
    <row r="115" spans="1:6">
      <c r="A115" s="309"/>
      <c r="B115" s="311"/>
      <c r="C115" s="45" t="s">
        <v>549</v>
      </c>
      <c r="D115" s="43">
        <f>(COUNTIF(Petrosea!$H$219:$H$531,"LV"))</f>
        <v>34</v>
      </c>
      <c r="E115" s="46"/>
      <c r="F115" s="45" t="s">
        <v>549</v>
      </c>
    </row>
    <row r="116" spans="1:6">
      <c r="A116" s="309"/>
      <c r="B116" s="311"/>
      <c r="C116" s="45" t="s">
        <v>331</v>
      </c>
      <c r="D116" s="43">
        <f>(COUNTIF(Petrosea!$H$219:$H$531,"Compactor"))</f>
        <v>0</v>
      </c>
      <c r="E116" s="46"/>
      <c r="F116" s="45" t="s">
        <v>331</v>
      </c>
    </row>
    <row r="117" spans="1:6" ht="13.5" thickBot="1">
      <c r="A117" s="309"/>
      <c r="B117" s="311"/>
      <c r="C117" s="122" t="s">
        <v>243</v>
      </c>
      <c r="D117" s="122">
        <f>SUM(D102:D116)</f>
        <v>299</v>
      </c>
      <c r="E117" s="122">
        <f>SUM(E109:E113)</f>
        <v>0</v>
      </c>
      <c r="F117" s="47"/>
    </row>
    <row r="118" spans="1:6" ht="13.5" thickTop="1">
      <c r="A118" s="318" t="s">
        <v>435</v>
      </c>
      <c r="B118" s="316" t="s">
        <v>13</v>
      </c>
      <c r="C118" s="39" t="s">
        <v>1768</v>
      </c>
      <c r="D118" s="195">
        <f>(COUNTIF(Bima!$F$11:$F$35,C118))</f>
        <v>6</v>
      </c>
      <c r="E118" s="40">
        <f>COUNTIFS(Bima!$F$1:$F$10062,C118,Bima!$R$1:$R$10062,"Bima")</f>
        <v>2</v>
      </c>
      <c r="F118" s="41"/>
    </row>
    <row r="119" spans="1:6">
      <c r="A119" s="323"/>
      <c r="B119" s="312"/>
      <c r="C119" s="118" t="s">
        <v>1773</v>
      </c>
      <c r="D119" s="119">
        <f>(COUNTIF(Bima!$F$11:$F$35,C119))</f>
        <v>0</v>
      </c>
      <c r="E119" s="119">
        <f>COUNTIFS(Bima!$F$1:$F$10062,C119,Bima!$R$1:$R$10062,"Bima")</f>
        <v>0</v>
      </c>
      <c r="F119" s="120"/>
    </row>
    <row r="120" spans="1:6">
      <c r="A120" s="323"/>
      <c r="B120" s="312"/>
      <c r="C120" s="42" t="s">
        <v>1771</v>
      </c>
      <c r="D120" s="43">
        <f>(COUNTIF(Bima!$F$11:$F$35,C120))</f>
        <v>2</v>
      </c>
      <c r="E120" s="43">
        <f>COUNTIFS(Bima!$F$1:$F$10062,C120,Bima!$R$1:$R$10062,"Bima")</f>
        <v>0</v>
      </c>
      <c r="F120" s="44"/>
    </row>
    <row r="121" spans="1:6">
      <c r="A121" s="323"/>
      <c r="B121" s="312"/>
      <c r="C121" s="45" t="s">
        <v>1770</v>
      </c>
      <c r="D121" s="43">
        <f>(COUNTIF(Bima!$F$11:$F$35,C121))</f>
        <v>0</v>
      </c>
      <c r="E121" s="46">
        <f>COUNTIFS(Bima!$F$1:$F$10062,C121,Bima!$R$1:$R$10062,"Bima")</f>
        <v>0</v>
      </c>
      <c r="F121" s="47"/>
    </row>
    <row r="122" spans="1:6">
      <c r="A122" s="323"/>
      <c r="B122" s="312"/>
      <c r="C122" s="45" t="s">
        <v>548</v>
      </c>
      <c r="D122" s="43">
        <f>(COUNTIF(Bima!$F$11:$F$35,C122))</f>
        <v>0</v>
      </c>
      <c r="E122" s="46">
        <f>COUNTIFS(Bima!$F$1:$F$10062,C122,Bima!$R$1:$R$10062,"Bima")</f>
        <v>0</v>
      </c>
      <c r="F122" s="47"/>
    </row>
    <row r="123" spans="1:6">
      <c r="A123" s="323"/>
      <c r="B123" s="312"/>
      <c r="C123" s="45" t="s">
        <v>1769</v>
      </c>
      <c r="D123" s="46">
        <f>(COUNTIF(Bima!$F$11:$F$35,C123))</f>
        <v>4</v>
      </c>
      <c r="E123" s="46">
        <f>COUNTIFS(Bima!$F$1:$F$10062,C123,Bima!$R$1:$R$10062,"Bima")</f>
        <v>1</v>
      </c>
      <c r="F123" s="47"/>
    </row>
    <row r="124" spans="1:6">
      <c r="A124" s="323"/>
      <c r="B124" s="312"/>
      <c r="C124" s="45" t="s">
        <v>1772</v>
      </c>
      <c r="D124" s="46">
        <f>(COUNTIF(Bima!$F$11:$F$35,C124))</f>
        <v>2</v>
      </c>
      <c r="E124" s="46">
        <f>COUNTIFS(Bima!$F$1:$F$10062,C124,Bima!$R$1:$R$10062,"Bima")</f>
        <v>1</v>
      </c>
      <c r="F124" s="47"/>
    </row>
    <row r="125" spans="1:6">
      <c r="A125" s="319"/>
      <c r="B125" s="301"/>
      <c r="C125" s="122" t="s">
        <v>243</v>
      </c>
      <c r="D125" s="122">
        <f>SUM(D118:D124)</f>
        <v>14</v>
      </c>
      <c r="E125" s="122">
        <f>SUM(E118:E124)</f>
        <v>4</v>
      </c>
      <c r="F125" s="48"/>
    </row>
    <row r="126" spans="1:6">
      <c r="A126" s="319"/>
      <c r="B126" s="301" t="s">
        <v>25</v>
      </c>
      <c r="C126" s="49" t="s">
        <v>177</v>
      </c>
      <c r="D126" s="50">
        <f>(COUNTIF(Bima!$E$37:$E$137,C126))</f>
        <v>31</v>
      </c>
      <c r="E126" s="50">
        <f>COUNTIFS(Bima!$F$1:$F$10062,"FMX-400 6x4",Bima!$R$1:$R$10062,"Bima")</f>
        <v>16</v>
      </c>
      <c r="F126" s="51"/>
    </row>
    <row r="127" spans="1:6">
      <c r="A127" s="319"/>
      <c r="B127" s="301"/>
      <c r="C127" s="42" t="s">
        <v>178</v>
      </c>
      <c r="D127" s="43">
        <f>(COUNTIF(Bima!$E$37:$E$137,"Scania"))</f>
        <v>0</v>
      </c>
      <c r="E127" s="43">
        <f>COUNTIFS(Bima!$F$1:$F$10062,"P380CB-6x4",Bima!$R$1:$R$10062,"Bima")</f>
        <v>0</v>
      </c>
      <c r="F127" s="44"/>
    </row>
    <row r="128" spans="1:6">
      <c r="A128" s="319"/>
      <c r="B128" s="301"/>
      <c r="C128" s="45" t="s">
        <v>181</v>
      </c>
      <c r="D128" s="43">
        <f>(COUNTIF(Bima!$E$37:$E$137,"Hino"))</f>
        <v>0</v>
      </c>
      <c r="E128" s="46">
        <f>COUNTIFS(Bima!$F$1:$F$10062,"ZS1EPPD-4141",Bima!$R$1:$R$10062,"Bima")</f>
        <v>0</v>
      </c>
      <c r="F128" s="47"/>
    </row>
    <row r="129" spans="1:6">
      <c r="A129" s="319"/>
      <c r="B129" s="301"/>
      <c r="C129" s="45" t="s">
        <v>411</v>
      </c>
      <c r="D129" s="46">
        <f>(COUNTIF(Bima!$E$37:$E$137,"Mercy"))</f>
        <v>0</v>
      </c>
      <c r="E129" s="46">
        <f>COUNTIFS(Bima!$F$1:$F$10062,"ACTROS MB3939K",Bima!$R$1:$R$10062,"Bima")</f>
        <v>2</v>
      </c>
      <c r="F129" s="47"/>
    </row>
    <row r="130" spans="1:6">
      <c r="A130" s="319"/>
      <c r="B130" s="301"/>
      <c r="C130" s="122" t="s">
        <v>243</v>
      </c>
      <c r="D130" s="122">
        <f>SUM(D126:D129)</f>
        <v>31</v>
      </c>
      <c r="E130" s="122">
        <f>SUM(E126:E129)</f>
        <v>18</v>
      </c>
      <c r="F130" s="48"/>
    </row>
    <row r="131" spans="1:6">
      <c r="A131" s="303"/>
      <c r="B131" s="314" t="s">
        <v>206</v>
      </c>
      <c r="C131" s="42" t="s">
        <v>113</v>
      </c>
      <c r="D131" s="43">
        <f>(COUNTIF(Bima!$F$133:$F$280,"D85ESS-2"))</f>
        <v>6</v>
      </c>
      <c r="E131" s="43">
        <f>COUNTIFS(Bima!$F$1:$F$10062,C131,Bima!$R$1:$R$10062,"Bima")</f>
        <v>2</v>
      </c>
      <c r="F131" s="44" t="s">
        <v>232</v>
      </c>
    </row>
    <row r="132" spans="1:6" hidden="1">
      <c r="A132" s="303"/>
      <c r="B132" s="314"/>
      <c r="C132" s="42" t="s">
        <v>168</v>
      </c>
      <c r="D132" s="43">
        <f>(COUNTIF(Bima!$F$133:$F$280,"D6R"))</f>
        <v>0</v>
      </c>
      <c r="E132" s="43"/>
      <c r="F132" s="44" t="s">
        <v>232</v>
      </c>
    </row>
    <row r="133" spans="1:6">
      <c r="A133" s="303"/>
      <c r="B133" s="314"/>
      <c r="C133" s="42" t="s">
        <v>550</v>
      </c>
      <c r="D133" s="43">
        <f>(COUNTIF(Bima!$F$133:$F$280,"D155A-6"))</f>
        <v>2</v>
      </c>
      <c r="E133" s="43">
        <f>COUNTIFS(Bima!$F$1:$F$10062,"D155A-6",Bima!$R$1:$R$10062,"Bima")</f>
        <v>2</v>
      </c>
      <c r="F133" s="44" t="s">
        <v>232</v>
      </c>
    </row>
    <row r="134" spans="1:6">
      <c r="A134" s="303"/>
      <c r="B134" s="314"/>
      <c r="C134" s="42" t="s">
        <v>244</v>
      </c>
      <c r="D134" s="43">
        <f>(COUNTIF(Bima!$H$133:$H$280,"Grading"))</f>
        <v>0</v>
      </c>
      <c r="E134" s="43">
        <f>COUNTIFS(Bima!$H$1:$H$10062,"Grading",Bima!$R$1:$R$10062,"Bima")</f>
        <v>0</v>
      </c>
      <c r="F134" s="44" t="s">
        <v>244</v>
      </c>
    </row>
    <row r="135" spans="1:6">
      <c r="A135" s="303"/>
      <c r="B135" s="314"/>
      <c r="C135" s="42" t="s">
        <v>228</v>
      </c>
      <c r="D135" s="43">
        <f>(COUNTIF(Bima!$H$133:$H$280,"Spraying"))</f>
        <v>0</v>
      </c>
      <c r="E135" s="43"/>
      <c r="F135" s="44" t="s">
        <v>228</v>
      </c>
    </row>
    <row r="136" spans="1:6">
      <c r="A136" s="303"/>
      <c r="B136" s="314"/>
      <c r="C136" s="42" t="s">
        <v>150</v>
      </c>
      <c r="D136" s="43">
        <f>(COUNTIF(Bima!$H$133:$H$280,"Fueling"))</f>
        <v>0</v>
      </c>
      <c r="E136" s="43"/>
      <c r="F136" s="44" t="s">
        <v>150</v>
      </c>
    </row>
    <row r="137" spans="1:6">
      <c r="A137" s="303"/>
      <c r="B137" s="314"/>
      <c r="C137" s="45" t="s">
        <v>512</v>
      </c>
      <c r="D137" s="43">
        <f>(COUNTIF(Bima!$H$133:$H$280,"Transportasi"))</f>
        <v>0</v>
      </c>
      <c r="E137" s="46"/>
      <c r="F137" s="47" t="s">
        <v>512</v>
      </c>
    </row>
    <row r="138" spans="1:6">
      <c r="A138" s="303"/>
      <c r="B138" s="314"/>
      <c r="C138" s="45" t="s">
        <v>155</v>
      </c>
      <c r="D138" s="43">
        <f>(COUNTIF(Bima!$H$133:$H$280,"Pump"))</f>
        <v>0</v>
      </c>
      <c r="E138" s="46"/>
      <c r="F138" s="47" t="s">
        <v>155</v>
      </c>
    </row>
    <row r="139" spans="1:6">
      <c r="A139" s="303"/>
      <c r="B139" s="314"/>
      <c r="C139" s="45" t="s">
        <v>157</v>
      </c>
      <c r="D139" s="43">
        <f>(COUNTIF(Bima!$H$133:$H$280,"Genset"))</f>
        <v>7</v>
      </c>
      <c r="E139" s="46"/>
      <c r="F139" s="47" t="s">
        <v>157</v>
      </c>
    </row>
    <row r="140" spans="1:6">
      <c r="A140" s="303"/>
      <c r="B140" s="314"/>
      <c r="C140" s="45" t="s">
        <v>276</v>
      </c>
      <c r="D140" s="43">
        <f>(COUNTIF(Bima!$H$133:$H$280,"Welding machine"))</f>
        <v>4</v>
      </c>
      <c r="E140" s="46"/>
      <c r="F140" s="47" t="s">
        <v>276</v>
      </c>
    </row>
    <row r="141" spans="1:6">
      <c r="A141" s="303"/>
      <c r="B141" s="314"/>
      <c r="C141" s="45" t="s">
        <v>331</v>
      </c>
      <c r="D141" s="46">
        <f>(COUNTIF(Bima!$H$133:$H$280,"Compactor"))</f>
        <v>0</v>
      </c>
      <c r="E141" s="46"/>
      <c r="F141" s="47" t="s">
        <v>331</v>
      </c>
    </row>
    <row r="142" spans="1:6">
      <c r="A142" s="303"/>
      <c r="B142" s="314"/>
      <c r="C142" s="45" t="s">
        <v>332</v>
      </c>
      <c r="D142" s="46">
        <f>(COUNTIF(Bima!$H$133:$H$280,"Lifting"))</f>
        <v>0</v>
      </c>
      <c r="E142" s="46"/>
      <c r="F142" s="47" t="s">
        <v>332</v>
      </c>
    </row>
    <row r="143" spans="1:6">
      <c r="A143" s="303"/>
      <c r="B143" s="314"/>
      <c r="C143" s="45" t="s">
        <v>234</v>
      </c>
      <c r="D143" s="46">
        <f>(COUNTIF(Bima!$H$133:$H$280,"Compressor Air"))</f>
        <v>6</v>
      </c>
      <c r="E143" s="46"/>
      <c r="F143" s="47" t="s">
        <v>234</v>
      </c>
    </row>
    <row r="144" spans="1:6">
      <c r="A144" s="303"/>
      <c r="B144" s="314"/>
      <c r="C144" s="45" t="s">
        <v>455</v>
      </c>
      <c r="D144" s="46">
        <f>(COUNTIF(Bima!$H$133:$H$280,"Lowboy"))</f>
        <v>1</v>
      </c>
      <c r="E144" s="46"/>
      <c r="F144" s="47" t="s">
        <v>456</v>
      </c>
    </row>
    <row r="145" spans="1:6" ht="13.5" thickBot="1">
      <c r="A145" s="303"/>
      <c r="B145" s="314"/>
      <c r="C145" s="125" t="s">
        <v>335</v>
      </c>
      <c r="D145" s="126">
        <f>(COUNTIF(Bima!$H$133:$H$280,"Lighting"))</f>
        <v>0</v>
      </c>
      <c r="E145" s="126"/>
      <c r="F145" s="44" t="s">
        <v>335</v>
      </c>
    </row>
    <row r="146" spans="1:6" ht="13.5" thickBot="1">
      <c r="A146" s="321"/>
      <c r="B146" s="322"/>
      <c r="C146" s="122" t="s">
        <v>243</v>
      </c>
      <c r="D146" s="122">
        <f>SUM(D131:D145)</f>
        <v>26</v>
      </c>
      <c r="E146" s="122">
        <f>SUM(E145:E145)</f>
        <v>0</v>
      </c>
      <c r="F146" s="197"/>
    </row>
    <row r="147" spans="1:6" ht="12.75" hidden="1" customHeight="1" thickBot="1">
      <c r="A147" s="196"/>
      <c r="B147" s="185"/>
      <c r="C147" s="198"/>
      <c r="D147" s="198"/>
      <c r="E147" s="198"/>
      <c r="F147" s="133"/>
    </row>
    <row r="148" spans="1:6" ht="13.5" thickTop="1">
      <c r="A148" s="318" t="s">
        <v>656</v>
      </c>
      <c r="B148" s="316" t="s">
        <v>13</v>
      </c>
      <c r="C148" s="39" t="s">
        <v>579</v>
      </c>
      <c r="D148" s="40">
        <f>(COUNTIF(DUM!$F$11:$F$10003,C148))</f>
        <v>3</v>
      </c>
      <c r="E148" s="40">
        <f>COUNTIFS(DUM!$F$1:$F$80,C148,DUM!$R$1:$R$80,"DUM")</f>
        <v>3</v>
      </c>
      <c r="F148" s="41"/>
    </row>
    <row r="149" spans="1:6">
      <c r="A149" s="323"/>
      <c r="B149" s="312"/>
      <c r="C149" s="132" t="s">
        <v>585</v>
      </c>
      <c r="D149" s="185">
        <f>(COUNTIF(DUM!$F$11:$F$15,C149))</f>
        <v>1</v>
      </c>
      <c r="E149" s="185">
        <f>COUNTIFS(DUM!$F$1:$F$80,C149,DUM!$R$1:$R$80,"DUM")</f>
        <v>2</v>
      </c>
      <c r="F149" s="133"/>
    </row>
    <row r="150" spans="1:6">
      <c r="A150" s="319"/>
      <c r="B150" s="301"/>
      <c r="C150" s="122" t="s">
        <v>243</v>
      </c>
      <c r="D150" s="122">
        <f>SUM(D148:D148)</f>
        <v>3</v>
      </c>
      <c r="E150" s="122">
        <f>SUM(E148:E148)</f>
        <v>3</v>
      </c>
      <c r="F150" s="48"/>
    </row>
    <row r="151" spans="1:6">
      <c r="A151" s="319"/>
      <c r="B151" s="301" t="s">
        <v>25</v>
      </c>
      <c r="C151" s="49" t="s">
        <v>588</v>
      </c>
      <c r="D151" s="50">
        <f>(COUNTIF(DUM!$F$1:$F$10003,C151))</f>
        <v>20</v>
      </c>
      <c r="E151" s="50">
        <f>COUNTIFS(DUM!$F$1:$F$80,C151,DUM!$R$1:$R$80,"DUM")</f>
        <v>19</v>
      </c>
      <c r="F151" s="51"/>
    </row>
    <row r="152" spans="1:6">
      <c r="A152" s="319"/>
      <c r="B152" s="301"/>
      <c r="C152" s="132"/>
      <c r="D152" s="185"/>
      <c r="E152" s="185"/>
      <c r="F152" s="133"/>
    </row>
    <row r="153" spans="1:6">
      <c r="A153" s="319"/>
      <c r="B153" s="301"/>
      <c r="C153" s="122" t="s">
        <v>243</v>
      </c>
      <c r="D153" s="122">
        <f>SUM(D151:D152)</f>
        <v>20</v>
      </c>
      <c r="E153" s="122">
        <f>SUM(E151:E152)</f>
        <v>19</v>
      </c>
      <c r="F153" s="48"/>
    </row>
    <row r="154" spans="1:6">
      <c r="A154" s="303"/>
      <c r="B154" s="314" t="s">
        <v>206</v>
      </c>
      <c r="C154" s="42" t="s">
        <v>113</v>
      </c>
      <c r="D154" s="43">
        <f>(COUNTIF(DUM!$F$1:$F$10003,C154))</f>
        <v>5</v>
      </c>
      <c r="E154" s="43">
        <f>COUNTIFS(DUM!$F$1:$F$80,C154,DUM!$R$1:$R$80,"DUM")</f>
        <v>5</v>
      </c>
      <c r="F154" s="44" t="s">
        <v>232</v>
      </c>
    </row>
    <row r="155" spans="1:6">
      <c r="A155" s="303"/>
      <c r="B155" s="314"/>
      <c r="C155" s="42" t="s">
        <v>615</v>
      </c>
      <c r="D155" s="43">
        <f>(COUNTIF(DUM!$F$1:$F$10003,C155))</f>
        <v>1</v>
      </c>
      <c r="E155" s="43">
        <f>COUNTIFS(DUM!$F$1:$F$80,C155,DUM!$R$1:$R$80,"DUM")</f>
        <v>1</v>
      </c>
      <c r="F155" s="44" t="s">
        <v>244</v>
      </c>
    </row>
    <row r="156" spans="1:6">
      <c r="A156" s="303"/>
      <c r="B156" s="314"/>
      <c r="C156" s="42" t="s">
        <v>231</v>
      </c>
      <c r="D156" s="43">
        <f>(COUNTIF(DUM!$F$47:$F$10003,"PC-200-10"))</f>
        <v>1</v>
      </c>
      <c r="E156" s="43">
        <f>COUNTIFS(DUM!$F$1:$F$80,"PC-200-10",DUM!$R$1:$R$80,"DUM")</f>
        <v>2</v>
      </c>
      <c r="F156" s="44" t="s">
        <v>1764</v>
      </c>
    </row>
    <row r="157" spans="1:6">
      <c r="A157" s="303"/>
      <c r="B157" s="314"/>
      <c r="C157" s="42" t="s">
        <v>150</v>
      </c>
      <c r="D157" s="43">
        <f>(COUNTIF(DUM!$I$1:$I$10003,"10000 Liter"))</f>
        <v>1</v>
      </c>
      <c r="E157" s="43"/>
      <c r="F157" s="44" t="s">
        <v>150</v>
      </c>
    </row>
    <row r="158" spans="1:6">
      <c r="A158" s="303"/>
      <c r="B158" s="314"/>
      <c r="C158" s="45" t="s">
        <v>153</v>
      </c>
      <c r="D158" s="43">
        <f>(COUNTIF(DUM!$I$1:$I$10003,"Lube Truck"))</f>
        <v>1</v>
      </c>
      <c r="E158" s="46"/>
      <c r="F158" s="47" t="s">
        <v>153</v>
      </c>
    </row>
    <row r="159" spans="1:6">
      <c r="A159" s="303"/>
      <c r="B159" s="314"/>
      <c r="C159" s="45" t="s">
        <v>228</v>
      </c>
      <c r="D159" s="43">
        <f>(COUNTIF(DUM!$H$1:$H$10003,"Spraying"))</f>
        <v>0</v>
      </c>
      <c r="E159" s="46"/>
      <c r="F159" s="47" t="s">
        <v>228</v>
      </c>
    </row>
    <row r="160" spans="1:6">
      <c r="A160" s="303"/>
      <c r="B160" s="314"/>
      <c r="C160" s="45" t="s">
        <v>335</v>
      </c>
      <c r="D160" s="43">
        <f>(COUNTIF(DUM!$I$1:$I$10003,"Tower Lamp 7,5 KW"))</f>
        <v>5</v>
      </c>
      <c r="E160" s="46"/>
      <c r="F160" s="47" t="s">
        <v>335</v>
      </c>
    </row>
    <row r="161" spans="1:6">
      <c r="A161" s="303"/>
      <c r="B161" s="314"/>
      <c r="C161" s="45" t="s">
        <v>356</v>
      </c>
      <c r="D161" s="43">
        <f>(COUNTIF(DUM!$H$1:$H$10003,"General"))</f>
        <v>20</v>
      </c>
      <c r="E161" s="46"/>
      <c r="F161" s="47" t="s">
        <v>1765</v>
      </c>
    </row>
    <row r="162" spans="1:6" ht="13.5" hidden="1" thickBot="1">
      <c r="A162" s="303"/>
      <c r="B162" s="314"/>
      <c r="C162" s="125" t="s">
        <v>331</v>
      </c>
      <c r="D162" s="126">
        <f>(COUNTIF(DUM!$F$1:$F$10003,C162))</f>
        <v>0</v>
      </c>
      <c r="E162" s="126"/>
      <c r="F162" s="47" t="s">
        <v>331</v>
      </c>
    </row>
    <row r="163" spans="1:6" ht="13.5" thickBot="1">
      <c r="A163" s="321"/>
      <c r="B163" s="322"/>
      <c r="C163" s="122" t="s">
        <v>243</v>
      </c>
      <c r="D163" s="122">
        <f>SUM(D154:D162)</f>
        <v>34</v>
      </c>
      <c r="E163" s="122">
        <f>SUM(E161:E162)</f>
        <v>0</v>
      </c>
      <c r="F163" s="127"/>
    </row>
    <row r="164" spans="1:6" ht="13.5" thickTop="1">
      <c r="A164" s="318" t="s">
        <v>436</v>
      </c>
      <c r="B164" s="316" t="s">
        <v>13</v>
      </c>
      <c r="C164" s="39" t="s">
        <v>297</v>
      </c>
      <c r="D164" s="40">
        <f>(COUNTIF(KMI!$F$11:$F$13,"S500LC-V"))</f>
        <v>1</v>
      </c>
      <c r="E164" s="40">
        <f>COUNTIFS(KMI!$F$1:$F$76,"S500LC-V",KMI!$R$1:$R$76,"kmi")</f>
        <v>0</v>
      </c>
      <c r="F164" s="41"/>
    </row>
    <row r="165" spans="1:6">
      <c r="A165" s="319"/>
      <c r="B165" s="301"/>
      <c r="C165" s="122" t="s">
        <v>243</v>
      </c>
      <c r="D165" s="122">
        <f>SUM(D164:D164)</f>
        <v>1</v>
      </c>
      <c r="E165" s="122">
        <f>SUM(E164:E164)</f>
        <v>0</v>
      </c>
      <c r="F165" s="48"/>
    </row>
    <row r="166" spans="1:6">
      <c r="A166" s="319"/>
      <c r="B166" s="301" t="s">
        <v>25</v>
      </c>
      <c r="C166" s="49" t="s">
        <v>1933</v>
      </c>
      <c r="D166" s="50">
        <f>(COUNTIF(KMI!$E$18:$E$39,C166))</f>
        <v>7</v>
      </c>
      <c r="E166" s="50">
        <f>COUNTIFS(KMI!$E$1:$E$76,C166,KMI!$R$1:$R$76,"kmi")</f>
        <v>0</v>
      </c>
      <c r="F166" s="51"/>
    </row>
    <row r="167" spans="1:6">
      <c r="A167" s="319"/>
      <c r="B167" s="301"/>
      <c r="C167" s="132" t="s">
        <v>1935</v>
      </c>
      <c r="D167" s="185">
        <f>(COUNTIF(KMI!$E$18:$E$39,C167))</f>
        <v>3</v>
      </c>
      <c r="E167" s="185">
        <f>COUNTIFS(KMI!$E$1:$E$76,C167,KMI!$R$1:$R$76,"kmi")</f>
        <v>0</v>
      </c>
      <c r="F167" s="133"/>
    </row>
    <row r="168" spans="1:6">
      <c r="A168" s="319"/>
      <c r="B168" s="301"/>
      <c r="C168" s="122" t="s">
        <v>243</v>
      </c>
      <c r="D168" s="122">
        <f>SUM(D166:D167)</f>
        <v>10</v>
      </c>
      <c r="E168" s="122">
        <f>SUM(E166:E167)</f>
        <v>0</v>
      </c>
      <c r="F168" s="48"/>
    </row>
    <row r="169" spans="1:6">
      <c r="A169" s="303"/>
      <c r="B169" s="314" t="s">
        <v>206</v>
      </c>
      <c r="C169" s="42" t="s">
        <v>349</v>
      </c>
      <c r="D169" s="43">
        <f>(COUNTIF(KMI!$F$44:$F$72,F169))</f>
        <v>2</v>
      </c>
      <c r="E169" s="43">
        <f>COUNTIFS(KMI!$F$1:$F$76,F169,KMI!$R$1:$R$76,"kmi")</f>
        <v>0</v>
      </c>
      <c r="F169" s="44" t="s">
        <v>232</v>
      </c>
    </row>
    <row r="170" spans="1:6">
      <c r="A170" s="303"/>
      <c r="B170" s="314"/>
      <c r="C170" s="42" t="s">
        <v>352</v>
      </c>
      <c r="D170" s="43">
        <f>(COUNTIF(KMI!$F$44:$F$72,F170))</f>
        <v>1</v>
      </c>
      <c r="E170" s="43">
        <f>COUNTIFS(KMI!$F$1:$F$76,F170,KMI!$R$1:$R$76,"kmi")</f>
        <v>0</v>
      </c>
      <c r="F170" s="44" t="s">
        <v>1939</v>
      </c>
    </row>
    <row r="171" spans="1:6">
      <c r="A171" s="303"/>
      <c r="B171" s="314"/>
      <c r="C171" s="42" t="s">
        <v>228</v>
      </c>
      <c r="D171" s="43">
        <f>(COUNTIF(KMI!$H$44:$H$72,"Spraying"))</f>
        <v>0</v>
      </c>
      <c r="E171" s="43"/>
      <c r="F171" s="44" t="s">
        <v>228</v>
      </c>
    </row>
    <row r="172" spans="1:6">
      <c r="A172" s="303"/>
      <c r="B172" s="314"/>
      <c r="C172" s="42" t="s">
        <v>150</v>
      </c>
      <c r="D172" s="43">
        <f>(COUNTIF(KMI!$H$44:$H$72,"Fueling"))</f>
        <v>0</v>
      </c>
      <c r="E172" s="43"/>
      <c r="F172" s="44" t="s">
        <v>150</v>
      </c>
    </row>
    <row r="173" spans="1:6" hidden="1">
      <c r="A173" s="303"/>
      <c r="B173" s="314"/>
      <c r="C173" s="45" t="s">
        <v>153</v>
      </c>
      <c r="D173" s="43">
        <f>(COUNTIF(KMI!$H$44:$H$72,"Lube Truck"))</f>
        <v>0</v>
      </c>
      <c r="E173" s="46"/>
      <c r="F173" s="47" t="s">
        <v>153</v>
      </c>
    </row>
    <row r="174" spans="1:6">
      <c r="A174" s="303"/>
      <c r="B174" s="314"/>
      <c r="C174" s="45" t="s">
        <v>356</v>
      </c>
      <c r="D174" s="43">
        <f>(COUNTIF(KMI!$H$44:$H$72,"Excavator"))</f>
        <v>0</v>
      </c>
      <c r="E174" s="46"/>
      <c r="F174" s="47" t="s">
        <v>231</v>
      </c>
    </row>
    <row r="175" spans="1:6">
      <c r="A175" s="303"/>
      <c r="B175" s="314"/>
      <c r="C175" s="45" t="s">
        <v>335</v>
      </c>
      <c r="D175" s="43">
        <f>(COUNTIF(KMI!$H$44:$H$72,"Tower Lamp"))</f>
        <v>4</v>
      </c>
      <c r="E175" s="46"/>
      <c r="F175" s="47" t="s">
        <v>335</v>
      </c>
    </row>
    <row r="176" spans="1:6">
      <c r="A176" s="303"/>
      <c r="B176" s="314"/>
      <c r="C176" s="45" t="s">
        <v>332</v>
      </c>
      <c r="D176" s="43">
        <f>(COUNTIF(KMI!$H$44:$H$72,"Crane"))</f>
        <v>1</v>
      </c>
      <c r="E176" s="46"/>
      <c r="F176" s="47" t="s">
        <v>332</v>
      </c>
    </row>
    <row r="177" spans="1:6" ht="13.5" hidden="1" thickBot="1">
      <c r="A177" s="303"/>
      <c r="B177" s="314"/>
      <c r="C177" s="125" t="s">
        <v>331</v>
      </c>
      <c r="D177" s="126">
        <f>(COUNTIF(KMI!$H$44:$H$72,"Compacting"))</f>
        <v>0</v>
      </c>
      <c r="E177" s="126"/>
      <c r="F177" s="47" t="s">
        <v>331</v>
      </c>
    </row>
    <row r="178" spans="1:6" ht="13.5" thickBot="1">
      <c r="A178" s="321"/>
      <c r="B178" s="322"/>
      <c r="C178" s="122" t="s">
        <v>243</v>
      </c>
      <c r="D178" s="122">
        <f>SUM(D169:D177)</f>
        <v>8</v>
      </c>
      <c r="E178" s="122">
        <f>SUM(E176:E177)</f>
        <v>0</v>
      </c>
      <c r="F178" s="127"/>
    </row>
  </sheetData>
  <mergeCells count="39">
    <mergeCell ref="A164:A178"/>
    <mergeCell ref="B164:B165"/>
    <mergeCell ref="B166:B168"/>
    <mergeCell ref="B169:B178"/>
    <mergeCell ref="A118:A146"/>
    <mergeCell ref="B118:B125"/>
    <mergeCell ref="B126:B130"/>
    <mergeCell ref="B131:B146"/>
    <mergeCell ref="A148:A163"/>
    <mergeCell ref="B148:B150"/>
    <mergeCell ref="B151:B153"/>
    <mergeCell ref="B154:B163"/>
    <mergeCell ref="A53:A80"/>
    <mergeCell ref="B53:B60"/>
    <mergeCell ref="B61:B66"/>
    <mergeCell ref="B67:B80"/>
    <mergeCell ref="A93:A117"/>
    <mergeCell ref="B93:B97"/>
    <mergeCell ref="B98:B101"/>
    <mergeCell ref="B102:B117"/>
    <mergeCell ref="A81:A92"/>
    <mergeCell ref="B81:B82"/>
    <mergeCell ref="B83:B84"/>
    <mergeCell ref="B85:B92"/>
    <mergeCell ref="F6:F7"/>
    <mergeCell ref="A34:A52"/>
    <mergeCell ref="B34:B37"/>
    <mergeCell ref="B38:B41"/>
    <mergeCell ref="B42:B52"/>
    <mergeCell ref="B8:B13"/>
    <mergeCell ref="A8:A33"/>
    <mergeCell ref="B17:B33"/>
    <mergeCell ref="A1:A4"/>
    <mergeCell ref="B1:D3"/>
    <mergeCell ref="B4:D4"/>
    <mergeCell ref="B14:B16"/>
    <mergeCell ref="A6:A7"/>
    <mergeCell ref="B6:B7"/>
    <mergeCell ref="C6:E6"/>
  </mergeCells>
  <printOptions horizontalCentered="1"/>
  <pageMargins left="0.3" right="0.3" top="0.3" bottom="0.3" header="0.1" footer="0.1"/>
  <pageSetup paperSize="9" scale="94" fitToHeight="0" orientation="portrait" horizontalDpi="300" verticalDpi="300" r:id="rId1"/>
  <headerFooter>
    <oddFooter>&amp;RReported by Planning Section</oddFooter>
  </headerFooter>
  <rowBreaks count="2" manualBreakCount="2">
    <brk id="80" max="5" man="1"/>
    <brk id="117" max="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2033"/>
  <sheetViews>
    <sheetView showGridLines="0" view="pageBreakPreview" zoomScale="80" zoomScaleNormal="130" zoomScaleSheetLayoutView="80" workbookViewId="0">
      <selection activeCell="T1" sqref="T1:V1048576"/>
    </sheetView>
  </sheetViews>
  <sheetFormatPr defaultColWidth="9.140625" defaultRowHeight="12" customHeight="1"/>
  <cols>
    <col min="1" max="1" width="3.28515625" style="1" customWidth="1"/>
    <col min="2" max="2" width="5" style="1" customWidth="1"/>
    <col min="3" max="3" width="12" style="1" customWidth="1"/>
    <col min="4" max="4" width="17.85546875" style="1" customWidth="1"/>
    <col min="5" max="5" width="16.140625" style="1" customWidth="1"/>
    <col min="6" max="6" width="17.28515625" style="2" bestFit="1" customWidth="1"/>
    <col min="7" max="7" width="11" style="1" customWidth="1"/>
    <col min="8" max="8" width="14.85546875" style="1" customWidth="1"/>
    <col min="9" max="9" width="16.85546875" style="1" customWidth="1"/>
    <col min="10" max="10" width="14.28515625" style="1" customWidth="1"/>
    <col min="11" max="16" width="8.85546875" style="1" customWidth="1"/>
    <col min="17" max="17" width="15.42578125" style="1" customWidth="1"/>
    <col min="18" max="18" width="11.140625" style="3" hidden="1" customWidth="1"/>
    <col min="19" max="19" width="16.42578125" style="1" customWidth="1"/>
    <col min="20" max="20" width="16.42578125" style="1" hidden="1" customWidth="1"/>
    <col min="21" max="21" width="9.140625" style="1" hidden="1" customWidth="1"/>
    <col min="22" max="22" width="0" style="1" hidden="1" customWidth="1"/>
    <col min="23" max="16384" width="9.140625" style="1"/>
  </cols>
  <sheetData>
    <row r="1" spans="1:22" s="52" customFormat="1" ht="24" customHeight="1">
      <c r="A1" s="339" t="s">
        <v>249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1"/>
    </row>
    <row r="2" spans="1:22" s="52" customFormat="1" ht="15" customHeight="1" thickBot="1">
      <c r="A2" s="342" t="s">
        <v>260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4"/>
    </row>
    <row r="3" spans="1:22" s="52" customFormat="1" ht="15" customHeight="1" thickTop="1">
      <c r="A3" s="345" t="s">
        <v>250</v>
      </c>
      <c r="B3" s="346"/>
      <c r="C3" s="346"/>
      <c r="D3" s="53" t="s">
        <v>185</v>
      </c>
      <c r="E3" s="54"/>
      <c r="F3" s="54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  <c r="T3" s="52" t="s">
        <v>250</v>
      </c>
      <c r="U3" s="52" t="s">
        <v>251</v>
      </c>
    </row>
    <row r="4" spans="1:22" s="52" customFormat="1" ht="15" customHeight="1">
      <c r="A4" s="81"/>
      <c r="B4" s="82"/>
      <c r="C4" s="82"/>
      <c r="D4" s="57" t="s">
        <v>252</v>
      </c>
      <c r="E4" s="58"/>
      <c r="F4" s="58"/>
      <c r="G4" s="4"/>
      <c r="H4" s="4"/>
      <c r="I4" s="4"/>
      <c r="J4" s="4"/>
      <c r="K4" s="4"/>
      <c r="L4" s="4"/>
      <c r="M4" s="4"/>
      <c r="N4" s="4"/>
      <c r="O4" s="4"/>
      <c r="P4" s="4"/>
      <c r="Q4" s="59"/>
      <c r="T4" s="52" t="s">
        <v>185</v>
      </c>
      <c r="U4" s="63" t="s">
        <v>574</v>
      </c>
    </row>
    <row r="5" spans="1:22" s="52" customFormat="1" ht="15" customHeight="1">
      <c r="A5" s="81"/>
      <c r="B5" s="82"/>
      <c r="C5" s="82"/>
      <c r="D5" s="57" t="s">
        <v>253</v>
      </c>
      <c r="E5" s="58"/>
      <c r="F5" s="58"/>
      <c r="G5" s="4"/>
      <c r="H5" s="4"/>
      <c r="I5" s="4"/>
      <c r="J5" s="4"/>
      <c r="K5" s="4"/>
      <c r="L5" s="4"/>
      <c r="M5" s="4"/>
      <c r="N5" s="4"/>
      <c r="O5" s="4"/>
      <c r="P5" s="4"/>
      <c r="Q5" s="59"/>
      <c r="T5" s="52" t="s">
        <v>261</v>
      </c>
      <c r="U5" s="63" t="s">
        <v>465</v>
      </c>
    </row>
    <row r="6" spans="1:22" s="52" customFormat="1" ht="15" customHeight="1">
      <c r="A6" s="347" t="s">
        <v>254</v>
      </c>
      <c r="B6" s="348"/>
      <c r="C6" s="348"/>
      <c r="D6" s="58" t="s">
        <v>574</v>
      </c>
      <c r="E6" s="58"/>
      <c r="F6" s="58"/>
      <c r="G6" s="4"/>
      <c r="H6" s="4"/>
      <c r="I6" s="4"/>
      <c r="J6" s="4"/>
      <c r="K6" s="4"/>
      <c r="L6" s="4"/>
      <c r="M6" s="4"/>
      <c r="N6" s="4"/>
      <c r="O6" s="4"/>
      <c r="P6" s="4"/>
      <c r="Q6" s="59"/>
      <c r="T6" s="52" t="s">
        <v>187</v>
      </c>
      <c r="U6" s="63" t="s">
        <v>466</v>
      </c>
    </row>
    <row r="7" spans="1:22" ht="15" customHeight="1" thickBot="1">
      <c r="A7" s="349" t="s">
        <v>255</v>
      </c>
      <c r="B7" s="350"/>
      <c r="C7" s="350"/>
      <c r="D7" s="351">
        <v>44652</v>
      </c>
      <c r="E7" s="351"/>
      <c r="F7" s="60"/>
      <c r="G7" s="61"/>
      <c r="H7" s="61"/>
      <c r="I7" s="84"/>
      <c r="J7" s="84"/>
      <c r="K7" s="84"/>
      <c r="L7" s="84"/>
      <c r="M7" s="84"/>
      <c r="N7" s="84"/>
      <c r="O7" s="84"/>
      <c r="P7" s="84"/>
      <c r="Q7" s="62" t="s">
        <v>541</v>
      </c>
      <c r="R7" s="1"/>
      <c r="S7" s="52"/>
      <c r="T7" s="52" t="s">
        <v>256</v>
      </c>
      <c r="U7" s="63" t="s">
        <v>340</v>
      </c>
      <c r="V7" s="52"/>
    </row>
    <row r="8" spans="1:22" s="4" customFormat="1" ht="15" customHeight="1" thickTop="1">
      <c r="A8" s="64"/>
      <c r="F8" s="16"/>
      <c r="Q8" s="59"/>
      <c r="R8" s="5"/>
      <c r="T8" s="52" t="s">
        <v>191</v>
      </c>
      <c r="U8" s="63" t="s">
        <v>468</v>
      </c>
      <c r="V8" s="1"/>
    </row>
    <row r="9" spans="1:22" s="4" customFormat="1" ht="15" customHeight="1">
      <c r="A9" s="65" t="s">
        <v>0</v>
      </c>
      <c r="B9" s="66" t="s">
        <v>1</v>
      </c>
      <c r="F9" s="16"/>
      <c r="K9" s="93"/>
      <c r="Q9" s="59"/>
      <c r="R9" s="5"/>
      <c r="T9" s="52" t="s">
        <v>434</v>
      </c>
      <c r="U9" s="52" t="s">
        <v>259</v>
      </c>
    </row>
    <row r="10" spans="1:22" s="4" customFormat="1" ht="15" customHeight="1">
      <c r="A10" s="64"/>
      <c r="B10" s="6" t="s">
        <v>2</v>
      </c>
      <c r="C10" s="6" t="s">
        <v>3</v>
      </c>
      <c r="D10" s="6" t="s">
        <v>4</v>
      </c>
      <c r="E10" s="6" t="s">
        <v>5</v>
      </c>
      <c r="F10" s="6" t="s">
        <v>6</v>
      </c>
      <c r="G10" s="6" t="s">
        <v>7</v>
      </c>
      <c r="H10" s="6" t="s">
        <v>8</v>
      </c>
      <c r="I10" s="83" t="s">
        <v>9</v>
      </c>
      <c r="J10" s="83" t="s">
        <v>267</v>
      </c>
      <c r="K10" s="6" t="s">
        <v>262</v>
      </c>
      <c r="L10" s="6" t="s">
        <v>268</v>
      </c>
      <c r="M10" s="6" t="s">
        <v>269</v>
      </c>
      <c r="N10" s="6" t="s">
        <v>263</v>
      </c>
      <c r="O10" s="6" t="s">
        <v>264</v>
      </c>
      <c r="P10" s="6" t="s">
        <v>265</v>
      </c>
      <c r="Q10" s="67" t="s">
        <v>266</v>
      </c>
      <c r="R10" s="5"/>
      <c r="T10" s="52" t="s">
        <v>257</v>
      </c>
      <c r="U10" s="52"/>
    </row>
    <row r="11" spans="1:22" s="4" customFormat="1" ht="15" customHeight="1">
      <c r="A11" s="64"/>
      <c r="B11" s="327" t="s">
        <v>655</v>
      </c>
      <c r="C11" s="328"/>
      <c r="D11" s="328"/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28"/>
      <c r="Q11" s="329"/>
      <c r="R11" s="5"/>
      <c r="T11" s="52"/>
      <c r="U11" s="52"/>
    </row>
    <row r="12" spans="1:22" s="4" customFormat="1" ht="15" customHeight="1">
      <c r="A12" s="64"/>
      <c r="B12" s="7">
        <v>1</v>
      </c>
      <c r="C12" s="211" t="s">
        <v>10</v>
      </c>
      <c r="D12" s="211" t="s">
        <v>413</v>
      </c>
      <c r="E12" s="211" t="s">
        <v>15</v>
      </c>
      <c r="F12" s="211" t="s">
        <v>17</v>
      </c>
      <c r="G12" s="244">
        <v>42751</v>
      </c>
      <c r="H12" s="211" t="s">
        <v>13</v>
      </c>
      <c r="I12" s="211" t="s">
        <v>16</v>
      </c>
      <c r="J12" s="243">
        <v>103946.19869999999</v>
      </c>
      <c r="K12" s="241">
        <v>315.70999999999998</v>
      </c>
      <c r="L12" s="241">
        <v>34.840000000000003</v>
      </c>
      <c r="M12" s="241">
        <v>369.45</v>
      </c>
      <c r="N12" s="129">
        <f>+K12/(K12+L12)</f>
        <v>0.90061332192269294</v>
      </c>
      <c r="O12" s="129">
        <f>+(K12+M12)/(K12+L12+M12)</f>
        <v>0.95161111111111107</v>
      </c>
      <c r="P12" s="129">
        <f>+K12/(K12+M12)</f>
        <v>0.46078288283028779</v>
      </c>
      <c r="Q12" s="114">
        <f>+J12/K12</f>
        <v>329.24582274872512</v>
      </c>
      <c r="R12" s="5" t="str">
        <f t="shared" ref="R12:R75" si="0">IF(O12&gt;89.9999999999999%,"PAMA")</f>
        <v>PAMA</v>
      </c>
      <c r="T12" s="52" t="s">
        <v>437</v>
      </c>
      <c r="U12" s="52"/>
    </row>
    <row r="13" spans="1:22" s="4" customFormat="1" ht="15" customHeight="1">
      <c r="A13" s="64"/>
      <c r="B13" s="7">
        <f t="shared" ref="B13:B25" si="1">B12+1</f>
        <v>2</v>
      </c>
      <c r="C13" s="211" t="s">
        <v>10</v>
      </c>
      <c r="D13" s="211" t="s">
        <v>2126</v>
      </c>
      <c r="E13" s="211" t="s">
        <v>15</v>
      </c>
      <c r="F13" s="211" t="s">
        <v>2263</v>
      </c>
      <c r="G13" s="244">
        <v>2022</v>
      </c>
      <c r="H13" s="211" t="s">
        <v>13</v>
      </c>
      <c r="I13" s="211" t="s">
        <v>16</v>
      </c>
      <c r="J13" s="243">
        <v>195680.79728000003</v>
      </c>
      <c r="K13" s="241">
        <v>328.38</v>
      </c>
      <c r="L13" s="241">
        <v>36.78</v>
      </c>
      <c r="M13" s="241">
        <v>354.84000000000003</v>
      </c>
      <c r="N13" s="129">
        <f t="shared" ref="N13:N15" si="2">+K13/(K13+L13)</f>
        <v>0.89927702924745323</v>
      </c>
      <c r="O13" s="129">
        <f t="shared" ref="O13:O15" si="3">+(K13+M13)/(K13+L13+M13)</f>
        <v>0.94891666666666674</v>
      </c>
      <c r="P13" s="129">
        <f t="shared" ref="P13:P31" si="4">+K13/(K13+M13)</f>
        <v>0.48063581276894701</v>
      </c>
      <c r="Q13" s="114">
        <f t="shared" ref="Q13:Q31" si="5">+J13/K13</f>
        <v>595.89742761434934</v>
      </c>
      <c r="R13" s="5" t="str">
        <f t="shared" si="0"/>
        <v>PAMA</v>
      </c>
      <c r="T13" s="63" t="s">
        <v>258</v>
      </c>
    </row>
    <row r="14" spans="1:22" s="4" customFormat="1" ht="15" customHeight="1">
      <c r="A14" s="64"/>
      <c r="B14" s="7">
        <f t="shared" si="1"/>
        <v>3</v>
      </c>
      <c r="C14" s="211" t="s">
        <v>10</v>
      </c>
      <c r="D14" s="211" t="s">
        <v>2223</v>
      </c>
      <c r="E14" s="211" t="s">
        <v>15</v>
      </c>
      <c r="F14" s="211" t="s">
        <v>2263</v>
      </c>
      <c r="G14" s="244">
        <v>2023</v>
      </c>
      <c r="H14" s="211" t="s">
        <v>13</v>
      </c>
      <c r="I14" s="211" t="s">
        <v>16</v>
      </c>
      <c r="J14" s="243">
        <v>165927.00699000002</v>
      </c>
      <c r="K14" s="241">
        <v>325.99</v>
      </c>
      <c r="L14" s="241">
        <v>17.53</v>
      </c>
      <c r="M14" s="241">
        <v>376.48</v>
      </c>
      <c r="N14" s="129">
        <f t="shared" si="2"/>
        <v>0.94896949231485805</v>
      </c>
      <c r="O14" s="129">
        <f t="shared" si="3"/>
        <v>0.97565277777777781</v>
      </c>
      <c r="P14" s="129">
        <f t="shared" si="4"/>
        <v>0.46406252224294275</v>
      </c>
      <c r="Q14" s="114">
        <f t="shared" si="5"/>
        <v>508.99416236694384</v>
      </c>
      <c r="R14" s="5" t="str">
        <f t="shared" si="0"/>
        <v>PAMA</v>
      </c>
      <c r="T14" s="52"/>
    </row>
    <row r="15" spans="1:22" s="4" customFormat="1" ht="15" customHeight="1">
      <c r="A15" s="64"/>
      <c r="B15" s="7">
        <f t="shared" si="1"/>
        <v>4</v>
      </c>
      <c r="C15" s="211" t="s">
        <v>10</v>
      </c>
      <c r="D15" s="211" t="s">
        <v>526</v>
      </c>
      <c r="E15" s="211" t="s">
        <v>15</v>
      </c>
      <c r="F15" s="211" t="s">
        <v>18</v>
      </c>
      <c r="G15" s="244">
        <v>2008</v>
      </c>
      <c r="H15" s="211" t="s">
        <v>13</v>
      </c>
      <c r="I15" s="211" t="s">
        <v>2212</v>
      </c>
      <c r="J15" s="243">
        <v>254419.24396999995</v>
      </c>
      <c r="K15" s="241">
        <v>320.27</v>
      </c>
      <c r="L15" s="241">
        <v>28.56</v>
      </c>
      <c r="M15" s="241">
        <v>371.17000000000007</v>
      </c>
      <c r="N15" s="129">
        <f t="shared" si="2"/>
        <v>0.91812630794369754</v>
      </c>
      <c r="O15" s="129">
        <f t="shared" si="3"/>
        <v>0.96033333333333337</v>
      </c>
      <c r="P15" s="129">
        <f t="shared" si="4"/>
        <v>0.46319275714450997</v>
      </c>
      <c r="Q15" s="114">
        <f t="shared" si="5"/>
        <v>794.3898709526336</v>
      </c>
      <c r="R15" s="5" t="str">
        <f t="shared" si="0"/>
        <v>PAMA</v>
      </c>
      <c r="T15" s="52"/>
    </row>
    <row r="16" spans="1:22" s="4" customFormat="1" ht="15" customHeight="1">
      <c r="A16" s="64"/>
      <c r="B16" s="7">
        <f t="shared" si="1"/>
        <v>5</v>
      </c>
      <c r="C16" s="211" t="s">
        <v>10</v>
      </c>
      <c r="D16" s="211" t="s">
        <v>473</v>
      </c>
      <c r="E16" s="211" t="s">
        <v>15</v>
      </c>
      <c r="F16" s="211" t="s">
        <v>18</v>
      </c>
      <c r="G16" s="244">
        <v>2009</v>
      </c>
      <c r="H16" s="211" t="s">
        <v>13</v>
      </c>
      <c r="I16" s="211" t="s">
        <v>2212</v>
      </c>
      <c r="J16" s="243">
        <v>169976.13217000003</v>
      </c>
      <c r="K16" s="241">
        <v>275.14</v>
      </c>
      <c r="L16" s="241">
        <v>21.05</v>
      </c>
      <c r="M16" s="241">
        <v>423.81000000000006</v>
      </c>
      <c r="N16" s="129">
        <f t="shared" ref="N16:N25" si="6">+K16/(K16+L16)</f>
        <v>0.92893075390796442</v>
      </c>
      <c r="O16" s="129">
        <f t="shared" ref="O16:O25" si="7">+(K16+M16)/(K16+L16+M16)</f>
        <v>0.97076388888888898</v>
      </c>
      <c r="P16" s="129">
        <f t="shared" si="4"/>
        <v>0.39364761427856065</v>
      </c>
      <c r="Q16" s="114">
        <f t="shared" si="5"/>
        <v>617.78051962637221</v>
      </c>
      <c r="R16" s="5" t="str">
        <f t="shared" si="0"/>
        <v>PAMA</v>
      </c>
      <c r="T16" s="11"/>
    </row>
    <row r="17" spans="1:21" s="4" customFormat="1" ht="15" customHeight="1">
      <c r="A17" s="64"/>
      <c r="B17" s="7">
        <f t="shared" si="1"/>
        <v>6</v>
      </c>
      <c r="C17" s="211" t="s">
        <v>10</v>
      </c>
      <c r="D17" s="211" t="s">
        <v>20</v>
      </c>
      <c r="E17" s="211" t="s">
        <v>15</v>
      </c>
      <c r="F17" s="211" t="s">
        <v>18</v>
      </c>
      <c r="G17" s="211">
        <v>2009</v>
      </c>
      <c r="H17" s="211" t="s">
        <v>13</v>
      </c>
      <c r="I17" s="211" t="s">
        <v>2212</v>
      </c>
      <c r="J17" s="243">
        <v>185336.96911000003</v>
      </c>
      <c r="K17" s="241">
        <v>319.58999999999997</v>
      </c>
      <c r="L17" s="241">
        <v>25.52</v>
      </c>
      <c r="M17" s="241">
        <v>374.89000000000004</v>
      </c>
      <c r="N17" s="129">
        <f t="shared" si="6"/>
        <v>0.92605256295094318</v>
      </c>
      <c r="O17" s="129">
        <f t="shared" si="7"/>
        <v>0.96455555555555561</v>
      </c>
      <c r="P17" s="129">
        <f t="shared" si="4"/>
        <v>0.46018603847483003</v>
      </c>
      <c r="Q17" s="114">
        <f t="shared" si="5"/>
        <v>579.92105231703135</v>
      </c>
      <c r="R17" s="5" t="str">
        <f t="shared" si="0"/>
        <v>PAMA</v>
      </c>
      <c r="T17" s="52"/>
    </row>
    <row r="18" spans="1:21" s="4" customFormat="1" ht="15" customHeight="1">
      <c r="A18" s="64"/>
      <c r="B18" s="7">
        <f t="shared" si="1"/>
        <v>7</v>
      </c>
      <c r="C18" s="211" t="s">
        <v>10</v>
      </c>
      <c r="D18" s="211" t="s">
        <v>1946</v>
      </c>
      <c r="E18" s="211" t="s">
        <v>15</v>
      </c>
      <c r="F18" s="211" t="s">
        <v>18</v>
      </c>
      <c r="G18" s="211">
        <v>2009</v>
      </c>
      <c r="H18" s="211" t="s">
        <v>13</v>
      </c>
      <c r="I18" s="211" t="s">
        <v>2212</v>
      </c>
      <c r="J18" s="243">
        <v>147495.58713000003</v>
      </c>
      <c r="K18" s="241">
        <v>300.79000000000002</v>
      </c>
      <c r="L18" s="241">
        <v>19.07</v>
      </c>
      <c r="M18" s="241">
        <v>400.13999999999993</v>
      </c>
      <c r="N18" s="129">
        <f t="shared" si="6"/>
        <v>0.94038016632276622</v>
      </c>
      <c r="O18" s="129">
        <f t="shared" si="7"/>
        <v>0.97351388888888879</v>
      </c>
      <c r="P18" s="129">
        <f t="shared" si="4"/>
        <v>0.42912987031515276</v>
      </c>
      <c r="Q18" s="114">
        <f t="shared" si="5"/>
        <v>490.36067399182161</v>
      </c>
      <c r="R18" s="5" t="str">
        <f t="shared" si="0"/>
        <v>PAMA</v>
      </c>
      <c r="T18" s="63"/>
    </row>
    <row r="19" spans="1:21" s="4" customFormat="1" ht="15" customHeight="1">
      <c r="A19" s="64"/>
      <c r="B19" s="7">
        <f t="shared" si="1"/>
        <v>8</v>
      </c>
      <c r="C19" s="211" t="s">
        <v>10</v>
      </c>
      <c r="D19" s="211" t="s">
        <v>2127</v>
      </c>
      <c r="E19" s="211" t="s">
        <v>15</v>
      </c>
      <c r="F19" s="211" t="s">
        <v>18</v>
      </c>
      <c r="G19" s="211">
        <v>2011</v>
      </c>
      <c r="H19" s="211" t="s">
        <v>13</v>
      </c>
      <c r="I19" s="211" t="s">
        <v>19</v>
      </c>
      <c r="J19" s="243">
        <v>269578.58601999999</v>
      </c>
      <c r="K19" s="241">
        <v>306.89</v>
      </c>
      <c r="L19" s="241">
        <v>16.77</v>
      </c>
      <c r="M19" s="241">
        <v>396.34000000000003</v>
      </c>
      <c r="N19" s="129">
        <f t="shared" ref="N19:N20" si="8">+K19/(K19+L19)</f>
        <v>0.94818636841129589</v>
      </c>
      <c r="O19" s="129">
        <f t="shared" ref="O19:O20" si="9">+(K19+M19)/(K19+L19+M19)</f>
        <v>0.9767083333333334</v>
      </c>
      <c r="P19" s="129">
        <f t="shared" si="4"/>
        <v>0.43640060862022378</v>
      </c>
      <c r="Q19" s="114">
        <f t="shared" si="5"/>
        <v>878.42088702792535</v>
      </c>
      <c r="R19" s="5" t="str">
        <f t="shared" si="0"/>
        <v>PAMA</v>
      </c>
      <c r="T19" s="63"/>
    </row>
    <row r="20" spans="1:21" s="4" customFormat="1" ht="15" customHeight="1">
      <c r="A20" s="64"/>
      <c r="B20" s="7">
        <f t="shared" si="1"/>
        <v>9</v>
      </c>
      <c r="C20" s="211" t="s">
        <v>10</v>
      </c>
      <c r="D20" s="211" t="s">
        <v>2213</v>
      </c>
      <c r="E20" s="211" t="s">
        <v>15</v>
      </c>
      <c r="F20" s="211" t="s">
        <v>18</v>
      </c>
      <c r="G20" s="211">
        <v>2023</v>
      </c>
      <c r="H20" s="211" t="s">
        <v>13</v>
      </c>
      <c r="I20" s="211" t="s">
        <v>19</v>
      </c>
      <c r="J20" s="243">
        <v>252495.01548999996</v>
      </c>
      <c r="K20" s="241">
        <v>329.13</v>
      </c>
      <c r="L20" s="241">
        <v>17.93</v>
      </c>
      <c r="M20" s="241">
        <v>372.94000000000005</v>
      </c>
      <c r="N20" s="129">
        <f t="shared" si="8"/>
        <v>0.94833746326283641</v>
      </c>
      <c r="O20" s="129">
        <f t="shared" si="9"/>
        <v>0.97509722222222228</v>
      </c>
      <c r="P20" s="129">
        <f t="shared" si="4"/>
        <v>0.4687994074664919</v>
      </c>
      <c r="Q20" s="114">
        <f t="shared" si="5"/>
        <v>767.15892045696216</v>
      </c>
      <c r="R20" s="5" t="str">
        <f t="shared" si="0"/>
        <v>PAMA</v>
      </c>
      <c r="U20" s="159"/>
    </row>
    <row r="21" spans="1:21" s="4" customFormat="1" ht="15" customHeight="1">
      <c r="A21" s="64"/>
      <c r="B21" s="7">
        <f t="shared" si="1"/>
        <v>10</v>
      </c>
      <c r="C21" s="211" t="s">
        <v>10</v>
      </c>
      <c r="D21" s="211" t="s">
        <v>2214</v>
      </c>
      <c r="E21" s="211" t="s">
        <v>15</v>
      </c>
      <c r="F21" s="211" t="s">
        <v>18</v>
      </c>
      <c r="G21" s="211">
        <v>2023</v>
      </c>
      <c r="H21" s="211" t="s">
        <v>13</v>
      </c>
      <c r="I21" s="211" t="s">
        <v>19</v>
      </c>
      <c r="J21" s="243">
        <v>265773.81219000003</v>
      </c>
      <c r="K21" s="241">
        <v>315.17</v>
      </c>
      <c r="L21" s="241">
        <v>13.42</v>
      </c>
      <c r="M21" s="241">
        <v>391.41</v>
      </c>
      <c r="N21" s="129">
        <f t="shared" ref="N21" si="10">+K21/(K21+L21)</f>
        <v>0.95915883015307823</v>
      </c>
      <c r="O21" s="129">
        <f t="shared" ref="O21" si="11">+(K21+M21)/(K21+L21+M21)</f>
        <v>0.98136111111111113</v>
      </c>
      <c r="P21" s="129">
        <f t="shared" si="4"/>
        <v>0.44604998726258882</v>
      </c>
      <c r="Q21" s="114">
        <f t="shared" si="5"/>
        <v>843.27128911381169</v>
      </c>
      <c r="R21" s="5" t="str">
        <f t="shared" si="0"/>
        <v>PAMA</v>
      </c>
      <c r="U21" s="159"/>
    </row>
    <row r="22" spans="1:21" s="4" customFormat="1" ht="15" hidden="1" customHeight="1">
      <c r="A22" s="64"/>
      <c r="B22" s="7">
        <f t="shared" si="1"/>
        <v>11</v>
      </c>
      <c r="C22" s="211"/>
      <c r="D22" s="211"/>
      <c r="E22" s="211"/>
      <c r="F22" s="211"/>
      <c r="G22" s="211"/>
      <c r="H22" s="211"/>
      <c r="I22" s="211"/>
      <c r="J22" s="243"/>
      <c r="K22" s="241"/>
      <c r="L22" s="241"/>
      <c r="M22" s="241"/>
      <c r="N22" s="129" t="e">
        <f t="shared" ref="N22:N23" si="12">+K22/(K22+L22)</f>
        <v>#DIV/0!</v>
      </c>
      <c r="O22" s="129" t="e">
        <f t="shared" ref="O22:O23" si="13">+(K22+M22)/(K22+L22+M22)</f>
        <v>#DIV/0!</v>
      </c>
      <c r="P22" s="129" t="e">
        <f t="shared" si="4"/>
        <v>#DIV/0!</v>
      </c>
      <c r="Q22" s="114" t="e">
        <f t="shared" si="5"/>
        <v>#DIV/0!</v>
      </c>
      <c r="R22" s="5" t="e">
        <f t="shared" si="0"/>
        <v>#DIV/0!</v>
      </c>
      <c r="U22" s="159"/>
    </row>
    <row r="23" spans="1:21" s="4" customFormat="1" ht="15" hidden="1" customHeight="1">
      <c r="A23" s="64"/>
      <c r="B23" s="7">
        <v>12</v>
      </c>
      <c r="C23" s="211" t="s">
        <v>10</v>
      </c>
      <c r="D23" s="211"/>
      <c r="E23" s="211"/>
      <c r="F23" s="211"/>
      <c r="G23" s="211"/>
      <c r="H23" s="211"/>
      <c r="I23" s="211"/>
      <c r="J23" s="243"/>
      <c r="K23" s="241"/>
      <c r="L23" s="241"/>
      <c r="M23" s="241">
        <v>656.48</v>
      </c>
      <c r="N23" s="129" t="e">
        <f t="shared" si="12"/>
        <v>#DIV/0!</v>
      </c>
      <c r="O23" s="129">
        <f t="shared" si="13"/>
        <v>1</v>
      </c>
      <c r="P23" s="129">
        <f t="shared" si="4"/>
        <v>0</v>
      </c>
      <c r="Q23" s="114" t="e">
        <f t="shared" si="5"/>
        <v>#DIV/0!</v>
      </c>
      <c r="R23" s="5" t="str">
        <f t="shared" si="0"/>
        <v>PAMA</v>
      </c>
      <c r="U23" s="159"/>
    </row>
    <row r="24" spans="1:21" s="4" customFormat="1" ht="15" hidden="1" customHeight="1">
      <c r="A24" s="64"/>
      <c r="B24" s="7">
        <v>13</v>
      </c>
      <c r="C24" s="211" t="s">
        <v>10</v>
      </c>
      <c r="D24" s="211"/>
      <c r="E24" s="211"/>
      <c r="F24" s="211"/>
      <c r="G24" s="211"/>
      <c r="H24" s="211"/>
      <c r="I24" s="211"/>
      <c r="J24" s="243"/>
      <c r="K24" s="241"/>
      <c r="L24" s="241"/>
      <c r="M24" s="241">
        <v>462.02</v>
      </c>
      <c r="N24" s="129" t="e">
        <f t="shared" ref="N24" si="14">+K24/(K24+L24)</f>
        <v>#DIV/0!</v>
      </c>
      <c r="O24" s="129">
        <f t="shared" ref="O24" si="15">+(K24+M24)/(K24+L24+M24)</f>
        <v>1</v>
      </c>
      <c r="P24" s="129">
        <f t="shared" si="4"/>
        <v>0</v>
      </c>
      <c r="Q24" s="114" t="e">
        <f t="shared" si="5"/>
        <v>#DIV/0!</v>
      </c>
      <c r="R24" s="5" t="str">
        <f t="shared" si="0"/>
        <v>PAMA</v>
      </c>
    </row>
    <row r="25" spans="1:21" s="4" customFormat="1" ht="15" hidden="1" customHeight="1">
      <c r="A25" s="64"/>
      <c r="B25" s="7">
        <f t="shared" si="1"/>
        <v>14</v>
      </c>
      <c r="C25" s="7"/>
      <c r="D25" s="7"/>
      <c r="E25" s="7"/>
      <c r="F25" s="7"/>
      <c r="G25" s="177"/>
      <c r="H25" s="7"/>
      <c r="I25" s="86"/>
      <c r="J25" s="115"/>
      <c r="K25" s="116"/>
      <c r="L25" s="116"/>
      <c r="M25" s="116"/>
      <c r="N25" s="129" t="e">
        <f t="shared" si="6"/>
        <v>#DIV/0!</v>
      </c>
      <c r="O25" s="129" t="e">
        <f t="shared" si="7"/>
        <v>#DIV/0!</v>
      </c>
      <c r="P25" s="129" t="e">
        <f t="shared" si="4"/>
        <v>#DIV/0!</v>
      </c>
      <c r="Q25" s="114" t="e">
        <f t="shared" si="5"/>
        <v>#DIV/0!</v>
      </c>
      <c r="R25" s="5" t="e">
        <f t="shared" si="0"/>
        <v>#DIV/0!</v>
      </c>
    </row>
    <row r="26" spans="1:21" s="4" customFormat="1" ht="15" hidden="1" customHeight="1">
      <c r="A26" s="64"/>
      <c r="B26" s="7">
        <f t="shared" ref="B26:B31" si="16">B25+1</f>
        <v>15</v>
      </c>
      <c r="C26" s="7"/>
      <c r="D26" s="7"/>
      <c r="E26" s="7"/>
      <c r="F26" s="7"/>
      <c r="G26" s="177"/>
      <c r="H26" s="7"/>
      <c r="I26" s="86"/>
      <c r="J26" s="115"/>
      <c r="K26" s="116"/>
      <c r="L26" s="116"/>
      <c r="M26" s="116"/>
      <c r="N26" s="129" t="e">
        <f t="shared" ref="N26" si="17">+K26/(K26+L26)</f>
        <v>#DIV/0!</v>
      </c>
      <c r="O26" s="129" t="e">
        <f t="shared" ref="O26" si="18">+(K26+M26)/(K26+L26+M26)</f>
        <v>#DIV/0!</v>
      </c>
      <c r="P26" s="129" t="e">
        <f t="shared" si="4"/>
        <v>#DIV/0!</v>
      </c>
      <c r="Q26" s="114" t="e">
        <f t="shared" si="5"/>
        <v>#DIV/0!</v>
      </c>
      <c r="R26" s="5" t="e">
        <f t="shared" si="0"/>
        <v>#DIV/0!</v>
      </c>
    </row>
    <row r="27" spans="1:21" s="4" customFormat="1" ht="15" hidden="1" customHeight="1">
      <c r="A27" s="64"/>
      <c r="B27" s="171">
        <f t="shared" si="16"/>
        <v>16</v>
      </c>
      <c r="C27" s="171"/>
      <c r="D27" s="171"/>
      <c r="E27" s="171"/>
      <c r="F27" s="171"/>
      <c r="G27" s="242"/>
      <c r="H27" s="171"/>
      <c r="I27" s="249"/>
      <c r="J27" s="250"/>
      <c r="K27" s="251"/>
      <c r="L27" s="251"/>
      <c r="M27" s="251"/>
      <c r="N27" s="129" t="e">
        <f t="shared" ref="N27" si="19">+K27/(K27+L27)</f>
        <v>#DIV/0!</v>
      </c>
      <c r="O27" s="129" t="e">
        <f t="shared" ref="O27" si="20">+(K27+M27)/(K27+L27+M27)</f>
        <v>#DIV/0!</v>
      </c>
      <c r="P27" s="129" t="e">
        <f t="shared" si="4"/>
        <v>#DIV/0!</v>
      </c>
      <c r="Q27" s="114" t="e">
        <f t="shared" si="5"/>
        <v>#DIV/0!</v>
      </c>
      <c r="R27" s="5" t="e">
        <f t="shared" si="0"/>
        <v>#DIV/0!</v>
      </c>
    </row>
    <row r="28" spans="1:21" s="4" customFormat="1" ht="15" hidden="1" customHeight="1">
      <c r="A28" s="64"/>
      <c r="B28" s="7">
        <f t="shared" si="16"/>
        <v>17</v>
      </c>
      <c r="C28" s="7"/>
      <c r="D28" s="7"/>
      <c r="E28" s="7"/>
      <c r="F28" s="7"/>
      <c r="G28" s="177"/>
      <c r="H28" s="7"/>
      <c r="I28" s="86"/>
      <c r="J28" s="115"/>
      <c r="K28" s="116"/>
      <c r="L28" s="116"/>
      <c r="M28" s="116"/>
      <c r="N28" s="129" t="e">
        <f t="shared" ref="N28:N30" si="21">+K28/(K28+L28)</f>
        <v>#DIV/0!</v>
      </c>
      <c r="O28" s="129" t="e">
        <f t="shared" ref="O28:O30" si="22">+(K28+M28)/(K28+L28+M28)</f>
        <v>#DIV/0!</v>
      </c>
      <c r="P28" s="129" t="e">
        <f t="shared" si="4"/>
        <v>#DIV/0!</v>
      </c>
      <c r="Q28" s="114" t="e">
        <f t="shared" si="5"/>
        <v>#DIV/0!</v>
      </c>
      <c r="R28" s="5" t="e">
        <f t="shared" si="0"/>
        <v>#DIV/0!</v>
      </c>
    </row>
    <row r="29" spans="1:21" s="4" customFormat="1" ht="15" hidden="1" customHeight="1">
      <c r="A29" s="64"/>
      <c r="B29" s="7">
        <f t="shared" si="16"/>
        <v>18</v>
      </c>
      <c r="C29" s="7"/>
      <c r="D29" s="7"/>
      <c r="E29" s="7"/>
      <c r="F29" s="7"/>
      <c r="G29" s="177"/>
      <c r="H29" s="7"/>
      <c r="I29" s="86"/>
      <c r="J29" s="115"/>
      <c r="K29" s="116"/>
      <c r="L29" s="116"/>
      <c r="M29" s="116"/>
      <c r="N29" s="129" t="e">
        <f t="shared" si="21"/>
        <v>#DIV/0!</v>
      </c>
      <c r="O29" s="129" t="e">
        <f t="shared" si="22"/>
        <v>#DIV/0!</v>
      </c>
      <c r="P29" s="129" t="e">
        <f t="shared" si="4"/>
        <v>#DIV/0!</v>
      </c>
      <c r="Q29" s="114" t="e">
        <f t="shared" si="5"/>
        <v>#DIV/0!</v>
      </c>
      <c r="R29" s="5" t="e">
        <f t="shared" si="0"/>
        <v>#DIV/0!</v>
      </c>
    </row>
    <row r="30" spans="1:21" s="4" customFormat="1" ht="15" hidden="1" customHeight="1">
      <c r="A30" s="64"/>
      <c r="B30" s="7">
        <f t="shared" si="16"/>
        <v>19</v>
      </c>
      <c r="C30" s="7"/>
      <c r="D30" s="7"/>
      <c r="E30" s="7"/>
      <c r="F30" s="7"/>
      <c r="G30" s="177"/>
      <c r="H30" s="7"/>
      <c r="I30" s="86"/>
      <c r="J30" s="115"/>
      <c r="K30" s="116"/>
      <c r="L30" s="116"/>
      <c r="M30" s="116"/>
      <c r="N30" s="129" t="e">
        <f t="shared" si="21"/>
        <v>#DIV/0!</v>
      </c>
      <c r="O30" s="129" t="e">
        <f t="shared" si="22"/>
        <v>#DIV/0!</v>
      </c>
      <c r="P30" s="129" t="e">
        <f t="shared" si="4"/>
        <v>#DIV/0!</v>
      </c>
      <c r="Q30" s="114" t="e">
        <f t="shared" si="5"/>
        <v>#DIV/0!</v>
      </c>
      <c r="R30" s="5" t="e">
        <f t="shared" si="0"/>
        <v>#DIV/0!</v>
      </c>
    </row>
    <row r="31" spans="1:21" s="4" customFormat="1" ht="15" hidden="1" customHeight="1">
      <c r="A31" s="64"/>
      <c r="B31" s="7">
        <f t="shared" si="16"/>
        <v>20</v>
      </c>
      <c r="C31" s="7"/>
      <c r="D31" s="199"/>
      <c r="E31" s="177"/>
      <c r="F31" s="7"/>
      <c r="G31" s="9"/>
      <c r="H31" s="7"/>
      <c r="I31" s="7"/>
      <c r="J31" s="115"/>
      <c r="K31" s="116"/>
      <c r="L31" s="116"/>
      <c r="M31" s="116"/>
      <c r="N31" s="129" t="e">
        <f t="shared" ref="N31" si="23">+K31/(K31+L31)</f>
        <v>#DIV/0!</v>
      </c>
      <c r="O31" s="129" t="e">
        <f t="shared" ref="O31" si="24">+(K31+M31)/(K31+L31+M31)</f>
        <v>#DIV/0!</v>
      </c>
      <c r="P31" s="129" t="e">
        <f t="shared" si="4"/>
        <v>#DIV/0!</v>
      </c>
      <c r="Q31" s="114" t="e">
        <f t="shared" si="5"/>
        <v>#DIV/0!</v>
      </c>
      <c r="R31" s="5" t="e">
        <f t="shared" si="0"/>
        <v>#DIV/0!</v>
      </c>
    </row>
    <row r="32" spans="1:21" s="4" customFormat="1" ht="15" customHeight="1">
      <c r="A32" s="64"/>
      <c r="B32" s="336" t="s">
        <v>22</v>
      </c>
      <c r="C32" s="337"/>
      <c r="D32" s="337"/>
      <c r="E32" s="338"/>
      <c r="F32" s="8">
        <f>+COUNTA(F12:F31)</f>
        <v>10</v>
      </c>
      <c r="G32" s="9"/>
      <c r="H32" s="7"/>
      <c r="I32" s="86"/>
      <c r="J32" s="86"/>
      <c r="K32" s="85"/>
      <c r="L32" s="85"/>
      <c r="M32" s="85"/>
      <c r="N32" s="129"/>
      <c r="O32" s="129"/>
      <c r="P32" s="129"/>
      <c r="Q32" s="114"/>
      <c r="R32" s="5" t="b">
        <f t="shared" si="0"/>
        <v>0</v>
      </c>
    </row>
    <row r="33" spans="1:21" s="4" customFormat="1" ht="15" customHeight="1">
      <c r="A33" s="64"/>
      <c r="B33" s="327" t="s">
        <v>654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8"/>
      <c r="Q33" s="329"/>
      <c r="R33" s="5" t="b">
        <f t="shared" si="0"/>
        <v>0</v>
      </c>
      <c r="T33" s="52"/>
      <c r="U33" s="52"/>
    </row>
    <row r="34" spans="1:21" s="4" customFormat="1" ht="15" customHeight="1">
      <c r="A34" s="64"/>
      <c r="B34" s="7">
        <v>1</v>
      </c>
      <c r="C34" s="211" t="s">
        <v>10</v>
      </c>
      <c r="D34" s="211" t="s">
        <v>451</v>
      </c>
      <c r="E34" s="211" t="s">
        <v>11</v>
      </c>
      <c r="F34" s="211" t="s">
        <v>452</v>
      </c>
      <c r="G34" s="211">
        <v>2019</v>
      </c>
      <c r="H34" s="211" t="s">
        <v>13</v>
      </c>
      <c r="I34" s="211" t="s">
        <v>16</v>
      </c>
      <c r="J34" s="261">
        <v>131619.32476000002</v>
      </c>
      <c r="K34" s="260">
        <v>295.12</v>
      </c>
      <c r="L34" s="260">
        <v>50.01</v>
      </c>
      <c r="M34" s="260">
        <v>374.87</v>
      </c>
      <c r="N34" s="129">
        <f t="shared" ref="N34:N53" si="25">+K34/(K34+L34)</f>
        <v>0.85509807898473045</v>
      </c>
      <c r="O34" s="129">
        <f t="shared" ref="O34:O53" si="26">+(K34+M34)/(K34+L34+M34)</f>
        <v>0.93054166666666671</v>
      </c>
      <c r="P34" s="129">
        <f t="shared" ref="P34:P53" si="27">+K34/(K34+M34)</f>
        <v>0.44048418633113928</v>
      </c>
      <c r="Q34" s="114">
        <f t="shared" ref="Q34:Q53" si="28">+J34/K34</f>
        <v>445.98578462998108</v>
      </c>
      <c r="R34" s="5" t="str">
        <f t="shared" si="0"/>
        <v>PAMA</v>
      </c>
      <c r="T34" s="52" t="s">
        <v>437</v>
      </c>
      <c r="U34" s="52"/>
    </row>
    <row r="35" spans="1:21" s="4" customFormat="1" ht="15" customHeight="1">
      <c r="A35" s="64"/>
      <c r="B35" s="7">
        <f t="shared" ref="B35:B53" si="29">B34+1</f>
        <v>2</v>
      </c>
      <c r="C35" s="211" t="s">
        <v>10</v>
      </c>
      <c r="D35" s="211" t="s">
        <v>329</v>
      </c>
      <c r="E35" s="211" t="s">
        <v>15</v>
      </c>
      <c r="F35" s="211" t="s">
        <v>18</v>
      </c>
      <c r="G35" s="211">
        <v>2017</v>
      </c>
      <c r="H35" s="211" t="s">
        <v>13</v>
      </c>
      <c r="I35" s="211" t="s">
        <v>2212</v>
      </c>
      <c r="J35" s="261">
        <v>233361.58884999997</v>
      </c>
      <c r="K35" s="260">
        <v>308.22000000000003</v>
      </c>
      <c r="L35" s="260">
        <v>40.299999999999997</v>
      </c>
      <c r="M35" s="260">
        <v>371.48</v>
      </c>
      <c r="N35" s="129">
        <f t="shared" si="25"/>
        <v>0.8843681854699873</v>
      </c>
      <c r="O35" s="129">
        <f t="shared" si="26"/>
        <v>0.9440277777777778</v>
      </c>
      <c r="P35" s="129">
        <f t="shared" si="27"/>
        <v>0.45346476386641166</v>
      </c>
      <c r="Q35" s="114">
        <f t="shared" si="28"/>
        <v>757.12669148660029</v>
      </c>
      <c r="R35" s="5" t="str">
        <f t="shared" si="0"/>
        <v>PAMA</v>
      </c>
      <c r="T35" s="63" t="s">
        <v>258</v>
      </c>
    </row>
    <row r="36" spans="1:21" s="4" customFormat="1" ht="15" customHeight="1">
      <c r="A36" s="64"/>
      <c r="B36" s="7">
        <f t="shared" si="29"/>
        <v>3</v>
      </c>
      <c r="C36" s="211" t="s">
        <v>10</v>
      </c>
      <c r="D36" s="262" t="s">
        <v>453</v>
      </c>
      <c r="E36" s="211" t="s">
        <v>15</v>
      </c>
      <c r="F36" s="211" t="s">
        <v>18</v>
      </c>
      <c r="G36" s="211">
        <v>2019</v>
      </c>
      <c r="H36" s="211" t="s">
        <v>13</v>
      </c>
      <c r="I36" s="211" t="s">
        <v>2212</v>
      </c>
      <c r="J36" s="261">
        <v>269278.50562000001</v>
      </c>
      <c r="K36" s="260">
        <v>324.31</v>
      </c>
      <c r="L36" s="260">
        <v>30.5</v>
      </c>
      <c r="M36" s="260">
        <v>365.19</v>
      </c>
      <c r="N36" s="129">
        <f t="shared" si="25"/>
        <v>0.91403849947859417</v>
      </c>
      <c r="O36" s="129">
        <f t="shared" si="26"/>
        <v>0.95763888888888893</v>
      </c>
      <c r="P36" s="129">
        <f t="shared" si="27"/>
        <v>0.47035532994923857</v>
      </c>
      <c r="Q36" s="114">
        <f t="shared" si="28"/>
        <v>830.312064444513</v>
      </c>
      <c r="R36" s="5" t="str">
        <f t="shared" si="0"/>
        <v>PAMA</v>
      </c>
      <c r="T36" s="52"/>
    </row>
    <row r="37" spans="1:21" s="4" customFormat="1" ht="15" customHeight="1">
      <c r="A37" s="64"/>
      <c r="B37" s="7">
        <f t="shared" si="29"/>
        <v>4</v>
      </c>
      <c r="C37" s="211" t="s">
        <v>10</v>
      </c>
      <c r="D37" s="262" t="s">
        <v>2224</v>
      </c>
      <c r="E37" s="211" t="s">
        <v>15</v>
      </c>
      <c r="F37" s="211" t="s">
        <v>2225</v>
      </c>
      <c r="G37" s="211">
        <v>2014</v>
      </c>
      <c r="H37" s="211" t="s">
        <v>13</v>
      </c>
      <c r="I37" s="211" t="s">
        <v>2215</v>
      </c>
      <c r="J37" s="261">
        <v>3538.0416800000003</v>
      </c>
      <c r="K37" s="260">
        <v>269</v>
      </c>
      <c r="L37" s="260">
        <v>12.5</v>
      </c>
      <c r="M37" s="260">
        <v>438.5</v>
      </c>
      <c r="N37" s="129">
        <f t="shared" si="25"/>
        <v>0.95559502664298401</v>
      </c>
      <c r="O37" s="129">
        <f t="shared" si="26"/>
        <v>0.98263888888888884</v>
      </c>
      <c r="P37" s="129">
        <f t="shared" si="27"/>
        <v>0.38021201413427563</v>
      </c>
      <c r="Q37" s="114">
        <f t="shared" si="28"/>
        <v>13.152571301115243</v>
      </c>
      <c r="R37" s="5" t="str">
        <f t="shared" si="0"/>
        <v>PAMA</v>
      </c>
      <c r="T37" s="52"/>
    </row>
    <row r="38" spans="1:21" s="4" customFormat="1" ht="15" customHeight="1">
      <c r="A38" s="64"/>
      <c r="B38" s="7">
        <f t="shared" si="29"/>
        <v>5</v>
      </c>
      <c r="C38" s="210" t="s">
        <v>10</v>
      </c>
      <c r="D38" s="210" t="s">
        <v>2264</v>
      </c>
      <c r="E38" s="211" t="s">
        <v>15</v>
      </c>
      <c r="F38" s="210" t="s">
        <v>17</v>
      </c>
      <c r="G38" s="210">
        <v>2014</v>
      </c>
      <c r="H38" s="210" t="s">
        <v>13</v>
      </c>
      <c r="I38" s="210" t="s">
        <v>16</v>
      </c>
      <c r="J38" s="261">
        <v>28623.120129999999</v>
      </c>
      <c r="K38" s="260">
        <v>120.66</v>
      </c>
      <c r="L38" s="260">
        <v>40.92</v>
      </c>
      <c r="M38" s="260">
        <v>558.42000000000007</v>
      </c>
      <c r="N38" s="129">
        <f t="shared" si="25"/>
        <v>0.7467508354994431</v>
      </c>
      <c r="O38" s="129">
        <f t="shared" si="26"/>
        <v>0.94316666666666671</v>
      </c>
      <c r="P38" s="129">
        <f t="shared" si="27"/>
        <v>0.17768156918183423</v>
      </c>
      <c r="Q38" s="114">
        <f t="shared" si="28"/>
        <v>237.22128402121663</v>
      </c>
      <c r="R38" s="5" t="str">
        <f t="shared" si="0"/>
        <v>PAMA</v>
      </c>
      <c r="T38" s="11"/>
    </row>
    <row r="39" spans="1:21" s="4" customFormat="1" ht="15" hidden="1" customHeight="1">
      <c r="A39" s="64"/>
      <c r="B39" s="7">
        <f t="shared" si="29"/>
        <v>6</v>
      </c>
      <c r="C39" s="211"/>
      <c r="D39" s="211"/>
      <c r="E39" s="211"/>
      <c r="F39" s="211"/>
      <c r="G39" s="211"/>
      <c r="H39" s="211"/>
      <c r="I39" s="211"/>
      <c r="J39" s="243"/>
      <c r="K39" s="241"/>
      <c r="L39" s="241"/>
      <c r="M39" s="241"/>
      <c r="N39" s="129" t="e">
        <f t="shared" si="25"/>
        <v>#DIV/0!</v>
      </c>
      <c r="O39" s="129" t="e">
        <f t="shared" si="26"/>
        <v>#DIV/0!</v>
      </c>
      <c r="P39" s="129" t="e">
        <f t="shared" si="27"/>
        <v>#DIV/0!</v>
      </c>
      <c r="Q39" s="114" t="e">
        <f t="shared" si="28"/>
        <v>#DIV/0!</v>
      </c>
      <c r="R39" s="5" t="e">
        <f t="shared" si="0"/>
        <v>#DIV/0!</v>
      </c>
      <c r="T39" s="52"/>
    </row>
    <row r="40" spans="1:21" s="4" customFormat="1" ht="15" hidden="1" customHeight="1">
      <c r="A40" s="64"/>
      <c r="B40" s="7">
        <f t="shared" si="29"/>
        <v>7</v>
      </c>
      <c r="C40" s="211"/>
      <c r="D40" s="211"/>
      <c r="E40" s="211"/>
      <c r="F40" s="211"/>
      <c r="G40" s="211"/>
      <c r="H40" s="211"/>
      <c r="I40" s="211"/>
      <c r="J40" s="243"/>
      <c r="K40" s="241"/>
      <c r="L40" s="241"/>
      <c r="M40" s="241"/>
      <c r="N40" s="129" t="e">
        <f t="shared" si="25"/>
        <v>#DIV/0!</v>
      </c>
      <c r="O40" s="129" t="e">
        <f t="shared" si="26"/>
        <v>#DIV/0!</v>
      </c>
      <c r="P40" s="129" t="e">
        <f t="shared" si="27"/>
        <v>#DIV/0!</v>
      </c>
      <c r="Q40" s="114" t="e">
        <f t="shared" si="28"/>
        <v>#DIV/0!</v>
      </c>
      <c r="R40" s="5" t="e">
        <f t="shared" si="0"/>
        <v>#DIV/0!</v>
      </c>
      <c r="T40" s="63"/>
    </row>
    <row r="41" spans="1:21" s="4" customFormat="1" ht="15" hidden="1" customHeight="1">
      <c r="A41" s="64"/>
      <c r="B41" s="7">
        <f t="shared" si="29"/>
        <v>8</v>
      </c>
      <c r="C41" s="211"/>
      <c r="D41" s="211"/>
      <c r="E41" s="211"/>
      <c r="F41" s="211"/>
      <c r="G41" s="211"/>
      <c r="H41" s="211"/>
      <c r="I41" s="211"/>
      <c r="J41" s="243"/>
      <c r="K41" s="241"/>
      <c r="L41" s="241"/>
      <c r="M41" s="241"/>
      <c r="N41" s="129" t="e">
        <f t="shared" si="25"/>
        <v>#DIV/0!</v>
      </c>
      <c r="O41" s="129" t="e">
        <f t="shared" si="26"/>
        <v>#DIV/0!</v>
      </c>
      <c r="P41" s="129" t="e">
        <f t="shared" si="27"/>
        <v>#DIV/0!</v>
      </c>
      <c r="Q41" s="114" t="e">
        <f t="shared" si="28"/>
        <v>#DIV/0!</v>
      </c>
      <c r="R41" s="5" t="e">
        <f t="shared" si="0"/>
        <v>#DIV/0!</v>
      </c>
      <c r="T41" s="63"/>
    </row>
    <row r="42" spans="1:21" s="4" customFormat="1" ht="15" hidden="1" customHeight="1">
      <c r="A42" s="64"/>
      <c r="B42" s="7">
        <f t="shared" si="29"/>
        <v>9</v>
      </c>
      <c r="C42" s="211"/>
      <c r="D42" s="211"/>
      <c r="E42" s="211"/>
      <c r="F42" s="211"/>
      <c r="G42" s="211"/>
      <c r="H42" s="211"/>
      <c r="I42" s="211"/>
      <c r="J42" s="243"/>
      <c r="K42" s="241"/>
      <c r="L42" s="241"/>
      <c r="M42" s="241"/>
      <c r="N42" s="129" t="e">
        <f t="shared" si="25"/>
        <v>#DIV/0!</v>
      </c>
      <c r="O42" s="129" t="e">
        <f t="shared" si="26"/>
        <v>#DIV/0!</v>
      </c>
      <c r="P42" s="129" t="e">
        <f t="shared" si="27"/>
        <v>#DIV/0!</v>
      </c>
      <c r="Q42" s="114" t="e">
        <f t="shared" si="28"/>
        <v>#DIV/0!</v>
      </c>
      <c r="R42" s="5" t="e">
        <f t="shared" si="0"/>
        <v>#DIV/0!</v>
      </c>
      <c r="U42" s="159"/>
    </row>
    <row r="43" spans="1:21" s="4" customFormat="1" ht="15" hidden="1" customHeight="1">
      <c r="A43" s="64"/>
      <c r="B43" s="7">
        <f t="shared" si="29"/>
        <v>10</v>
      </c>
      <c r="C43" s="211"/>
      <c r="D43" s="211"/>
      <c r="E43" s="211"/>
      <c r="F43" s="211"/>
      <c r="G43" s="211"/>
      <c r="H43" s="211"/>
      <c r="I43" s="211"/>
      <c r="J43" s="243"/>
      <c r="K43" s="241"/>
      <c r="L43" s="241"/>
      <c r="M43" s="241"/>
      <c r="N43" s="129" t="e">
        <f t="shared" si="25"/>
        <v>#DIV/0!</v>
      </c>
      <c r="O43" s="129" t="e">
        <f t="shared" si="26"/>
        <v>#DIV/0!</v>
      </c>
      <c r="P43" s="129" t="e">
        <f t="shared" si="27"/>
        <v>#DIV/0!</v>
      </c>
      <c r="Q43" s="114" t="e">
        <f t="shared" si="28"/>
        <v>#DIV/0!</v>
      </c>
      <c r="R43" s="5" t="e">
        <f t="shared" si="0"/>
        <v>#DIV/0!</v>
      </c>
      <c r="U43" s="159"/>
    </row>
    <row r="44" spans="1:21" s="4" customFormat="1" ht="15" hidden="1" customHeight="1">
      <c r="A44" s="64"/>
      <c r="B44" s="7">
        <f t="shared" si="29"/>
        <v>11</v>
      </c>
      <c r="C44" s="211"/>
      <c r="D44" s="211"/>
      <c r="E44" s="211"/>
      <c r="F44" s="211"/>
      <c r="G44" s="211"/>
      <c r="H44" s="211"/>
      <c r="I44" s="211"/>
      <c r="J44" s="243"/>
      <c r="K44" s="241"/>
      <c r="L44" s="241"/>
      <c r="M44" s="241"/>
      <c r="N44" s="129" t="e">
        <f t="shared" si="25"/>
        <v>#DIV/0!</v>
      </c>
      <c r="O44" s="129" t="e">
        <f t="shared" si="26"/>
        <v>#DIV/0!</v>
      </c>
      <c r="P44" s="129" t="e">
        <f t="shared" si="27"/>
        <v>#DIV/0!</v>
      </c>
      <c r="Q44" s="114" t="e">
        <f t="shared" si="28"/>
        <v>#DIV/0!</v>
      </c>
      <c r="R44" s="5" t="e">
        <f t="shared" si="0"/>
        <v>#DIV/0!</v>
      </c>
      <c r="U44" s="159"/>
    </row>
    <row r="45" spans="1:21" s="4" customFormat="1" ht="15" hidden="1" customHeight="1">
      <c r="A45" s="64"/>
      <c r="B45" s="7">
        <f t="shared" si="29"/>
        <v>12</v>
      </c>
      <c r="C45" s="211"/>
      <c r="D45" s="211"/>
      <c r="E45" s="211"/>
      <c r="F45" s="211"/>
      <c r="G45" s="211"/>
      <c r="H45" s="211"/>
      <c r="I45" s="211"/>
      <c r="J45" s="243"/>
      <c r="K45" s="241"/>
      <c r="L45" s="241"/>
      <c r="M45" s="241"/>
      <c r="N45" s="129" t="e">
        <f t="shared" si="25"/>
        <v>#DIV/0!</v>
      </c>
      <c r="O45" s="129" t="e">
        <f t="shared" si="26"/>
        <v>#DIV/0!</v>
      </c>
      <c r="P45" s="129" t="e">
        <f t="shared" si="27"/>
        <v>#DIV/0!</v>
      </c>
      <c r="Q45" s="114" t="e">
        <f t="shared" si="28"/>
        <v>#DIV/0!</v>
      </c>
      <c r="R45" s="5" t="e">
        <f t="shared" si="0"/>
        <v>#DIV/0!</v>
      </c>
      <c r="U45" s="159"/>
    </row>
    <row r="46" spans="1:21" s="4" customFormat="1" ht="15" hidden="1" customHeight="1">
      <c r="A46" s="64"/>
      <c r="B46" s="7">
        <f t="shared" si="29"/>
        <v>13</v>
      </c>
      <c r="C46" s="211"/>
      <c r="D46" s="211"/>
      <c r="E46" s="211"/>
      <c r="F46" s="211"/>
      <c r="G46" s="211"/>
      <c r="H46" s="211"/>
      <c r="I46" s="211"/>
      <c r="J46" s="243"/>
      <c r="K46" s="241"/>
      <c r="L46" s="241"/>
      <c r="M46" s="241"/>
      <c r="N46" s="129" t="e">
        <f t="shared" si="25"/>
        <v>#DIV/0!</v>
      </c>
      <c r="O46" s="129" t="e">
        <f t="shared" si="26"/>
        <v>#DIV/0!</v>
      </c>
      <c r="P46" s="129" t="e">
        <f t="shared" si="27"/>
        <v>#DIV/0!</v>
      </c>
      <c r="Q46" s="114" t="e">
        <f t="shared" si="28"/>
        <v>#DIV/0!</v>
      </c>
      <c r="R46" s="5" t="e">
        <f t="shared" si="0"/>
        <v>#DIV/0!</v>
      </c>
    </row>
    <row r="47" spans="1:21" s="4" customFormat="1" ht="15" hidden="1" customHeight="1">
      <c r="A47" s="64"/>
      <c r="B47" s="7">
        <f t="shared" si="29"/>
        <v>14</v>
      </c>
      <c r="C47" s="7"/>
      <c r="D47" s="7"/>
      <c r="E47" s="7"/>
      <c r="F47" s="7"/>
      <c r="G47" s="177"/>
      <c r="H47" s="7"/>
      <c r="I47" s="86"/>
      <c r="J47" s="115"/>
      <c r="K47" s="116"/>
      <c r="L47" s="116"/>
      <c r="M47" s="116"/>
      <c r="N47" s="129" t="e">
        <f t="shared" si="25"/>
        <v>#DIV/0!</v>
      </c>
      <c r="O47" s="129" t="e">
        <f t="shared" si="26"/>
        <v>#DIV/0!</v>
      </c>
      <c r="P47" s="129" t="e">
        <f t="shared" si="27"/>
        <v>#DIV/0!</v>
      </c>
      <c r="Q47" s="114" t="e">
        <f t="shared" si="28"/>
        <v>#DIV/0!</v>
      </c>
      <c r="R47" s="5" t="e">
        <f t="shared" si="0"/>
        <v>#DIV/0!</v>
      </c>
    </row>
    <row r="48" spans="1:21" s="4" customFormat="1" ht="15" hidden="1" customHeight="1">
      <c r="A48" s="64"/>
      <c r="B48" s="7">
        <f t="shared" si="29"/>
        <v>15</v>
      </c>
      <c r="C48" s="7"/>
      <c r="D48" s="7"/>
      <c r="E48" s="7"/>
      <c r="F48" s="7"/>
      <c r="G48" s="177"/>
      <c r="H48" s="7"/>
      <c r="I48" s="86"/>
      <c r="J48" s="115"/>
      <c r="K48" s="116"/>
      <c r="L48" s="116"/>
      <c r="M48" s="116"/>
      <c r="N48" s="129" t="e">
        <f t="shared" si="25"/>
        <v>#DIV/0!</v>
      </c>
      <c r="O48" s="129" t="e">
        <f t="shared" si="26"/>
        <v>#DIV/0!</v>
      </c>
      <c r="P48" s="129" t="e">
        <f t="shared" si="27"/>
        <v>#DIV/0!</v>
      </c>
      <c r="Q48" s="114" t="e">
        <f t="shared" si="28"/>
        <v>#DIV/0!</v>
      </c>
      <c r="R48" s="5" t="e">
        <f t="shared" si="0"/>
        <v>#DIV/0!</v>
      </c>
    </row>
    <row r="49" spans="1:21" s="4" customFormat="1" ht="15" hidden="1" customHeight="1">
      <c r="A49" s="64"/>
      <c r="B49" s="171">
        <f t="shared" si="29"/>
        <v>16</v>
      </c>
      <c r="C49" s="171"/>
      <c r="D49" s="171"/>
      <c r="E49" s="171"/>
      <c r="F49" s="171"/>
      <c r="G49" s="242"/>
      <c r="H49" s="171"/>
      <c r="I49" s="249"/>
      <c r="J49" s="250"/>
      <c r="K49" s="251"/>
      <c r="L49" s="251"/>
      <c r="M49" s="251"/>
      <c r="N49" s="129" t="e">
        <f t="shared" si="25"/>
        <v>#DIV/0!</v>
      </c>
      <c r="O49" s="129" t="e">
        <f t="shared" si="26"/>
        <v>#DIV/0!</v>
      </c>
      <c r="P49" s="129" t="e">
        <f t="shared" si="27"/>
        <v>#DIV/0!</v>
      </c>
      <c r="Q49" s="114" t="e">
        <f t="shared" si="28"/>
        <v>#DIV/0!</v>
      </c>
      <c r="R49" s="5" t="e">
        <f t="shared" si="0"/>
        <v>#DIV/0!</v>
      </c>
    </row>
    <row r="50" spans="1:21" s="4" customFormat="1" ht="15" hidden="1" customHeight="1">
      <c r="A50" s="64"/>
      <c r="B50" s="7">
        <f t="shared" si="29"/>
        <v>17</v>
      </c>
      <c r="C50" s="7"/>
      <c r="D50" s="7"/>
      <c r="E50" s="7"/>
      <c r="F50" s="7"/>
      <c r="G50" s="177"/>
      <c r="H50" s="7"/>
      <c r="I50" s="86"/>
      <c r="J50" s="115"/>
      <c r="K50" s="116"/>
      <c r="L50" s="116"/>
      <c r="M50" s="116"/>
      <c r="N50" s="129" t="e">
        <f t="shared" si="25"/>
        <v>#DIV/0!</v>
      </c>
      <c r="O50" s="129" t="e">
        <f t="shared" si="26"/>
        <v>#DIV/0!</v>
      </c>
      <c r="P50" s="129" t="e">
        <f t="shared" si="27"/>
        <v>#DIV/0!</v>
      </c>
      <c r="Q50" s="114" t="e">
        <f t="shared" si="28"/>
        <v>#DIV/0!</v>
      </c>
      <c r="R50" s="5" t="e">
        <f t="shared" si="0"/>
        <v>#DIV/0!</v>
      </c>
    </row>
    <row r="51" spans="1:21" s="4" customFormat="1" ht="15" hidden="1" customHeight="1">
      <c r="A51" s="64"/>
      <c r="B51" s="7">
        <f t="shared" si="29"/>
        <v>18</v>
      </c>
      <c r="C51" s="7"/>
      <c r="D51" s="7"/>
      <c r="E51" s="7"/>
      <c r="F51" s="7"/>
      <c r="G51" s="177"/>
      <c r="H51" s="7"/>
      <c r="I51" s="86"/>
      <c r="J51" s="115"/>
      <c r="K51" s="116"/>
      <c r="L51" s="116"/>
      <c r="M51" s="116"/>
      <c r="N51" s="129" t="e">
        <f t="shared" si="25"/>
        <v>#DIV/0!</v>
      </c>
      <c r="O51" s="129" t="e">
        <f t="shared" si="26"/>
        <v>#DIV/0!</v>
      </c>
      <c r="P51" s="129" t="e">
        <f t="shared" si="27"/>
        <v>#DIV/0!</v>
      </c>
      <c r="Q51" s="114" t="e">
        <f t="shared" si="28"/>
        <v>#DIV/0!</v>
      </c>
      <c r="R51" s="5" t="e">
        <f t="shared" si="0"/>
        <v>#DIV/0!</v>
      </c>
    </row>
    <row r="52" spans="1:21" s="4" customFormat="1" ht="15" hidden="1" customHeight="1">
      <c r="A52" s="64"/>
      <c r="B52" s="7">
        <f t="shared" si="29"/>
        <v>19</v>
      </c>
      <c r="C52" s="7"/>
      <c r="D52" s="7"/>
      <c r="E52" s="7"/>
      <c r="F52" s="7"/>
      <c r="G52" s="177"/>
      <c r="H52" s="7"/>
      <c r="I52" s="86"/>
      <c r="J52" s="115"/>
      <c r="K52" s="116"/>
      <c r="L52" s="116"/>
      <c r="M52" s="116"/>
      <c r="N52" s="129" t="e">
        <f t="shared" si="25"/>
        <v>#DIV/0!</v>
      </c>
      <c r="O52" s="129" t="e">
        <f t="shared" si="26"/>
        <v>#DIV/0!</v>
      </c>
      <c r="P52" s="129" t="e">
        <f t="shared" si="27"/>
        <v>#DIV/0!</v>
      </c>
      <c r="Q52" s="114" t="e">
        <f t="shared" si="28"/>
        <v>#DIV/0!</v>
      </c>
      <c r="R52" s="5" t="e">
        <f t="shared" si="0"/>
        <v>#DIV/0!</v>
      </c>
    </row>
    <row r="53" spans="1:21" s="4" customFormat="1" ht="15" hidden="1" customHeight="1">
      <c r="A53" s="64"/>
      <c r="B53" s="7">
        <f t="shared" si="29"/>
        <v>20</v>
      </c>
      <c r="C53" s="7"/>
      <c r="D53" s="199"/>
      <c r="E53" s="177"/>
      <c r="F53" s="7"/>
      <c r="G53" s="9"/>
      <c r="H53" s="7"/>
      <c r="I53" s="7"/>
      <c r="J53" s="115"/>
      <c r="K53" s="116"/>
      <c r="L53" s="116"/>
      <c r="M53" s="116"/>
      <c r="N53" s="129" t="e">
        <f t="shared" si="25"/>
        <v>#DIV/0!</v>
      </c>
      <c r="O53" s="129" t="e">
        <f t="shared" si="26"/>
        <v>#DIV/0!</v>
      </c>
      <c r="P53" s="129" t="e">
        <f t="shared" si="27"/>
        <v>#DIV/0!</v>
      </c>
      <c r="Q53" s="114" t="e">
        <f t="shared" si="28"/>
        <v>#DIV/0!</v>
      </c>
      <c r="R53" s="5" t="e">
        <f t="shared" si="0"/>
        <v>#DIV/0!</v>
      </c>
    </row>
    <row r="54" spans="1:21" s="4" customFormat="1" ht="15" customHeight="1">
      <c r="A54" s="64"/>
      <c r="B54" s="336" t="s">
        <v>22</v>
      </c>
      <c r="C54" s="337"/>
      <c r="D54" s="337"/>
      <c r="E54" s="338"/>
      <c r="F54" s="8">
        <f>+COUNTA(F34:F53)</f>
        <v>5</v>
      </c>
      <c r="G54" s="9"/>
      <c r="H54" s="7"/>
      <c r="I54" s="86"/>
      <c r="J54" s="86"/>
      <c r="K54" s="85"/>
      <c r="L54" s="85"/>
      <c r="M54" s="85"/>
      <c r="N54" s="129"/>
      <c r="O54" s="129"/>
      <c r="P54" s="129"/>
      <c r="Q54" s="114"/>
      <c r="R54" s="5" t="b">
        <f t="shared" si="0"/>
        <v>0</v>
      </c>
    </row>
    <row r="55" spans="1:21" s="4" customFormat="1" ht="15" customHeight="1">
      <c r="A55" s="64"/>
      <c r="B55" s="327" t="s">
        <v>572</v>
      </c>
      <c r="C55" s="328"/>
      <c r="D55" s="328"/>
      <c r="E55" s="328"/>
      <c r="F55" s="328"/>
      <c r="G55" s="328"/>
      <c r="H55" s="328"/>
      <c r="I55" s="328"/>
      <c r="J55" s="328"/>
      <c r="K55" s="328"/>
      <c r="L55" s="328"/>
      <c r="M55" s="328"/>
      <c r="N55" s="328"/>
      <c r="O55" s="328"/>
      <c r="P55" s="328"/>
      <c r="Q55" s="329"/>
      <c r="R55" s="5" t="b">
        <f t="shared" si="0"/>
        <v>0</v>
      </c>
      <c r="T55" s="52"/>
      <c r="U55" s="52"/>
    </row>
    <row r="56" spans="1:21" s="4" customFormat="1" ht="15" customHeight="1">
      <c r="A56" s="64"/>
      <c r="B56" s="7">
        <v>1</v>
      </c>
      <c r="C56" s="263" t="s">
        <v>10</v>
      </c>
      <c r="D56" s="263" t="s">
        <v>429</v>
      </c>
      <c r="E56" s="263" t="s">
        <v>15</v>
      </c>
      <c r="F56" s="263" t="s">
        <v>17</v>
      </c>
      <c r="G56" s="264">
        <v>43117</v>
      </c>
      <c r="H56" s="263" t="s">
        <v>13</v>
      </c>
      <c r="I56" s="263" t="s">
        <v>16</v>
      </c>
      <c r="J56" s="266">
        <v>103784.02699000001</v>
      </c>
      <c r="K56" s="265">
        <v>304.25</v>
      </c>
      <c r="L56" s="265">
        <v>41.55</v>
      </c>
      <c r="M56" s="265">
        <v>374.20000000000005</v>
      </c>
      <c r="N56" s="129">
        <f t="shared" ref="N56" si="30">+K56/(K56+L56)</f>
        <v>0.87984384037015617</v>
      </c>
      <c r="O56" s="129">
        <f t="shared" ref="O56" si="31">+(K56+M56)/(K56+L56+M56)</f>
        <v>0.94229166666666675</v>
      </c>
      <c r="P56" s="129">
        <f t="shared" ref="P56" si="32">+K56/(K56+M56)</f>
        <v>0.44844866976195735</v>
      </c>
      <c r="Q56" s="114">
        <f t="shared" ref="Q56" si="33">+J56/K56</f>
        <v>341.11430399342652</v>
      </c>
      <c r="R56" s="5" t="str">
        <f t="shared" si="0"/>
        <v>PAMA</v>
      </c>
      <c r="T56" s="52" t="s">
        <v>437</v>
      </c>
      <c r="U56" s="52"/>
    </row>
    <row r="57" spans="1:21" s="4" customFormat="1" ht="15" customHeight="1">
      <c r="A57" s="64"/>
      <c r="B57" s="7">
        <f t="shared" ref="B57:B75" si="34">B56+1</f>
        <v>2</v>
      </c>
      <c r="C57" s="263" t="s">
        <v>10</v>
      </c>
      <c r="D57" s="263" t="s">
        <v>313</v>
      </c>
      <c r="E57" s="263" t="s">
        <v>15</v>
      </c>
      <c r="F57" s="263" t="s">
        <v>18</v>
      </c>
      <c r="G57" s="263">
        <v>2008</v>
      </c>
      <c r="H57" s="263" t="s">
        <v>13</v>
      </c>
      <c r="I57" s="263" t="s">
        <v>2212</v>
      </c>
      <c r="J57" s="266">
        <v>251160.46093999996</v>
      </c>
      <c r="K57" s="265">
        <v>307.62</v>
      </c>
      <c r="L57" s="265">
        <v>37.76</v>
      </c>
      <c r="M57" s="265">
        <v>374.62</v>
      </c>
      <c r="N57" s="129">
        <f t="shared" ref="N57:N75" si="35">+K57/(K57+L57)</f>
        <v>0.89067114482598875</v>
      </c>
      <c r="O57" s="129">
        <f t="shared" ref="O57:O75" si="36">+(K57+M57)/(K57+L57+M57)</f>
        <v>0.9475555555555556</v>
      </c>
      <c r="P57" s="129">
        <f t="shared" ref="P57:P75" si="37">+K57/(K57+M57)</f>
        <v>0.4508970450281426</v>
      </c>
      <c r="Q57" s="114">
        <f t="shared" ref="Q57:Q75" si="38">+J57/K57</f>
        <v>816.46336694623221</v>
      </c>
      <c r="R57" s="5" t="str">
        <f t="shared" si="0"/>
        <v>PAMA</v>
      </c>
      <c r="T57" s="63" t="s">
        <v>258</v>
      </c>
    </row>
    <row r="58" spans="1:21" s="4" customFormat="1" ht="15" customHeight="1">
      <c r="A58" s="64"/>
      <c r="B58" s="7">
        <f t="shared" si="34"/>
        <v>3</v>
      </c>
      <c r="C58" s="263" t="s">
        <v>10</v>
      </c>
      <c r="D58" s="263" t="s">
        <v>21</v>
      </c>
      <c r="E58" s="263" t="s">
        <v>15</v>
      </c>
      <c r="F58" s="263" t="s">
        <v>18</v>
      </c>
      <c r="G58" s="263">
        <v>2009</v>
      </c>
      <c r="H58" s="263" t="s">
        <v>13</v>
      </c>
      <c r="I58" s="263" t="s">
        <v>2212</v>
      </c>
      <c r="J58" s="266">
        <v>208492.87723000001</v>
      </c>
      <c r="K58" s="265">
        <v>304.76</v>
      </c>
      <c r="L58" s="265">
        <v>45.58</v>
      </c>
      <c r="M58" s="265">
        <v>369.65999999999997</v>
      </c>
      <c r="N58" s="129">
        <f t="shared" si="35"/>
        <v>0.86989781355254903</v>
      </c>
      <c r="O58" s="129">
        <f t="shared" si="36"/>
        <v>0.93669444444444439</v>
      </c>
      <c r="P58" s="129">
        <f t="shared" si="37"/>
        <v>0.45188458230776074</v>
      </c>
      <c r="Q58" s="114">
        <f t="shared" si="38"/>
        <v>684.12152917049491</v>
      </c>
      <c r="R58" s="5" t="str">
        <f t="shared" si="0"/>
        <v>PAMA</v>
      </c>
      <c r="T58" s="52"/>
    </row>
    <row r="59" spans="1:21" s="4" customFormat="1" ht="15" hidden="1" customHeight="1">
      <c r="A59" s="64"/>
      <c r="B59" s="7">
        <f t="shared" si="34"/>
        <v>4</v>
      </c>
      <c r="C59" s="263" t="s">
        <v>10</v>
      </c>
      <c r="D59" s="263"/>
      <c r="E59" s="263"/>
      <c r="F59" s="263"/>
      <c r="G59" s="263"/>
      <c r="H59" s="263"/>
      <c r="I59" s="263"/>
      <c r="J59" s="266"/>
      <c r="K59" s="265"/>
      <c r="L59" s="265"/>
      <c r="M59" s="265"/>
      <c r="N59" s="129"/>
      <c r="O59" s="129"/>
      <c r="P59" s="129"/>
      <c r="Q59" s="114"/>
      <c r="R59" s="5" t="b">
        <f t="shared" si="0"/>
        <v>0</v>
      </c>
      <c r="T59" s="52"/>
    </row>
    <row r="60" spans="1:21" s="4" customFormat="1" ht="15" hidden="1" customHeight="1">
      <c r="A60" s="64"/>
      <c r="B60" s="7">
        <f t="shared" si="34"/>
        <v>5</v>
      </c>
      <c r="C60" s="211" t="s">
        <v>10</v>
      </c>
      <c r="D60" s="211"/>
      <c r="E60" s="211"/>
      <c r="F60" s="211"/>
      <c r="G60" s="244"/>
      <c r="H60" s="211"/>
      <c r="I60" s="211"/>
      <c r="J60" s="243"/>
      <c r="K60" s="241"/>
      <c r="L60" s="241"/>
      <c r="M60" s="241"/>
      <c r="N60" s="129" t="e">
        <f t="shared" si="35"/>
        <v>#DIV/0!</v>
      </c>
      <c r="O60" s="129" t="e">
        <f t="shared" si="36"/>
        <v>#DIV/0!</v>
      </c>
      <c r="P60" s="129" t="e">
        <f t="shared" si="37"/>
        <v>#DIV/0!</v>
      </c>
      <c r="Q60" s="114" t="e">
        <f t="shared" si="38"/>
        <v>#DIV/0!</v>
      </c>
      <c r="R60" s="5" t="e">
        <f t="shared" si="0"/>
        <v>#DIV/0!</v>
      </c>
      <c r="T60" s="11"/>
    </row>
    <row r="61" spans="1:21" s="4" customFormat="1" ht="15" hidden="1" customHeight="1">
      <c r="A61" s="64"/>
      <c r="B61" s="7">
        <f t="shared" si="34"/>
        <v>6</v>
      </c>
      <c r="C61" s="211"/>
      <c r="D61" s="211"/>
      <c r="E61" s="211"/>
      <c r="F61" s="211"/>
      <c r="G61" s="211"/>
      <c r="H61" s="211"/>
      <c r="I61" s="211"/>
      <c r="J61" s="243"/>
      <c r="K61" s="241"/>
      <c r="L61" s="241"/>
      <c r="M61" s="241"/>
      <c r="N61" s="129" t="e">
        <f t="shared" si="35"/>
        <v>#DIV/0!</v>
      </c>
      <c r="O61" s="129" t="e">
        <f t="shared" si="36"/>
        <v>#DIV/0!</v>
      </c>
      <c r="P61" s="129" t="e">
        <f t="shared" si="37"/>
        <v>#DIV/0!</v>
      </c>
      <c r="Q61" s="114" t="e">
        <f t="shared" si="38"/>
        <v>#DIV/0!</v>
      </c>
      <c r="R61" s="5" t="e">
        <f t="shared" si="0"/>
        <v>#DIV/0!</v>
      </c>
      <c r="T61" s="52"/>
    </row>
    <row r="62" spans="1:21" s="4" customFormat="1" ht="15" hidden="1" customHeight="1">
      <c r="A62" s="64"/>
      <c r="B62" s="7">
        <f t="shared" si="34"/>
        <v>7</v>
      </c>
      <c r="C62" s="211"/>
      <c r="D62" s="211"/>
      <c r="E62" s="211"/>
      <c r="F62" s="211"/>
      <c r="G62" s="211"/>
      <c r="H62" s="211"/>
      <c r="I62" s="211"/>
      <c r="J62" s="243"/>
      <c r="K62" s="241"/>
      <c r="L62" s="241"/>
      <c r="M62" s="241"/>
      <c r="N62" s="129" t="e">
        <f t="shared" si="35"/>
        <v>#DIV/0!</v>
      </c>
      <c r="O62" s="129" t="e">
        <f t="shared" si="36"/>
        <v>#DIV/0!</v>
      </c>
      <c r="P62" s="129" t="e">
        <f t="shared" si="37"/>
        <v>#DIV/0!</v>
      </c>
      <c r="Q62" s="114" t="e">
        <f t="shared" si="38"/>
        <v>#DIV/0!</v>
      </c>
      <c r="R62" s="5" t="e">
        <f t="shared" si="0"/>
        <v>#DIV/0!</v>
      </c>
      <c r="T62" s="63"/>
    </row>
    <row r="63" spans="1:21" s="4" customFormat="1" ht="15" hidden="1" customHeight="1">
      <c r="A63" s="64"/>
      <c r="B63" s="7">
        <f t="shared" si="34"/>
        <v>8</v>
      </c>
      <c r="C63" s="211"/>
      <c r="D63" s="211"/>
      <c r="E63" s="211"/>
      <c r="F63" s="211"/>
      <c r="G63" s="211"/>
      <c r="H63" s="211"/>
      <c r="I63" s="211"/>
      <c r="J63" s="243"/>
      <c r="K63" s="241"/>
      <c r="L63" s="241"/>
      <c r="M63" s="241"/>
      <c r="N63" s="129" t="e">
        <f t="shared" si="35"/>
        <v>#DIV/0!</v>
      </c>
      <c r="O63" s="129" t="e">
        <f t="shared" si="36"/>
        <v>#DIV/0!</v>
      </c>
      <c r="P63" s="129" t="e">
        <f t="shared" si="37"/>
        <v>#DIV/0!</v>
      </c>
      <c r="Q63" s="114" t="e">
        <f t="shared" si="38"/>
        <v>#DIV/0!</v>
      </c>
      <c r="R63" s="5" t="e">
        <f t="shared" si="0"/>
        <v>#DIV/0!</v>
      </c>
      <c r="T63" s="63"/>
    </row>
    <row r="64" spans="1:21" s="4" customFormat="1" ht="15" hidden="1" customHeight="1">
      <c r="A64" s="64"/>
      <c r="B64" s="7">
        <f t="shared" si="34"/>
        <v>9</v>
      </c>
      <c r="C64" s="211"/>
      <c r="D64" s="211"/>
      <c r="E64" s="211"/>
      <c r="F64" s="211"/>
      <c r="G64" s="211"/>
      <c r="H64" s="211"/>
      <c r="I64" s="211"/>
      <c r="J64" s="243"/>
      <c r="K64" s="241"/>
      <c r="L64" s="241"/>
      <c r="M64" s="241"/>
      <c r="N64" s="129" t="e">
        <f t="shared" si="35"/>
        <v>#DIV/0!</v>
      </c>
      <c r="O64" s="129" t="e">
        <f t="shared" si="36"/>
        <v>#DIV/0!</v>
      </c>
      <c r="P64" s="129" t="e">
        <f t="shared" si="37"/>
        <v>#DIV/0!</v>
      </c>
      <c r="Q64" s="114" t="e">
        <f t="shared" si="38"/>
        <v>#DIV/0!</v>
      </c>
      <c r="R64" s="5" t="e">
        <f t="shared" si="0"/>
        <v>#DIV/0!</v>
      </c>
      <c r="U64" s="159"/>
    </row>
    <row r="65" spans="1:21" s="4" customFormat="1" ht="15" hidden="1" customHeight="1">
      <c r="A65" s="64"/>
      <c r="B65" s="7">
        <f t="shared" si="34"/>
        <v>10</v>
      </c>
      <c r="C65" s="211"/>
      <c r="D65" s="211"/>
      <c r="E65" s="211"/>
      <c r="F65" s="211"/>
      <c r="G65" s="211"/>
      <c r="H65" s="211"/>
      <c r="I65" s="211"/>
      <c r="J65" s="243"/>
      <c r="K65" s="241"/>
      <c r="L65" s="241"/>
      <c r="M65" s="241"/>
      <c r="N65" s="129" t="e">
        <f t="shared" si="35"/>
        <v>#DIV/0!</v>
      </c>
      <c r="O65" s="129" t="e">
        <f t="shared" si="36"/>
        <v>#DIV/0!</v>
      </c>
      <c r="P65" s="129" t="e">
        <f t="shared" si="37"/>
        <v>#DIV/0!</v>
      </c>
      <c r="Q65" s="114" t="e">
        <f t="shared" si="38"/>
        <v>#DIV/0!</v>
      </c>
      <c r="R65" s="5" t="e">
        <f t="shared" si="0"/>
        <v>#DIV/0!</v>
      </c>
      <c r="U65" s="159"/>
    </row>
    <row r="66" spans="1:21" s="4" customFormat="1" ht="15" hidden="1" customHeight="1">
      <c r="A66" s="64"/>
      <c r="B66" s="7">
        <f t="shared" si="34"/>
        <v>11</v>
      </c>
      <c r="C66" s="211"/>
      <c r="D66" s="211"/>
      <c r="E66" s="211"/>
      <c r="F66" s="211"/>
      <c r="G66" s="211"/>
      <c r="H66" s="211"/>
      <c r="I66" s="211"/>
      <c r="J66" s="243"/>
      <c r="K66" s="241"/>
      <c r="L66" s="241"/>
      <c r="M66" s="241"/>
      <c r="N66" s="129" t="e">
        <f t="shared" si="35"/>
        <v>#DIV/0!</v>
      </c>
      <c r="O66" s="129" t="e">
        <f t="shared" si="36"/>
        <v>#DIV/0!</v>
      </c>
      <c r="P66" s="129" t="e">
        <f t="shared" si="37"/>
        <v>#DIV/0!</v>
      </c>
      <c r="Q66" s="114" t="e">
        <f t="shared" si="38"/>
        <v>#DIV/0!</v>
      </c>
      <c r="R66" s="5" t="e">
        <f t="shared" si="0"/>
        <v>#DIV/0!</v>
      </c>
      <c r="U66" s="159"/>
    </row>
    <row r="67" spans="1:21" s="4" customFormat="1" ht="15" hidden="1" customHeight="1">
      <c r="A67" s="64"/>
      <c r="B67" s="7">
        <f t="shared" si="34"/>
        <v>12</v>
      </c>
      <c r="C67" s="211"/>
      <c r="D67" s="211"/>
      <c r="E67" s="211"/>
      <c r="F67" s="211"/>
      <c r="G67" s="211"/>
      <c r="H67" s="211"/>
      <c r="I67" s="211"/>
      <c r="J67" s="243"/>
      <c r="K67" s="241"/>
      <c r="L67" s="241"/>
      <c r="M67" s="241"/>
      <c r="N67" s="129" t="e">
        <f t="shared" si="35"/>
        <v>#DIV/0!</v>
      </c>
      <c r="O67" s="129" t="e">
        <f t="shared" si="36"/>
        <v>#DIV/0!</v>
      </c>
      <c r="P67" s="129" t="e">
        <f t="shared" si="37"/>
        <v>#DIV/0!</v>
      </c>
      <c r="Q67" s="114" t="e">
        <f t="shared" si="38"/>
        <v>#DIV/0!</v>
      </c>
      <c r="R67" s="5" t="e">
        <f t="shared" si="0"/>
        <v>#DIV/0!</v>
      </c>
      <c r="U67" s="159"/>
    </row>
    <row r="68" spans="1:21" s="4" customFormat="1" ht="15" hidden="1" customHeight="1">
      <c r="A68" s="64"/>
      <c r="B68" s="7">
        <f t="shared" si="34"/>
        <v>13</v>
      </c>
      <c r="C68" s="211"/>
      <c r="D68" s="211"/>
      <c r="E68" s="211"/>
      <c r="F68" s="211"/>
      <c r="G68" s="211"/>
      <c r="H68" s="211"/>
      <c r="I68" s="211"/>
      <c r="J68" s="243"/>
      <c r="K68" s="241"/>
      <c r="L68" s="241"/>
      <c r="M68" s="241"/>
      <c r="N68" s="129" t="e">
        <f t="shared" si="35"/>
        <v>#DIV/0!</v>
      </c>
      <c r="O68" s="129" t="e">
        <f t="shared" si="36"/>
        <v>#DIV/0!</v>
      </c>
      <c r="P68" s="129" t="e">
        <f t="shared" si="37"/>
        <v>#DIV/0!</v>
      </c>
      <c r="Q68" s="114" t="e">
        <f t="shared" si="38"/>
        <v>#DIV/0!</v>
      </c>
      <c r="R68" s="5" t="e">
        <f t="shared" si="0"/>
        <v>#DIV/0!</v>
      </c>
    </row>
    <row r="69" spans="1:21" s="4" customFormat="1" ht="15" hidden="1" customHeight="1">
      <c r="A69" s="64"/>
      <c r="B69" s="7">
        <f t="shared" si="34"/>
        <v>14</v>
      </c>
      <c r="C69" s="7"/>
      <c r="D69" s="7"/>
      <c r="E69" s="7"/>
      <c r="F69" s="7"/>
      <c r="G69" s="177"/>
      <c r="H69" s="7"/>
      <c r="I69" s="86"/>
      <c r="J69" s="115"/>
      <c r="K69" s="116"/>
      <c r="L69" s="116"/>
      <c r="M69" s="116"/>
      <c r="N69" s="129" t="e">
        <f t="shared" si="35"/>
        <v>#DIV/0!</v>
      </c>
      <c r="O69" s="129" t="e">
        <f t="shared" si="36"/>
        <v>#DIV/0!</v>
      </c>
      <c r="P69" s="129" t="e">
        <f t="shared" si="37"/>
        <v>#DIV/0!</v>
      </c>
      <c r="Q69" s="114" t="e">
        <f t="shared" si="38"/>
        <v>#DIV/0!</v>
      </c>
      <c r="R69" s="5" t="e">
        <f t="shared" si="0"/>
        <v>#DIV/0!</v>
      </c>
    </row>
    <row r="70" spans="1:21" s="4" customFormat="1" ht="15" hidden="1" customHeight="1">
      <c r="A70" s="64"/>
      <c r="B70" s="7">
        <f t="shared" si="34"/>
        <v>15</v>
      </c>
      <c r="C70" s="7"/>
      <c r="D70" s="7"/>
      <c r="E70" s="7"/>
      <c r="F70" s="7"/>
      <c r="G70" s="177"/>
      <c r="H70" s="7"/>
      <c r="I70" s="86"/>
      <c r="J70" s="115"/>
      <c r="K70" s="116"/>
      <c r="L70" s="116"/>
      <c r="M70" s="116"/>
      <c r="N70" s="129" t="e">
        <f t="shared" si="35"/>
        <v>#DIV/0!</v>
      </c>
      <c r="O70" s="129" t="e">
        <f t="shared" si="36"/>
        <v>#DIV/0!</v>
      </c>
      <c r="P70" s="129" t="e">
        <f t="shared" si="37"/>
        <v>#DIV/0!</v>
      </c>
      <c r="Q70" s="114" t="e">
        <f t="shared" si="38"/>
        <v>#DIV/0!</v>
      </c>
      <c r="R70" s="5" t="e">
        <f t="shared" si="0"/>
        <v>#DIV/0!</v>
      </c>
    </row>
    <row r="71" spans="1:21" s="4" customFormat="1" ht="15" hidden="1" customHeight="1">
      <c r="A71" s="64"/>
      <c r="B71" s="171">
        <f t="shared" si="34"/>
        <v>16</v>
      </c>
      <c r="C71" s="171"/>
      <c r="D71" s="171"/>
      <c r="E71" s="171"/>
      <c r="F71" s="171"/>
      <c r="G71" s="242"/>
      <c r="H71" s="171"/>
      <c r="I71" s="249"/>
      <c r="J71" s="250"/>
      <c r="K71" s="251"/>
      <c r="L71" s="251"/>
      <c r="M71" s="251"/>
      <c r="N71" s="129" t="e">
        <f t="shared" si="35"/>
        <v>#DIV/0!</v>
      </c>
      <c r="O71" s="129" t="e">
        <f t="shared" si="36"/>
        <v>#DIV/0!</v>
      </c>
      <c r="P71" s="129" t="e">
        <f t="shared" si="37"/>
        <v>#DIV/0!</v>
      </c>
      <c r="Q71" s="114" t="e">
        <f t="shared" si="38"/>
        <v>#DIV/0!</v>
      </c>
      <c r="R71" s="5" t="e">
        <f t="shared" si="0"/>
        <v>#DIV/0!</v>
      </c>
    </row>
    <row r="72" spans="1:21" s="4" customFormat="1" ht="15" hidden="1" customHeight="1">
      <c r="A72" s="64"/>
      <c r="B72" s="7">
        <f t="shared" si="34"/>
        <v>17</v>
      </c>
      <c r="C72" s="7"/>
      <c r="D72" s="7"/>
      <c r="E72" s="7"/>
      <c r="F72" s="7"/>
      <c r="G72" s="177"/>
      <c r="H72" s="7"/>
      <c r="I72" s="86"/>
      <c r="J72" s="115"/>
      <c r="K72" s="116"/>
      <c r="L72" s="116"/>
      <c r="M72" s="116"/>
      <c r="N72" s="129" t="e">
        <f t="shared" si="35"/>
        <v>#DIV/0!</v>
      </c>
      <c r="O72" s="129" t="e">
        <f t="shared" si="36"/>
        <v>#DIV/0!</v>
      </c>
      <c r="P72" s="129" t="e">
        <f t="shared" si="37"/>
        <v>#DIV/0!</v>
      </c>
      <c r="Q72" s="114" t="e">
        <f t="shared" si="38"/>
        <v>#DIV/0!</v>
      </c>
      <c r="R72" s="5" t="e">
        <f t="shared" si="0"/>
        <v>#DIV/0!</v>
      </c>
    </row>
    <row r="73" spans="1:21" s="4" customFormat="1" ht="15" hidden="1" customHeight="1">
      <c r="A73" s="64"/>
      <c r="B73" s="7">
        <f t="shared" si="34"/>
        <v>18</v>
      </c>
      <c r="C73" s="7"/>
      <c r="D73" s="7"/>
      <c r="E73" s="7"/>
      <c r="F73" s="7"/>
      <c r="G73" s="177"/>
      <c r="H73" s="7"/>
      <c r="I73" s="86"/>
      <c r="J73" s="115"/>
      <c r="K73" s="116"/>
      <c r="L73" s="116"/>
      <c r="M73" s="116"/>
      <c r="N73" s="129" t="e">
        <f t="shared" si="35"/>
        <v>#DIV/0!</v>
      </c>
      <c r="O73" s="129" t="e">
        <f t="shared" si="36"/>
        <v>#DIV/0!</v>
      </c>
      <c r="P73" s="129" t="e">
        <f t="shared" si="37"/>
        <v>#DIV/0!</v>
      </c>
      <c r="Q73" s="114" t="e">
        <f t="shared" si="38"/>
        <v>#DIV/0!</v>
      </c>
      <c r="R73" s="5" t="e">
        <f t="shared" si="0"/>
        <v>#DIV/0!</v>
      </c>
    </row>
    <row r="74" spans="1:21" s="4" customFormat="1" ht="15" hidden="1" customHeight="1">
      <c r="A74" s="64"/>
      <c r="B74" s="7">
        <f t="shared" si="34"/>
        <v>19</v>
      </c>
      <c r="C74" s="7"/>
      <c r="D74" s="7"/>
      <c r="E74" s="7"/>
      <c r="F74" s="7"/>
      <c r="G74" s="177"/>
      <c r="H74" s="7"/>
      <c r="I74" s="86"/>
      <c r="J74" s="115"/>
      <c r="K74" s="116"/>
      <c r="L74" s="116"/>
      <c r="M74" s="116"/>
      <c r="N74" s="129" t="e">
        <f t="shared" si="35"/>
        <v>#DIV/0!</v>
      </c>
      <c r="O74" s="129" t="e">
        <f t="shared" si="36"/>
        <v>#DIV/0!</v>
      </c>
      <c r="P74" s="129" t="e">
        <f t="shared" si="37"/>
        <v>#DIV/0!</v>
      </c>
      <c r="Q74" s="114" t="e">
        <f t="shared" si="38"/>
        <v>#DIV/0!</v>
      </c>
      <c r="R74" s="5" t="e">
        <f t="shared" si="0"/>
        <v>#DIV/0!</v>
      </c>
    </row>
    <row r="75" spans="1:21" s="4" customFormat="1" ht="15" hidden="1" customHeight="1">
      <c r="A75" s="64"/>
      <c r="B75" s="7">
        <f t="shared" si="34"/>
        <v>20</v>
      </c>
      <c r="C75" s="7"/>
      <c r="D75" s="199"/>
      <c r="E75" s="177"/>
      <c r="F75" s="7"/>
      <c r="G75" s="9"/>
      <c r="H75" s="7"/>
      <c r="I75" s="7"/>
      <c r="J75" s="115"/>
      <c r="K75" s="116"/>
      <c r="L75" s="116"/>
      <c r="M75" s="116"/>
      <c r="N75" s="129" t="e">
        <f t="shared" si="35"/>
        <v>#DIV/0!</v>
      </c>
      <c r="O75" s="129" t="e">
        <f t="shared" si="36"/>
        <v>#DIV/0!</v>
      </c>
      <c r="P75" s="129" t="e">
        <f t="shared" si="37"/>
        <v>#DIV/0!</v>
      </c>
      <c r="Q75" s="114" t="e">
        <f t="shared" si="38"/>
        <v>#DIV/0!</v>
      </c>
      <c r="R75" s="5" t="e">
        <f t="shared" si="0"/>
        <v>#DIV/0!</v>
      </c>
    </row>
    <row r="76" spans="1:21" s="4" customFormat="1" ht="15" customHeight="1">
      <c r="A76" s="64"/>
      <c r="B76" s="336" t="s">
        <v>22</v>
      </c>
      <c r="C76" s="337"/>
      <c r="D76" s="337"/>
      <c r="E76" s="338"/>
      <c r="F76" s="8">
        <f>+COUNTA(F56:F75)</f>
        <v>3</v>
      </c>
      <c r="G76" s="9"/>
      <c r="H76" s="7"/>
      <c r="I76" s="86"/>
      <c r="J76" s="86"/>
      <c r="K76" s="85"/>
      <c r="L76" s="85"/>
      <c r="M76" s="85"/>
      <c r="N76" s="129"/>
      <c r="O76" s="129"/>
      <c r="P76" s="129"/>
      <c r="Q76" s="114"/>
      <c r="R76" s="5" t="b">
        <f t="shared" ref="R76:R184" si="39">IF(O76&gt;89.9999999999999%,"PAMA")</f>
        <v>0</v>
      </c>
    </row>
    <row r="77" spans="1:21" s="4" customFormat="1" ht="15" customHeight="1">
      <c r="A77" s="64"/>
      <c r="B77" s="10"/>
      <c r="C77" s="10"/>
      <c r="D77" s="10"/>
      <c r="E77" s="10"/>
      <c r="F77" s="10"/>
      <c r="G77" s="10"/>
      <c r="H77" s="10"/>
      <c r="K77" s="87"/>
      <c r="L77" s="87"/>
      <c r="M77" s="87"/>
      <c r="N77" s="87"/>
      <c r="O77" s="87"/>
      <c r="P77" s="87"/>
      <c r="Q77" s="88"/>
      <c r="R77" s="5" t="b">
        <f t="shared" si="39"/>
        <v>0</v>
      </c>
    </row>
    <row r="78" spans="1:21" s="4" customFormat="1" ht="15" customHeight="1">
      <c r="A78" s="64"/>
      <c r="B78" s="327" t="s">
        <v>2216</v>
      </c>
      <c r="C78" s="328"/>
      <c r="D78" s="328"/>
      <c r="E78" s="328"/>
      <c r="F78" s="328"/>
      <c r="G78" s="328"/>
      <c r="H78" s="328"/>
      <c r="I78" s="328"/>
      <c r="J78" s="328"/>
      <c r="K78" s="328"/>
      <c r="L78" s="328"/>
      <c r="M78" s="328"/>
      <c r="N78" s="328"/>
      <c r="O78" s="328"/>
      <c r="P78" s="328"/>
      <c r="Q78" s="329"/>
      <c r="R78" s="5" t="b">
        <f t="shared" si="39"/>
        <v>0</v>
      </c>
      <c r="T78" s="52"/>
      <c r="U78" s="52"/>
    </row>
    <row r="79" spans="1:21" s="4" customFormat="1" ht="15" customHeight="1">
      <c r="A79" s="64"/>
      <c r="B79" s="7">
        <v>1</v>
      </c>
      <c r="C79" s="263" t="s">
        <v>10</v>
      </c>
      <c r="D79" s="263" t="s">
        <v>2226</v>
      </c>
      <c r="E79" s="263" t="s">
        <v>15</v>
      </c>
      <c r="F79" s="263" t="s">
        <v>2265</v>
      </c>
      <c r="G79" s="264">
        <v>2022</v>
      </c>
      <c r="H79" s="263" t="s">
        <v>13</v>
      </c>
      <c r="I79" s="263" t="s">
        <v>19</v>
      </c>
      <c r="J79" s="266">
        <v>331660.66428384889</v>
      </c>
      <c r="K79" s="265">
        <v>325.99</v>
      </c>
      <c r="L79" s="265">
        <v>27.52</v>
      </c>
      <c r="M79" s="265">
        <v>366.49</v>
      </c>
      <c r="N79" s="129">
        <f t="shared" ref="N79:N81" si="40">+K79/(K79+L79)</f>
        <v>0.92215213148142916</v>
      </c>
      <c r="O79" s="129">
        <f t="shared" ref="O79:O81" si="41">+(K79+M79)/(K79+L79+M79)</f>
        <v>0.96177777777777784</v>
      </c>
      <c r="P79" s="129">
        <f t="shared" ref="P79:P81" si="42">+K79/(K79+M79)</f>
        <v>0.47075727818853974</v>
      </c>
      <c r="Q79" s="114">
        <f t="shared" ref="Q79:Q81" si="43">+J79/K79</f>
        <v>1017.3952093127056</v>
      </c>
      <c r="R79" s="5" t="str">
        <f t="shared" si="39"/>
        <v>PAMA</v>
      </c>
      <c r="T79" s="52" t="s">
        <v>437</v>
      </c>
      <c r="U79" s="52"/>
    </row>
    <row r="80" spans="1:21" s="4" customFormat="1" ht="15" customHeight="1">
      <c r="A80" s="64"/>
      <c r="B80" s="7">
        <f t="shared" ref="B80:B98" si="44">B79+1</f>
        <v>2</v>
      </c>
      <c r="C80" s="263" t="s">
        <v>10</v>
      </c>
      <c r="D80" s="263" t="s">
        <v>2227</v>
      </c>
      <c r="E80" s="263" t="s">
        <v>15</v>
      </c>
      <c r="F80" s="263" t="s">
        <v>18</v>
      </c>
      <c r="G80" s="263">
        <v>2022</v>
      </c>
      <c r="H80" s="263" t="s">
        <v>13</v>
      </c>
      <c r="I80" s="263" t="s">
        <v>2212</v>
      </c>
      <c r="J80" s="266">
        <v>257804.60738999993</v>
      </c>
      <c r="K80" s="265">
        <v>313.87</v>
      </c>
      <c r="L80" s="265">
        <v>16.27</v>
      </c>
      <c r="M80" s="265">
        <v>389.86</v>
      </c>
      <c r="N80" s="129">
        <f t="shared" si="40"/>
        <v>0.95071787726419099</v>
      </c>
      <c r="O80" s="129">
        <f t="shared" si="41"/>
        <v>0.97740277777777784</v>
      </c>
      <c r="P80" s="129">
        <f t="shared" si="42"/>
        <v>0.44600912281698946</v>
      </c>
      <c r="Q80" s="114">
        <f t="shared" si="43"/>
        <v>821.37384073023838</v>
      </c>
      <c r="R80" s="5" t="str">
        <f t="shared" si="39"/>
        <v>PAMA</v>
      </c>
      <c r="T80" s="63" t="s">
        <v>258</v>
      </c>
    </row>
    <row r="81" spans="1:21" s="4" customFormat="1" ht="15" customHeight="1">
      <c r="A81" s="64"/>
      <c r="B81" s="7">
        <f t="shared" si="44"/>
        <v>3</v>
      </c>
      <c r="C81" s="263" t="s">
        <v>10</v>
      </c>
      <c r="D81" s="263" t="s">
        <v>2228</v>
      </c>
      <c r="E81" s="263" t="s">
        <v>15</v>
      </c>
      <c r="F81" s="263" t="s">
        <v>18</v>
      </c>
      <c r="G81" s="263">
        <v>2019</v>
      </c>
      <c r="H81" s="263" t="s">
        <v>13</v>
      </c>
      <c r="I81" s="263" t="s">
        <v>2212</v>
      </c>
      <c r="J81" s="266">
        <v>208138.00381000002</v>
      </c>
      <c r="K81" s="265">
        <v>230.92</v>
      </c>
      <c r="L81" s="265">
        <v>21.32</v>
      </c>
      <c r="M81" s="265">
        <v>467.76</v>
      </c>
      <c r="N81" s="129">
        <f t="shared" si="40"/>
        <v>0.915477323184269</v>
      </c>
      <c r="O81" s="129">
        <f t="shared" si="41"/>
        <v>0.97038888888888886</v>
      </c>
      <c r="P81" s="129">
        <f t="shared" si="42"/>
        <v>0.33050895975267647</v>
      </c>
      <c r="Q81" s="114">
        <f t="shared" si="43"/>
        <v>901.34247276112956</v>
      </c>
      <c r="R81" s="5" t="str">
        <f t="shared" si="39"/>
        <v>PAMA</v>
      </c>
      <c r="T81" s="52"/>
    </row>
    <row r="82" spans="1:21" s="4" customFormat="1" ht="15" hidden="1" customHeight="1">
      <c r="A82" s="64"/>
      <c r="B82" s="7">
        <f t="shared" si="44"/>
        <v>4</v>
      </c>
      <c r="C82" s="263" t="s">
        <v>10</v>
      </c>
      <c r="D82" s="263"/>
      <c r="E82" s="263"/>
      <c r="F82" s="263"/>
      <c r="G82" s="263"/>
      <c r="H82" s="263"/>
      <c r="I82" s="263"/>
      <c r="J82" s="266"/>
      <c r="K82" s="265"/>
      <c r="L82" s="265"/>
      <c r="M82" s="265"/>
      <c r="N82" s="129"/>
      <c r="O82" s="129"/>
      <c r="P82" s="129"/>
      <c r="Q82" s="114"/>
      <c r="R82" s="5" t="b">
        <f t="shared" si="39"/>
        <v>0</v>
      </c>
      <c r="T82" s="52"/>
    </row>
    <row r="83" spans="1:21" s="4" customFormat="1" ht="15" hidden="1" customHeight="1">
      <c r="A83" s="64"/>
      <c r="B83" s="7">
        <f t="shared" si="44"/>
        <v>5</v>
      </c>
      <c r="C83" s="211" t="s">
        <v>10</v>
      </c>
      <c r="D83" s="211"/>
      <c r="E83" s="211"/>
      <c r="F83" s="211"/>
      <c r="G83" s="244"/>
      <c r="H83" s="211"/>
      <c r="I83" s="211"/>
      <c r="J83" s="243"/>
      <c r="K83" s="241"/>
      <c r="L83" s="241"/>
      <c r="M83" s="241"/>
      <c r="N83" s="129" t="e">
        <f t="shared" ref="N83:N98" si="45">+K83/(K83+L83)</f>
        <v>#DIV/0!</v>
      </c>
      <c r="O83" s="129" t="e">
        <f t="shared" ref="O83:O98" si="46">+(K83+M83)/(K83+L83+M83)</f>
        <v>#DIV/0!</v>
      </c>
      <c r="P83" s="129" t="e">
        <f t="shared" ref="P83:P98" si="47">+K83/(K83+M83)</f>
        <v>#DIV/0!</v>
      </c>
      <c r="Q83" s="114" t="e">
        <f t="shared" ref="Q83:Q98" si="48">+J83/K83</f>
        <v>#DIV/0!</v>
      </c>
      <c r="R83" s="5" t="e">
        <f t="shared" si="39"/>
        <v>#DIV/0!</v>
      </c>
      <c r="T83" s="11"/>
    </row>
    <row r="84" spans="1:21" s="4" customFormat="1" ht="15" hidden="1" customHeight="1">
      <c r="A84" s="64"/>
      <c r="B84" s="7">
        <f t="shared" si="44"/>
        <v>6</v>
      </c>
      <c r="C84" s="211"/>
      <c r="D84" s="211"/>
      <c r="E84" s="211"/>
      <c r="F84" s="211"/>
      <c r="G84" s="211"/>
      <c r="H84" s="211"/>
      <c r="I84" s="211"/>
      <c r="J84" s="243"/>
      <c r="K84" s="241"/>
      <c r="L84" s="241"/>
      <c r="M84" s="241"/>
      <c r="N84" s="129" t="e">
        <f t="shared" si="45"/>
        <v>#DIV/0!</v>
      </c>
      <c r="O84" s="129" t="e">
        <f t="shared" si="46"/>
        <v>#DIV/0!</v>
      </c>
      <c r="P84" s="129" t="e">
        <f t="shared" si="47"/>
        <v>#DIV/0!</v>
      </c>
      <c r="Q84" s="114" t="e">
        <f t="shared" si="48"/>
        <v>#DIV/0!</v>
      </c>
      <c r="R84" s="5" t="e">
        <f t="shared" si="39"/>
        <v>#DIV/0!</v>
      </c>
      <c r="T84" s="52"/>
    </row>
    <row r="85" spans="1:21" s="4" customFormat="1" ht="15" hidden="1" customHeight="1">
      <c r="A85" s="64"/>
      <c r="B85" s="7">
        <f t="shared" si="44"/>
        <v>7</v>
      </c>
      <c r="C85" s="211"/>
      <c r="D85" s="211"/>
      <c r="E85" s="211"/>
      <c r="F85" s="211"/>
      <c r="G85" s="211"/>
      <c r="H85" s="211"/>
      <c r="I85" s="211"/>
      <c r="J85" s="243"/>
      <c r="K85" s="241"/>
      <c r="L85" s="241"/>
      <c r="M85" s="241"/>
      <c r="N85" s="129" t="e">
        <f t="shared" si="45"/>
        <v>#DIV/0!</v>
      </c>
      <c r="O85" s="129" t="e">
        <f t="shared" si="46"/>
        <v>#DIV/0!</v>
      </c>
      <c r="P85" s="129" t="e">
        <f t="shared" si="47"/>
        <v>#DIV/0!</v>
      </c>
      <c r="Q85" s="114" t="e">
        <f t="shared" si="48"/>
        <v>#DIV/0!</v>
      </c>
      <c r="R85" s="5" t="e">
        <f t="shared" si="39"/>
        <v>#DIV/0!</v>
      </c>
      <c r="T85" s="63"/>
    </row>
    <row r="86" spans="1:21" s="4" customFormat="1" ht="15" hidden="1" customHeight="1">
      <c r="A86" s="64"/>
      <c r="B86" s="7">
        <f t="shared" si="44"/>
        <v>8</v>
      </c>
      <c r="C86" s="211"/>
      <c r="D86" s="211"/>
      <c r="E86" s="211"/>
      <c r="F86" s="211"/>
      <c r="G86" s="211"/>
      <c r="H86" s="211"/>
      <c r="I86" s="211"/>
      <c r="J86" s="243"/>
      <c r="K86" s="241"/>
      <c r="L86" s="241"/>
      <c r="M86" s="241"/>
      <c r="N86" s="129" t="e">
        <f t="shared" si="45"/>
        <v>#DIV/0!</v>
      </c>
      <c r="O86" s="129" t="e">
        <f t="shared" si="46"/>
        <v>#DIV/0!</v>
      </c>
      <c r="P86" s="129" t="e">
        <f t="shared" si="47"/>
        <v>#DIV/0!</v>
      </c>
      <c r="Q86" s="114" t="e">
        <f t="shared" si="48"/>
        <v>#DIV/0!</v>
      </c>
      <c r="R86" s="5" t="e">
        <f t="shared" si="39"/>
        <v>#DIV/0!</v>
      </c>
      <c r="T86" s="63"/>
    </row>
    <row r="87" spans="1:21" s="4" customFormat="1" ht="15" hidden="1" customHeight="1">
      <c r="A87" s="64"/>
      <c r="B87" s="7">
        <f t="shared" si="44"/>
        <v>9</v>
      </c>
      <c r="C87" s="211"/>
      <c r="D87" s="211"/>
      <c r="E87" s="211"/>
      <c r="F87" s="211"/>
      <c r="G87" s="211"/>
      <c r="H87" s="211"/>
      <c r="I87" s="211"/>
      <c r="J87" s="243"/>
      <c r="K87" s="241"/>
      <c r="L87" s="241"/>
      <c r="M87" s="241"/>
      <c r="N87" s="129" t="e">
        <f t="shared" si="45"/>
        <v>#DIV/0!</v>
      </c>
      <c r="O87" s="129" t="e">
        <f t="shared" si="46"/>
        <v>#DIV/0!</v>
      </c>
      <c r="P87" s="129" t="e">
        <f t="shared" si="47"/>
        <v>#DIV/0!</v>
      </c>
      <c r="Q87" s="114" t="e">
        <f t="shared" si="48"/>
        <v>#DIV/0!</v>
      </c>
      <c r="R87" s="5" t="e">
        <f t="shared" si="39"/>
        <v>#DIV/0!</v>
      </c>
      <c r="U87" s="159"/>
    </row>
    <row r="88" spans="1:21" s="4" customFormat="1" ht="15" hidden="1" customHeight="1">
      <c r="A88" s="64"/>
      <c r="B88" s="7">
        <f t="shared" si="44"/>
        <v>10</v>
      </c>
      <c r="C88" s="211"/>
      <c r="D88" s="211"/>
      <c r="E88" s="211"/>
      <c r="F88" s="211"/>
      <c r="G88" s="211"/>
      <c r="H88" s="211"/>
      <c r="I88" s="211"/>
      <c r="J88" s="243"/>
      <c r="K88" s="241"/>
      <c r="L88" s="241"/>
      <c r="M88" s="241"/>
      <c r="N88" s="129" t="e">
        <f t="shared" si="45"/>
        <v>#DIV/0!</v>
      </c>
      <c r="O88" s="129" t="e">
        <f t="shared" si="46"/>
        <v>#DIV/0!</v>
      </c>
      <c r="P88" s="129" t="e">
        <f t="shared" si="47"/>
        <v>#DIV/0!</v>
      </c>
      <c r="Q88" s="114" t="e">
        <f t="shared" si="48"/>
        <v>#DIV/0!</v>
      </c>
      <c r="R88" s="5" t="e">
        <f t="shared" si="39"/>
        <v>#DIV/0!</v>
      </c>
      <c r="U88" s="159"/>
    </row>
    <row r="89" spans="1:21" s="4" customFormat="1" ht="15" hidden="1" customHeight="1">
      <c r="A89" s="64"/>
      <c r="B89" s="7">
        <f t="shared" si="44"/>
        <v>11</v>
      </c>
      <c r="C89" s="211"/>
      <c r="D89" s="211"/>
      <c r="E89" s="211"/>
      <c r="F89" s="211"/>
      <c r="G89" s="211"/>
      <c r="H89" s="211"/>
      <c r="I89" s="211"/>
      <c r="J89" s="243"/>
      <c r="K89" s="241"/>
      <c r="L89" s="241"/>
      <c r="M89" s="241"/>
      <c r="N89" s="129" t="e">
        <f t="shared" si="45"/>
        <v>#DIV/0!</v>
      </c>
      <c r="O89" s="129" t="e">
        <f t="shared" si="46"/>
        <v>#DIV/0!</v>
      </c>
      <c r="P89" s="129" t="e">
        <f t="shared" si="47"/>
        <v>#DIV/0!</v>
      </c>
      <c r="Q89" s="114" t="e">
        <f t="shared" si="48"/>
        <v>#DIV/0!</v>
      </c>
      <c r="R89" s="5" t="e">
        <f t="shared" si="39"/>
        <v>#DIV/0!</v>
      </c>
      <c r="U89" s="159"/>
    </row>
    <row r="90" spans="1:21" s="4" customFormat="1" ht="15" hidden="1" customHeight="1">
      <c r="A90" s="64"/>
      <c r="B90" s="7">
        <f t="shared" si="44"/>
        <v>12</v>
      </c>
      <c r="C90" s="211"/>
      <c r="D90" s="211"/>
      <c r="E90" s="211"/>
      <c r="F90" s="211"/>
      <c r="G90" s="211"/>
      <c r="H90" s="211"/>
      <c r="I90" s="211"/>
      <c r="J90" s="243"/>
      <c r="K90" s="241"/>
      <c r="L90" s="241"/>
      <c r="M90" s="241"/>
      <c r="N90" s="129" t="e">
        <f t="shared" si="45"/>
        <v>#DIV/0!</v>
      </c>
      <c r="O90" s="129" t="e">
        <f t="shared" si="46"/>
        <v>#DIV/0!</v>
      </c>
      <c r="P90" s="129" t="e">
        <f t="shared" si="47"/>
        <v>#DIV/0!</v>
      </c>
      <c r="Q90" s="114" t="e">
        <f t="shared" si="48"/>
        <v>#DIV/0!</v>
      </c>
      <c r="R90" s="5" t="e">
        <f t="shared" si="39"/>
        <v>#DIV/0!</v>
      </c>
      <c r="U90" s="159"/>
    </row>
    <row r="91" spans="1:21" s="4" customFormat="1" ht="15" hidden="1" customHeight="1">
      <c r="A91" s="64"/>
      <c r="B91" s="7">
        <f t="shared" si="44"/>
        <v>13</v>
      </c>
      <c r="C91" s="211"/>
      <c r="D91" s="211"/>
      <c r="E91" s="211"/>
      <c r="F91" s="211"/>
      <c r="G91" s="211"/>
      <c r="H91" s="211"/>
      <c r="I91" s="211"/>
      <c r="J91" s="243"/>
      <c r="K91" s="241"/>
      <c r="L91" s="241"/>
      <c r="M91" s="241"/>
      <c r="N91" s="129" t="e">
        <f t="shared" si="45"/>
        <v>#DIV/0!</v>
      </c>
      <c r="O91" s="129" t="e">
        <f t="shared" si="46"/>
        <v>#DIV/0!</v>
      </c>
      <c r="P91" s="129" t="e">
        <f t="shared" si="47"/>
        <v>#DIV/0!</v>
      </c>
      <c r="Q91" s="114" t="e">
        <f t="shared" si="48"/>
        <v>#DIV/0!</v>
      </c>
      <c r="R91" s="5" t="e">
        <f t="shared" si="39"/>
        <v>#DIV/0!</v>
      </c>
    </row>
    <row r="92" spans="1:21" s="4" customFormat="1" ht="15" hidden="1" customHeight="1">
      <c r="A92" s="64"/>
      <c r="B92" s="7">
        <f t="shared" si="44"/>
        <v>14</v>
      </c>
      <c r="C92" s="7"/>
      <c r="D92" s="7"/>
      <c r="E92" s="7"/>
      <c r="F92" s="7"/>
      <c r="G92" s="177"/>
      <c r="H92" s="7"/>
      <c r="I92" s="86"/>
      <c r="J92" s="115"/>
      <c r="K92" s="116"/>
      <c r="L92" s="116"/>
      <c r="M92" s="116"/>
      <c r="N92" s="129" t="e">
        <f t="shared" si="45"/>
        <v>#DIV/0!</v>
      </c>
      <c r="O92" s="129" t="e">
        <f t="shared" si="46"/>
        <v>#DIV/0!</v>
      </c>
      <c r="P92" s="129" t="e">
        <f t="shared" si="47"/>
        <v>#DIV/0!</v>
      </c>
      <c r="Q92" s="114" t="e">
        <f t="shared" si="48"/>
        <v>#DIV/0!</v>
      </c>
      <c r="R92" s="5" t="e">
        <f t="shared" si="39"/>
        <v>#DIV/0!</v>
      </c>
    </row>
    <row r="93" spans="1:21" s="4" customFormat="1" ht="15" hidden="1" customHeight="1">
      <c r="A93" s="64"/>
      <c r="B93" s="7">
        <f t="shared" si="44"/>
        <v>15</v>
      </c>
      <c r="C93" s="7"/>
      <c r="D93" s="7"/>
      <c r="E93" s="7"/>
      <c r="F93" s="7"/>
      <c r="G93" s="177"/>
      <c r="H93" s="7"/>
      <c r="I93" s="86"/>
      <c r="J93" s="115"/>
      <c r="K93" s="116"/>
      <c r="L93" s="116"/>
      <c r="M93" s="116"/>
      <c r="N93" s="129" t="e">
        <f t="shared" si="45"/>
        <v>#DIV/0!</v>
      </c>
      <c r="O93" s="129" t="e">
        <f t="shared" si="46"/>
        <v>#DIV/0!</v>
      </c>
      <c r="P93" s="129" t="e">
        <f t="shared" si="47"/>
        <v>#DIV/0!</v>
      </c>
      <c r="Q93" s="114" t="e">
        <f t="shared" si="48"/>
        <v>#DIV/0!</v>
      </c>
      <c r="R93" s="5" t="e">
        <f t="shared" si="39"/>
        <v>#DIV/0!</v>
      </c>
    </row>
    <row r="94" spans="1:21" s="4" customFormat="1" ht="15" hidden="1" customHeight="1">
      <c r="A94" s="64"/>
      <c r="B94" s="171">
        <f t="shared" si="44"/>
        <v>16</v>
      </c>
      <c r="C94" s="171"/>
      <c r="D94" s="171"/>
      <c r="E94" s="171"/>
      <c r="F94" s="171"/>
      <c r="G94" s="242"/>
      <c r="H94" s="171"/>
      <c r="I94" s="249"/>
      <c r="J94" s="250"/>
      <c r="K94" s="251"/>
      <c r="L94" s="251"/>
      <c r="M94" s="251"/>
      <c r="N94" s="129" t="e">
        <f t="shared" si="45"/>
        <v>#DIV/0!</v>
      </c>
      <c r="O94" s="129" t="e">
        <f t="shared" si="46"/>
        <v>#DIV/0!</v>
      </c>
      <c r="P94" s="129" t="e">
        <f t="shared" si="47"/>
        <v>#DIV/0!</v>
      </c>
      <c r="Q94" s="114" t="e">
        <f t="shared" si="48"/>
        <v>#DIV/0!</v>
      </c>
      <c r="R94" s="5" t="e">
        <f t="shared" si="39"/>
        <v>#DIV/0!</v>
      </c>
    </row>
    <row r="95" spans="1:21" s="4" customFormat="1" ht="15" hidden="1" customHeight="1">
      <c r="A95" s="64"/>
      <c r="B95" s="7">
        <f t="shared" si="44"/>
        <v>17</v>
      </c>
      <c r="C95" s="7"/>
      <c r="D95" s="7"/>
      <c r="E95" s="7"/>
      <c r="F95" s="7"/>
      <c r="G95" s="177"/>
      <c r="H95" s="7"/>
      <c r="I95" s="86"/>
      <c r="J95" s="115"/>
      <c r="K95" s="116"/>
      <c r="L95" s="116"/>
      <c r="M95" s="116"/>
      <c r="N95" s="129" t="e">
        <f t="shared" si="45"/>
        <v>#DIV/0!</v>
      </c>
      <c r="O95" s="129" t="e">
        <f t="shared" si="46"/>
        <v>#DIV/0!</v>
      </c>
      <c r="P95" s="129" t="e">
        <f t="shared" si="47"/>
        <v>#DIV/0!</v>
      </c>
      <c r="Q95" s="114" t="e">
        <f t="shared" si="48"/>
        <v>#DIV/0!</v>
      </c>
      <c r="R95" s="5" t="e">
        <f t="shared" si="39"/>
        <v>#DIV/0!</v>
      </c>
    </row>
    <row r="96" spans="1:21" s="4" customFormat="1" ht="15" hidden="1" customHeight="1">
      <c r="A96" s="64"/>
      <c r="B96" s="7">
        <f t="shared" si="44"/>
        <v>18</v>
      </c>
      <c r="C96" s="7"/>
      <c r="D96" s="7"/>
      <c r="E96" s="7"/>
      <c r="F96" s="7"/>
      <c r="G96" s="177"/>
      <c r="H96" s="7"/>
      <c r="I96" s="86"/>
      <c r="J96" s="115"/>
      <c r="K96" s="116"/>
      <c r="L96" s="116"/>
      <c r="M96" s="116"/>
      <c r="N96" s="129" t="e">
        <f t="shared" si="45"/>
        <v>#DIV/0!</v>
      </c>
      <c r="O96" s="129" t="e">
        <f t="shared" si="46"/>
        <v>#DIV/0!</v>
      </c>
      <c r="P96" s="129" t="e">
        <f t="shared" si="47"/>
        <v>#DIV/0!</v>
      </c>
      <c r="Q96" s="114" t="e">
        <f t="shared" si="48"/>
        <v>#DIV/0!</v>
      </c>
      <c r="R96" s="5" t="e">
        <f t="shared" si="39"/>
        <v>#DIV/0!</v>
      </c>
    </row>
    <row r="97" spans="1:21" s="4" customFormat="1" ht="15" hidden="1" customHeight="1">
      <c r="A97" s="64"/>
      <c r="B97" s="7">
        <f t="shared" si="44"/>
        <v>19</v>
      </c>
      <c r="C97" s="7"/>
      <c r="D97" s="7"/>
      <c r="E97" s="7"/>
      <c r="F97" s="7"/>
      <c r="G97" s="177"/>
      <c r="H97" s="7"/>
      <c r="I97" s="86"/>
      <c r="J97" s="115"/>
      <c r="K97" s="116"/>
      <c r="L97" s="116"/>
      <c r="M97" s="116"/>
      <c r="N97" s="129" t="e">
        <f t="shared" si="45"/>
        <v>#DIV/0!</v>
      </c>
      <c r="O97" s="129" t="e">
        <f t="shared" si="46"/>
        <v>#DIV/0!</v>
      </c>
      <c r="P97" s="129" t="e">
        <f t="shared" si="47"/>
        <v>#DIV/0!</v>
      </c>
      <c r="Q97" s="114" t="e">
        <f t="shared" si="48"/>
        <v>#DIV/0!</v>
      </c>
      <c r="R97" s="5" t="e">
        <f t="shared" si="39"/>
        <v>#DIV/0!</v>
      </c>
    </row>
    <row r="98" spans="1:21" s="4" customFormat="1" ht="15" hidden="1" customHeight="1">
      <c r="A98" s="64"/>
      <c r="B98" s="7">
        <f t="shared" si="44"/>
        <v>20</v>
      </c>
      <c r="C98" s="7"/>
      <c r="D98" s="199"/>
      <c r="E98" s="177"/>
      <c r="F98" s="7"/>
      <c r="G98" s="9"/>
      <c r="H98" s="7"/>
      <c r="I98" s="7"/>
      <c r="J98" s="115"/>
      <c r="K98" s="116"/>
      <c r="L98" s="116"/>
      <c r="M98" s="116"/>
      <c r="N98" s="129" t="e">
        <f t="shared" si="45"/>
        <v>#DIV/0!</v>
      </c>
      <c r="O98" s="129" t="e">
        <f t="shared" si="46"/>
        <v>#DIV/0!</v>
      </c>
      <c r="P98" s="129" t="e">
        <f t="shared" si="47"/>
        <v>#DIV/0!</v>
      </c>
      <c r="Q98" s="114" t="e">
        <f t="shared" si="48"/>
        <v>#DIV/0!</v>
      </c>
      <c r="R98" s="5" t="e">
        <f t="shared" si="39"/>
        <v>#DIV/0!</v>
      </c>
    </row>
    <row r="99" spans="1:21" s="4" customFormat="1" ht="15" customHeight="1">
      <c r="A99" s="64"/>
      <c r="B99" s="336" t="s">
        <v>22</v>
      </c>
      <c r="C99" s="337"/>
      <c r="D99" s="337"/>
      <c r="E99" s="338"/>
      <c r="F99" s="8">
        <f>+COUNTA(F79:F98)</f>
        <v>3</v>
      </c>
      <c r="G99" s="9"/>
      <c r="H99" s="7"/>
      <c r="I99" s="86"/>
      <c r="J99" s="86"/>
      <c r="K99" s="85"/>
      <c r="L99" s="85"/>
      <c r="M99" s="85"/>
      <c r="N99" s="129"/>
      <c r="O99" s="129"/>
      <c r="P99" s="129"/>
      <c r="Q99" s="114"/>
      <c r="R99" s="5" t="b">
        <f t="shared" ref="R99:R121" si="49">IF(O99&gt;89.9999999999999%,"PAMA")</f>
        <v>0</v>
      </c>
    </row>
    <row r="100" spans="1:21" s="4" customFormat="1" ht="15" customHeight="1">
      <c r="A100" s="64"/>
      <c r="B100" s="284"/>
      <c r="C100" s="284"/>
      <c r="D100" s="284"/>
      <c r="E100" s="284"/>
      <c r="F100" s="284"/>
      <c r="G100" s="284"/>
      <c r="H100" s="284"/>
      <c r="K100" s="87"/>
      <c r="L100" s="87"/>
      <c r="M100" s="87"/>
      <c r="N100" s="87"/>
      <c r="O100" s="87"/>
      <c r="P100" s="87"/>
      <c r="Q100" s="88"/>
      <c r="R100" s="5" t="b">
        <f t="shared" si="49"/>
        <v>0</v>
      </c>
    </row>
    <row r="101" spans="1:21" s="4" customFormat="1" ht="15" customHeight="1">
      <c r="A101" s="64"/>
      <c r="B101" s="327" t="s">
        <v>340</v>
      </c>
      <c r="C101" s="328"/>
      <c r="D101" s="328"/>
      <c r="E101" s="328"/>
      <c r="F101" s="328"/>
      <c r="G101" s="328"/>
      <c r="H101" s="328"/>
      <c r="I101" s="328"/>
      <c r="J101" s="328"/>
      <c r="K101" s="328"/>
      <c r="L101" s="328"/>
      <c r="M101" s="328"/>
      <c r="N101" s="328"/>
      <c r="O101" s="328"/>
      <c r="P101" s="328"/>
      <c r="Q101" s="329"/>
      <c r="R101" s="5" t="b">
        <f t="shared" si="49"/>
        <v>0</v>
      </c>
      <c r="T101" s="52"/>
      <c r="U101" s="52"/>
    </row>
    <row r="102" spans="1:21" s="4" customFormat="1" ht="15" customHeight="1">
      <c r="A102" s="64"/>
      <c r="B102" s="7">
        <v>1</v>
      </c>
      <c r="C102" s="263" t="s">
        <v>10</v>
      </c>
      <c r="D102" s="263" t="s">
        <v>238</v>
      </c>
      <c r="E102" s="263" t="s">
        <v>15</v>
      </c>
      <c r="F102" s="263" t="s">
        <v>17</v>
      </c>
      <c r="G102" s="264">
        <v>41655</v>
      </c>
      <c r="H102" s="263" t="s">
        <v>13</v>
      </c>
      <c r="I102" s="263" t="s">
        <v>16</v>
      </c>
      <c r="J102" s="266">
        <v>87769.245470000009</v>
      </c>
      <c r="K102" s="265">
        <v>301.38</v>
      </c>
      <c r="L102" s="265">
        <v>16.87</v>
      </c>
      <c r="M102" s="265">
        <v>401.75</v>
      </c>
      <c r="N102" s="129">
        <f t="shared" ref="N102:N104" si="50">+K102/(K102+L102)</f>
        <v>0.94699135899450115</v>
      </c>
      <c r="O102" s="129">
        <f t="shared" ref="O102:O104" si="51">+(K102+M102)/(K102+L102+M102)</f>
        <v>0.97656944444444449</v>
      </c>
      <c r="P102" s="129">
        <f t="shared" ref="P102:P104" si="52">+K102/(K102+M102)</f>
        <v>0.42862628532419322</v>
      </c>
      <c r="Q102" s="114">
        <f t="shared" ref="Q102:Q104" si="53">+J102/K102</f>
        <v>291.22451878027744</v>
      </c>
      <c r="R102" s="5" t="str">
        <f t="shared" si="49"/>
        <v>PAMA</v>
      </c>
      <c r="T102" s="52" t="s">
        <v>437</v>
      </c>
      <c r="U102" s="52"/>
    </row>
    <row r="103" spans="1:21" s="4" customFormat="1" ht="15" customHeight="1">
      <c r="A103" s="64"/>
      <c r="B103" s="7">
        <f t="shared" ref="B103:B121" si="54">B102+1</f>
        <v>2</v>
      </c>
      <c r="C103" s="263" t="s">
        <v>10</v>
      </c>
      <c r="D103" s="263" t="s">
        <v>2266</v>
      </c>
      <c r="E103" s="263" t="s">
        <v>15</v>
      </c>
      <c r="F103" s="263" t="s">
        <v>18</v>
      </c>
      <c r="G103" s="263">
        <v>2008</v>
      </c>
      <c r="H103" s="263" t="s">
        <v>13</v>
      </c>
      <c r="I103" s="263" t="s">
        <v>2212</v>
      </c>
      <c r="J103" s="266">
        <v>157727.33912999998</v>
      </c>
      <c r="K103" s="265">
        <v>212.16</v>
      </c>
      <c r="L103" s="265">
        <v>16.7</v>
      </c>
      <c r="M103" s="265">
        <v>491.14</v>
      </c>
      <c r="N103" s="129">
        <f t="shared" si="50"/>
        <v>0.92702962509831344</v>
      </c>
      <c r="O103" s="129">
        <f t="shared" si="51"/>
        <v>0.97680555555555548</v>
      </c>
      <c r="P103" s="129">
        <f t="shared" si="52"/>
        <v>0.30166358595194087</v>
      </c>
      <c r="Q103" s="114">
        <f t="shared" si="53"/>
        <v>743.43579906674199</v>
      </c>
      <c r="R103" s="5" t="str">
        <f t="shared" si="49"/>
        <v>PAMA</v>
      </c>
      <c r="T103" s="63" t="s">
        <v>258</v>
      </c>
    </row>
    <row r="104" spans="1:21" s="4" customFormat="1" ht="15" customHeight="1">
      <c r="A104" s="64"/>
      <c r="B104" s="7">
        <f t="shared" si="54"/>
        <v>3</v>
      </c>
      <c r="C104" s="263" t="s">
        <v>10</v>
      </c>
      <c r="D104" s="263" t="s">
        <v>2267</v>
      </c>
      <c r="E104" s="263" t="s">
        <v>15</v>
      </c>
      <c r="F104" s="263" t="s">
        <v>18</v>
      </c>
      <c r="G104" s="263">
        <v>2011</v>
      </c>
      <c r="H104" s="263" t="s">
        <v>13</v>
      </c>
      <c r="I104" s="263" t="s">
        <v>19</v>
      </c>
      <c r="J104" s="266">
        <v>202264.45290999999</v>
      </c>
      <c r="K104" s="265">
        <v>236.15</v>
      </c>
      <c r="L104" s="265">
        <v>32.450000000000003</v>
      </c>
      <c r="M104" s="265">
        <v>451.4</v>
      </c>
      <c r="N104" s="129">
        <f t="shared" si="50"/>
        <v>0.87918838421444523</v>
      </c>
      <c r="O104" s="129">
        <f t="shared" si="51"/>
        <v>0.9549305555555555</v>
      </c>
      <c r="P104" s="129">
        <f t="shared" si="52"/>
        <v>0.34346592975056361</v>
      </c>
      <c r="Q104" s="114">
        <f t="shared" si="53"/>
        <v>856.50837565106917</v>
      </c>
      <c r="R104" s="5" t="str">
        <f t="shared" si="49"/>
        <v>PAMA</v>
      </c>
      <c r="T104" s="52"/>
    </row>
    <row r="105" spans="1:21" s="4" customFormat="1" ht="15" hidden="1" customHeight="1">
      <c r="A105" s="64"/>
      <c r="B105" s="7">
        <f t="shared" si="54"/>
        <v>4</v>
      </c>
      <c r="C105" s="263" t="s">
        <v>10</v>
      </c>
      <c r="D105" s="263"/>
      <c r="E105" s="263"/>
      <c r="F105" s="263"/>
      <c r="G105" s="263"/>
      <c r="H105" s="263"/>
      <c r="I105" s="263"/>
      <c r="J105" s="266"/>
      <c r="K105" s="265"/>
      <c r="L105" s="265"/>
      <c r="M105" s="265"/>
      <c r="N105" s="129"/>
      <c r="O105" s="129"/>
      <c r="P105" s="129"/>
      <c r="Q105" s="114"/>
      <c r="R105" s="5" t="b">
        <f t="shared" si="49"/>
        <v>0</v>
      </c>
      <c r="T105" s="52"/>
    </row>
    <row r="106" spans="1:21" s="4" customFormat="1" ht="15" hidden="1" customHeight="1">
      <c r="A106" s="64"/>
      <c r="B106" s="7">
        <f t="shared" si="54"/>
        <v>5</v>
      </c>
      <c r="C106" s="211" t="s">
        <v>10</v>
      </c>
      <c r="D106" s="211"/>
      <c r="E106" s="211"/>
      <c r="F106" s="211"/>
      <c r="G106" s="244"/>
      <c r="H106" s="211"/>
      <c r="I106" s="211"/>
      <c r="J106" s="243"/>
      <c r="K106" s="241"/>
      <c r="L106" s="241"/>
      <c r="M106" s="241"/>
      <c r="N106" s="129" t="e">
        <f t="shared" ref="N106:N121" si="55">+K106/(K106+L106)</f>
        <v>#DIV/0!</v>
      </c>
      <c r="O106" s="129" t="e">
        <f t="shared" ref="O106:O121" si="56">+(K106+M106)/(K106+L106+M106)</f>
        <v>#DIV/0!</v>
      </c>
      <c r="P106" s="129" t="e">
        <f t="shared" ref="P106:P121" si="57">+K106/(K106+M106)</f>
        <v>#DIV/0!</v>
      </c>
      <c r="Q106" s="114" t="e">
        <f t="shared" ref="Q106:Q121" si="58">+J106/K106</f>
        <v>#DIV/0!</v>
      </c>
      <c r="R106" s="5" t="e">
        <f t="shared" si="49"/>
        <v>#DIV/0!</v>
      </c>
      <c r="T106" s="11"/>
    </row>
    <row r="107" spans="1:21" s="4" customFormat="1" ht="15" hidden="1" customHeight="1">
      <c r="A107" s="64"/>
      <c r="B107" s="7">
        <f t="shared" si="54"/>
        <v>6</v>
      </c>
      <c r="C107" s="211"/>
      <c r="D107" s="211"/>
      <c r="E107" s="211"/>
      <c r="F107" s="211"/>
      <c r="G107" s="211"/>
      <c r="H107" s="211"/>
      <c r="I107" s="211"/>
      <c r="J107" s="243"/>
      <c r="K107" s="241"/>
      <c r="L107" s="241"/>
      <c r="M107" s="241"/>
      <c r="N107" s="129" t="e">
        <f t="shared" si="55"/>
        <v>#DIV/0!</v>
      </c>
      <c r="O107" s="129" t="e">
        <f t="shared" si="56"/>
        <v>#DIV/0!</v>
      </c>
      <c r="P107" s="129" t="e">
        <f t="shared" si="57"/>
        <v>#DIV/0!</v>
      </c>
      <c r="Q107" s="114" t="e">
        <f t="shared" si="58"/>
        <v>#DIV/0!</v>
      </c>
      <c r="R107" s="5" t="e">
        <f t="shared" si="49"/>
        <v>#DIV/0!</v>
      </c>
      <c r="T107" s="52"/>
    </row>
    <row r="108" spans="1:21" s="4" customFormat="1" ht="15" hidden="1" customHeight="1">
      <c r="A108" s="64"/>
      <c r="B108" s="7">
        <f t="shared" si="54"/>
        <v>7</v>
      </c>
      <c r="C108" s="211"/>
      <c r="D108" s="211"/>
      <c r="E108" s="211"/>
      <c r="F108" s="211"/>
      <c r="G108" s="211"/>
      <c r="H108" s="211"/>
      <c r="I108" s="211"/>
      <c r="J108" s="243"/>
      <c r="K108" s="241"/>
      <c r="L108" s="241"/>
      <c r="M108" s="241"/>
      <c r="N108" s="129" t="e">
        <f t="shared" si="55"/>
        <v>#DIV/0!</v>
      </c>
      <c r="O108" s="129" t="e">
        <f t="shared" si="56"/>
        <v>#DIV/0!</v>
      </c>
      <c r="P108" s="129" t="e">
        <f t="shared" si="57"/>
        <v>#DIV/0!</v>
      </c>
      <c r="Q108" s="114" t="e">
        <f t="shared" si="58"/>
        <v>#DIV/0!</v>
      </c>
      <c r="R108" s="5" t="e">
        <f t="shared" si="49"/>
        <v>#DIV/0!</v>
      </c>
      <c r="T108" s="63"/>
    </row>
    <row r="109" spans="1:21" s="4" customFormat="1" ht="15" hidden="1" customHeight="1">
      <c r="A109" s="64"/>
      <c r="B109" s="7">
        <f t="shared" si="54"/>
        <v>8</v>
      </c>
      <c r="C109" s="211"/>
      <c r="D109" s="211"/>
      <c r="E109" s="211"/>
      <c r="F109" s="211"/>
      <c r="G109" s="211"/>
      <c r="H109" s="211"/>
      <c r="I109" s="211"/>
      <c r="J109" s="243"/>
      <c r="K109" s="241"/>
      <c r="L109" s="241"/>
      <c r="M109" s="241"/>
      <c r="N109" s="129" t="e">
        <f t="shared" si="55"/>
        <v>#DIV/0!</v>
      </c>
      <c r="O109" s="129" t="e">
        <f t="shared" si="56"/>
        <v>#DIV/0!</v>
      </c>
      <c r="P109" s="129" t="e">
        <f t="shared" si="57"/>
        <v>#DIV/0!</v>
      </c>
      <c r="Q109" s="114" t="e">
        <f t="shared" si="58"/>
        <v>#DIV/0!</v>
      </c>
      <c r="R109" s="5" t="e">
        <f t="shared" si="49"/>
        <v>#DIV/0!</v>
      </c>
      <c r="T109" s="63"/>
    </row>
    <row r="110" spans="1:21" s="4" customFormat="1" ht="15" hidden="1" customHeight="1">
      <c r="A110" s="64"/>
      <c r="B110" s="7">
        <f t="shared" si="54"/>
        <v>9</v>
      </c>
      <c r="C110" s="211"/>
      <c r="D110" s="211"/>
      <c r="E110" s="211"/>
      <c r="F110" s="211"/>
      <c r="G110" s="211"/>
      <c r="H110" s="211"/>
      <c r="I110" s="211"/>
      <c r="J110" s="243"/>
      <c r="K110" s="241"/>
      <c r="L110" s="241"/>
      <c r="M110" s="241"/>
      <c r="N110" s="129" t="e">
        <f t="shared" si="55"/>
        <v>#DIV/0!</v>
      </c>
      <c r="O110" s="129" t="e">
        <f t="shared" si="56"/>
        <v>#DIV/0!</v>
      </c>
      <c r="P110" s="129" t="e">
        <f t="shared" si="57"/>
        <v>#DIV/0!</v>
      </c>
      <c r="Q110" s="114" t="e">
        <f t="shared" si="58"/>
        <v>#DIV/0!</v>
      </c>
      <c r="R110" s="5" t="e">
        <f t="shared" si="49"/>
        <v>#DIV/0!</v>
      </c>
      <c r="U110" s="159"/>
    </row>
    <row r="111" spans="1:21" s="4" customFormat="1" ht="15" hidden="1" customHeight="1">
      <c r="A111" s="64"/>
      <c r="B111" s="7">
        <f t="shared" si="54"/>
        <v>10</v>
      </c>
      <c r="C111" s="211"/>
      <c r="D111" s="211"/>
      <c r="E111" s="211"/>
      <c r="F111" s="211"/>
      <c r="G111" s="211"/>
      <c r="H111" s="211"/>
      <c r="I111" s="211"/>
      <c r="J111" s="243"/>
      <c r="K111" s="241"/>
      <c r="L111" s="241"/>
      <c r="M111" s="241"/>
      <c r="N111" s="129" t="e">
        <f t="shared" si="55"/>
        <v>#DIV/0!</v>
      </c>
      <c r="O111" s="129" t="e">
        <f t="shared" si="56"/>
        <v>#DIV/0!</v>
      </c>
      <c r="P111" s="129" t="e">
        <f t="shared" si="57"/>
        <v>#DIV/0!</v>
      </c>
      <c r="Q111" s="114" t="e">
        <f t="shared" si="58"/>
        <v>#DIV/0!</v>
      </c>
      <c r="R111" s="5" t="e">
        <f t="shared" si="49"/>
        <v>#DIV/0!</v>
      </c>
      <c r="U111" s="159"/>
    </row>
    <row r="112" spans="1:21" s="4" customFormat="1" ht="15" hidden="1" customHeight="1">
      <c r="A112" s="64"/>
      <c r="B112" s="7">
        <f t="shared" si="54"/>
        <v>11</v>
      </c>
      <c r="C112" s="211"/>
      <c r="D112" s="211"/>
      <c r="E112" s="211"/>
      <c r="F112" s="211"/>
      <c r="G112" s="211"/>
      <c r="H112" s="211"/>
      <c r="I112" s="211"/>
      <c r="J112" s="243"/>
      <c r="K112" s="241"/>
      <c r="L112" s="241"/>
      <c r="M112" s="241"/>
      <c r="N112" s="129" t="e">
        <f t="shared" si="55"/>
        <v>#DIV/0!</v>
      </c>
      <c r="O112" s="129" t="e">
        <f t="shared" si="56"/>
        <v>#DIV/0!</v>
      </c>
      <c r="P112" s="129" t="e">
        <f t="shared" si="57"/>
        <v>#DIV/0!</v>
      </c>
      <c r="Q112" s="114" t="e">
        <f t="shared" si="58"/>
        <v>#DIV/0!</v>
      </c>
      <c r="R112" s="5" t="e">
        <f t="shared" si="49"/>
        <v>#DIV/0!</v>
      </c>
      <c r="U112" s="159"/>
    </row>
    <row r="113" spans="1:21" s="4" customFormat="1" ht="15" hidden="1" customHeight="1">
      <c r="A113" s="64"/>
      <c r="B113" s="7">
        <f t="shared" si="54"/>
        <v>12</v>
      </c>
      <c r="C113" s="211"/>
      <c r="D113" s="211"/>
      <c r="E113" s="211"/>
      <c r="F113" s="211"/>
      <c r="G113" s="211"/>
      <c r="H113" s="211"/>
      <c r="I113" s="211"/>
      <c r="J113" s="243"/>
      <c r="K113" s="241"/>
      <c r="L113" s="241"/>
      <c r="M113" s="241"/>
      <c r="N113" s="129" t="e">
        <f t="shared" si="55"/>
        <v>#DIV/0!</v>
      </c>
      <c r="O113" s="129" t="e">
        <f t="shared" si="56"/>
        <v>#DIV/0!</v>
      </c>
      <c r="P113" s="129" t="e">
        <f t="shared" si="57"/>
        <v>#DIV/0!</v>
      </c>
      <c r="Q113" s="114" t="e">
        <f t="shared" si="58"/>
        <v>#DIV/0!</v>
      </c>
      <c r="R113" s="5" t="e">
        <f t="shared" si="49"/>
        <v>#DIV/0!</v>
      </c>
      <c r="U113" s="159"/>
    </row>
    <row r="114" spans="1:21" s="4" customFormat="1" ht="15" hidden="1" customHeight="1">
      <c r="A114" s="64"/>
      <c r="B114" s="7">
        <f t="shared" si="54"/>
        <v>13</v>
      </c>
      <c r="C114" s="211"/>
      <c r="D114" s="211"/>
      <c r="E114" s="211"/>
      <c r="F114" s="211"/>
      <c r="G114" s="211"/>
      <c r="H114" s="211"/>
      <c r="I114" s="211"/>
      <c r="J114" s="243"/>
      <c r="K114" s="241"/>
      <c r="L114" s="241"/>
      <c r="M114" s="241"/>
      <c r="N114" s="129" t="e">
        <f t="shared" si="55"/>
        <v>#DIV/0!</v>
      </c>
      <c r="O114" s="129" t="e">
        <f t="shared" si="56"/>
        <v>#DIV/0!</v>
      </c>
      <c r="P114" s="129" t="e">
        <f t="shared" si="57"/>
        <v>#DIV/0!</v>
      </c>
      <c r="Q114" s="114" t="e">
        <f t="shared" si="58"/>
        <v>#DIV/0!</v>
      </c>
      <c r="R114" s="5" t="e">
        <f t="shared" si="49"/>
        <v>#DIV/0!</v>
      </c>
    </row>
    <row r="115" spans="1:21" s="4" customFormat="1" ht="15" hidden="1" customHeight="1">
      <c r="A115" s="64"/>
      <c r="B115" s="7">
        <f t="shared" si="54"/>
        <v>14</v>
      </c>
      <c r="C115" s="7"/>
      <c r="D115" s="7"/>
      <c r="E115" s="7"/>
      <c r="F115" s="7"/>
      <c r="G115" s="177"/>
      <c r="H115" s="7"/>
      <c r="I115" s="86"/>
      <c r="J115" s="115"/>
      <c r="K115" s="116"/>
      <c r="L115" s="116"/>
      <c r="M115" s="116"/>
      <c r="N115" s="129" t="e">
        <f t="shared" si="55"/>
        <v>#DIV/0!</v>
      </c>
      <c r="O115" s="129" t="e">
        <f t="shared" si="56"/>
        <v>#DIV/0!</v>
      </c>
      <c r="P115" s="129" t="e">
        <f t="shared" si="57"/>
        <v>#DIV/0!</v>
      </c>
      <c r="Q115" s="114" t="e">
        <f t="shared" si="58"/>
        <v>#DIV/0!</v>
      </c>
      <c r="R115" s="5" t="e">
        <f t="shared" si="49"/>
        <v>#DIV/0!</v>
      </c>
    </row>
    <row r="116" spans="1:21" s="4" customFormat="1" ht="15" hidden="1" customHeight="1">
      <c r="A116" s="64"/>
      <c r="B116" s="7">
        <f t="shared" si="54"/>
        <v>15</v>
      </c>
      <c r="C116" s="7"/>
      <c r="D116" s="7"/>
      <c r="E116" s="7"/>
      <c r="F116" s="7"/>
      <c r="G116" s="177"/>
      <c r="H116" s="7"/>
      <c r="I116" s="86"/>
      <c r="J116" s="115"/>
      <c r="K116" s="116"/>
      <c r="L116" s="116"/>
      <c r="M116" s="116"/>
      <c r="N116" s="129" t="e">
        <f t="shared" si="55"/>
        <v>#DIV/0!</v>
      </c>
      <c r="O116" s="129" t="e">
        <f t="shared" si="56"/>
        <v>#DIV/0!</v>
      </c>
      <c r="P116" s="129" t="e">
        <f t="shared" si="57"/>
        <v>#DIV/0!</v>
      </c>
      <c r="Q116" s="114" t="e">
        <f t="shared" si="58"/>
        <v>#DIV/0!</v>
      </c>
      <c r="R116" s="5" t="e">
        <f t="shared" si="49"/>
        <v>#DIV/0!</v>
      </c>
    </row>
    <row r="117" spans="1:21" s="4" customFormat="1" ht="15" hidden="1" customHeight="1">
      <c r="A117" s="64"/>
      <c r="B117" s="171">
        <f t="shared" si="54"/>
        <v>16</v>
      </c>
      <c r="C117" s="171"/>
      <c r="D117" s="171"/>
      <c r="E117" s="171"/>
      <c r="F117" s="171"/>
      <c r="G117" s="242"/>
      <c r="H117" s="171"/>
      <c r="I117" s="249"/>
      <c r="J117" s="250"/>
      <c r="K117" s="251"/>
      <c r="L117" s="251"/>
      <c r="M117" s="251"/>
      <c r="N117" s="129" t="e">
        <f t="shared" si="55"/>
        <v>#DIV/0!</v>
      </c>
      <c r="O117" s="129" t="e">
        <f t="shared" si="56"/>
        <v>#DIV/0!</v>
      </c>
      <c r="P117" s="129" t="e">
        <f t="shared" si="57"/>
        <v>#DIV/0!</v>
      </c>
      <c r="Q117" s="114" t="e">
        <f t="shared" si="58"/>
        <v>#DIV/0!</v>
      </c>
      <c r="R117" s="5" t="e">
        <f t="shared" si="49"/>
        <v>#DIV/0!</v>
      </c>
    </row>
    <row r="118" spans="1:21" s="4" customFormat="1" ht="15" hidden="1" customHeight="1">
      <c r="A118" s="64"/>
      <c r="B118" s="7">
        <f t="shared" si="54"/>
        <v>17</v>
      </c>
      <c r="C118" s="7"/>
      <c r="D118" s="7"/>
      <c r="E118" s="7"/>
      <c r="F118" s="7"/>
      <c r="G118" s="177"/>
      <c r="H118" s="7"/>
      <c r="I118" s="86"/>
      <c r="J118" s="115"/>
      <c r="K118" s="116"/>
      <c r="L118" s="116"/>
      <c r="M118" s="116"/>
      <c r="N118" s="129" t="e">
        <f t="shared" si="55"/>
        <v>#DIV/0!</v>
      </c>
      <c r="O118" s="129" t="e">
        <f t="shared" si="56"/>
        <v>#DIV/0!</v>
      </c>
      <c r="P118" s="129" t="e">
        <f t="shared" si="57"/>
        <v>#DIV/0!</v>
      </c>
      <c r="Q118" s="114" t="e">
        <f t="shared" si="58"/>
        <v>#DIV/0!</v>
      </c>
      <c r="R118" s="5" t="e">
        <f t="shared" si="49"/>
        <v>#DIV/0!</v>
      </c>
    </row>
    <row r="119" spans="1:21" s="4" customFormat="1" ht="15" hidden="1" customHeight="1">
      <c r="A119" s="64"/>
      <c r="B119" s="7">
        <f t="shared" si="54"/>
        <v>18</v>
      </c>
      <c r="C119" s="7"/>
      <c r="D119" s="7"/>
      <c r="E119" s="7"/>
      <c r="F119" s="7"/>
      <c r="G119" s="177"/>
      <c r="H119" s="7"/>
      <c r="I119" s="86"/>
      <c r="J119" s="115"/>
      <c r="K119" s="116"/>
      <c r="L119" s="116"/>
      <c r="M119" s="116"/>
      <c r="N119" s="129" t="e">
        <f t="shared" si="55"/>
        <v>#DIV/0!</v>
      </c>
      <c r="O119" s="129" t="e">
        <f t="shared" si="56"/>
        <v>#DIV/0!</v>
      </c>
      <c r="P119" s="129" t="e">
        <f t="shared" si="57"/>
        <v>#DIV/0!</v>
      </c>
      <c r="Q119" s="114" t="e">
        <f t="shared" si="58"/>
        <v>#DIV/0!</v>
      </c>
      <c r="R119" s="5" t="e">
        <f t="shared" si="49"/>
        <v>#DIV/0!</v>
      </c>
    </row>
    <row r="120" spans="1:21" s="4" customFormat="1" ht="15" hidden="1" customHeight="1">
      <c r="A120" s="64"/>
      <c r="B120" s="7">
        <f t="shared" si="54"/>
        <v>19</v>
      </c>
      <c r="C120" s="7"/>
      <c r="D120" s="7"/>
      <c r="E120" s="7"/>
      <c r="F120" s="7"/>
      <c r="G120" s="177"/>
      <c r="H120" s="7"/>
      <c r="I120" s="86"/>
      <c r="J120" s="115"/>
      <c r="K120" s="116"/>
      <c r="L120" s="116"/>
      <c r="M120" s="116"/>
      <c r="N120" s="129" t="e">
        <f t="shared" si="55"/>
        <v>#DIV/0!</v>
      </c>
      <c r="O120" s="129" t="e">
        <f t="shared" si="56"/>
        <v>#DIV/0!</v>
      </c>
      <c r="P120" s="129" t="e">
        <f t="shared" si="57"/>
        <v>#DIV/0!</v>
      </c>
      <c r="Q120" s="114" t="e">
        <f t="shared" si="58"/>
        <v>#DIV/0!</v>
      </c>
      <c r="R120" s="5" t="e">
        <f t="shared" si="49"/>
        <v>#DIV/0!</v>
      </c>
    </row>
    <row r="121" spans="1:21" s="4" customFormat="1" ht="15" hidden="1" customHeight="1">
      <c r="A121" s="64"/>
      <c r="B121" s="7">
        <f t="shared" si="54"/>
        <v>20</v>
      </c>
      <c r="C121" s="7"/>
      <c r="D121" s="199"/>
      <c r="E121" s="177"/>
      <c r="F121" s="7"/>
      <c r="G121" s="9"/>
      <c r="H121" s="7"/>
      <c r="I121" s="7"/>
      <c r="J121" s="115"/>
      <c r="K121" s="116"/>
      <c r="L121" s="116"/>
      <c r="M121" s="116"/>
      <c r="N121" s="129" t="e">
        <f t="shared" si="55"/>
        <v>#DIV/0!</v>
      </c>
      <c r="O121" s="129" t="e">
        <f t="shared" si="56"/>
        <v>#DIV/0!</v>
      </c>
      <c r="P121" s="129" t="e">
        <f t="shared" si="57"/>
        <v>#DIV/0!</v>
      </c>
      <c r="Q121" s="114" t="e">
        <f t="shared" si="58"/>
        <v>#DIV/0!</v>
      </c>
      <c r="R121" s="5" t="e">
        <f t="shared" si="49"/>
        <v>#DIV/0!</v>
      </c>
    </row>
    <row r="122" spans="1:21" s="4" customFormat="1" ht="15" customHeight="1">
      <c r="A122" s="64"/>
      <c r="B122" s="336" t="s">
        <v>22</v>
      </c>
      <c r="C122" s="337"/>
      <c r="D122" s="337"/>
      <c r="E122" s="338"/>
      <c r="F122" s="8">
        <f>+COUNTA(F102:F121)</f>
        <v>3</v>
      </c>
      <c r="G122" s="9"/>
      <c r="H122" s="7"/>
      <c r="I122" s="86"/>
      <c r="J122" s="86"/>
      <c r="K122" s="85"/>
      <c r="L122" s="85"/>
      <c r="M122" s="85"/>
      <c r="N122" s="129"/>
      <c r="O122" s="129"/>
      <c r="P122" s="129"/>
      <c r="Q122" s="114"/>
      <c r="R122" s="5" t="b">
        <f t="shared" ref="R122" si="59">IF(O122&gt;89.9999999999999%,"PAMA")</f>
        <v>0</v>
      </c>
    </row>
    <row r="123" spans="1:21" s="4" customFormat="1" ht="15" customHeight="1">
      <c r="A123" s="65" t="s">
        <v>23</v>
      </c>
      <c r="B123" s="66" t="s">
        <v>24</v>
      </c>
      <c r="F123" s="16"/>
      <c r="K123" s="89"/>
      <c r="L123" s="89"/>
      <c r="M123" s="89"/>
      <c r="N123" s="89"/>
      <c r="O123" s="89"/>
      <c r="P123" s="89"/>
      <c r="Q123" s="90"/>
      <c r="R123" s="5" t="b">
        <f t="shared" si="39"/>
        <v>0</v>
      </c>
    </row>
    <row r="124" spans="1:21" s="4" customFormat="1" ht="15" customHeight="1">
      <c r="A124" s="64"/>
      <c r="B124" s="6" t="s">
        <v>2</v>
      </c>
      <c r="C124" s="6" t="s">
        <v>3</v>
      </c>
      <c r="D124" s="6" t="s">
        <v>4</v>
      </c>
      <c r="E124" s="6" t="s">
        <v>5</v>
      </c>
      <c r="F124" s="6" t="s">
        <v>6</v>
      </c>
      <c r="G124" s="6" t="s">
        <v>7</v>
      </c>
      <c r="H124" s="6" t="s">
        <v>8</v>
      </c>
      <c r="I124" s="83" t="s">
        <v>9</v>
      </c>
      <c r="J124" s="83" t="s">
        <v>267</v>
      </c>
      <c r="K124" s="6" t="s">
        <v>262</v>
      </c>
      <c r="L124" s="6" t="s">
        <v>268</v>
      </c>
      <c r="M124" s="6" t="s">
        <v>269</v>
      </c>
      <c r="N124" s="6" t="s">
        <v>263</v>
      </c>
      <c r="O124" s="6" t="s">
        <v>264</v>
      </c>
      <c r="P124" s="6" t="s">
        <v>265</v>
      </c>
      <c r="Q124" s="67" t="s">
        <v>266</v>
      </c>
      <c r="R124" s="5" t="str">
        <f t="shared" si="39"/>
        <v>PAMA</v>
      </c>
    </row>
    <row r="125" spans="1:21" s="4" customFormat="1" ht="15" customHeight="1">
      <c r="A125" s="64"/>
      <c r="B125" s="327" t="s">
        <v>655</v>
      </c>
      <c r="C125" s="328"/>
      <c r="D125" s="328"/>
      <c r="E125" s="328"/>
      <c r="F125" s="328"/>
      <c r="G125" s="328"/>
      <c r="H125" s="328"/>
      <c r="I125" s="328"/>
      <c r="J125" s="328"/>
      <c r="K125" s="328"/>
      <c r="L125" s="328"/>
      <c r="M125" s="328"/>
      <c r="N125" s="328"/>
      <c r="O125" s="328"/>
      <c r="P125" s="328"/>
      <c r="Q125" s="329"/>
      <c r="R125" s="5" t="b">
        <f t="shared" si="39"/>
        <v>0</v>
      </c>
    </row>
    <row r="126" spans="1:21" s="4" customFormat="1" ht="15" customHeight="1">
      <c r="A126" s="64"/>
      <c r="B126" s="7">
        <v>1</v>
      </c>
      <c r="C126" s="7" t="s">
        <v>10</v>
      </c>
      <c r="D126" s="7" t="s">
        <v>517</v>
      </c>
      <c r="E126" s="7" t="s">
        <v>15</v>
      </c>
      <c r="F126" s="7" t="s">
        <v>28</v>
      </c>
      <c r="G126" s="7">
        <v>2006</v>
      </c>
      <c r="H126" s="7" t="s">
        <v>25</v>
      </c>
      <c r="I126" s="91" t="s">
        <v>26</v>
      </c>
      <c r="J126" s="115">
        <v>75.599999999999994</v>
      </c>
      <c r="K126" s="116">
        <v>1.5</v>
      </c>
      <c r="L126" s="116">
        <v>0</v>
      </c>
      <c r="M126" s="116">
        <v>718.5</v>
      </c>
      <c r="N126" s="129">
        <v>0</v>
      </c>
      <c r="O126" s="129">
        <f t="shared" ref="O126" si="60">+(K126+M126)/(K126+L126+M126)</f>
        <v>1</v>
      </c>
      <c r="P126" s="129">
        <f t="shared" ref="P126" si="61">+K126/(K126+M126)</f>
        <v>2.0833333333333333E-3</v>
      </c>
      <c r="Q126" s="114">
        <v>0</v>
      </c>
      <c r="R126" s="5" t="str">
        <f t="shared" si="39"/>
        <v>PAMA</v>
      </c>
    </row>
    <row r="127" spans="1:21" s="4" customFormat="1" ht="15" customHeight="1">
      <c r="A127" s="64"/>
      <c r="B127" s="7">
        <f>+B126+1</f>
        <v>2</v>
      </c>
      <c r="C127" s="7" t="s">
        <v>10</v>
      </c>
      <c r="D127" s="7" t="s">
        <v>29</v>
      </c>
      <c r="E127" s="7" t="s">
        <v>15</v>
      </c>
      <c r="F127" s="7" t="s">
        <v>28</v>
      </c>
      <c r="G127" s="7">
        <v>2006</v>
      </c>
      <c r="H127" s="7" t="s">
        <v>25</v>
      </c>
      <c r="I127" s="91" t="s">
        <v>26</v>
      </c>
      <c r="J127" s="115">
        <v>5335.6</v>
      </c>
      <c r="K127" s="116">
        <v>118.03</v>
      </c>
      <c r="L127" s="116">
        <v>33.83</v>
      </c>
      <c r="M127" s="116">
        <v>568.14</v>
      </c>
      <c r="N127" s="129">
        <f t="shared" ref="N127:N189" si="62">+K127/(K127+L127)</f>
        <v>0.77722902673515071</v>
      </c>
      <c r="O127" s="129">
        <f t="shared" ref="O127:O190" si="63">+(K127+M127)/(K127+L127+M127)</f>
        <v>0.95301388888888883</v>
      </c>
      <c r="P127" s="129">
        <f t="shared" ref="P127:P190" si="64">+K127/(K127+M127)</f>
        <v>0.17201276651558653</v>
      </c>
      <c r="Q127" s="114">
        <f t="shared" ref="Q127:Q189" si="65">+J127/K127</f>
        <v>45.205456239939004</v>
      </c>
      <c r="R127" s="5" t="str">
        <f t="shared" si="39"/>
        <v>PAMA</v>
      </c>
    </row>
    <row r="128" spans="1:21" s="4" customFormat="1" ht="15" customHeight="1">
      <c r="A128" s="64"/>
      <c r="B128" s="7">
        <f t="shared" ref="B128:B133" si="66">+B127+1</f>
        <v>3</v>
      </c>
      <c r="C128" s="7" t="s">
        <v>10</v>
      </c>
      <c r="D128" s="7" t="s">
        <v>327</v>
      </c>
      <c r="E128" s="7" t="s">
        <v>15</v>
      </c>
      <c r="F128" s="7" t="s">
        <v>28</v>
      </c>
      <c r="G128" s="7">
        <v>2006</v>
      </c>
      <c r="H128" s="7" t="s">
        <v>25</v>
      </c>
      <c r="I128" s="91" t="s">
        <v>26</v>
      </c>
      <c r="J128" s="115">
        <v>5937.6</v>
      </c>
      <c r="K128" s="116">
        <v>135.22</v>
      </c>
      <c r="L128" s="116">
        <v>27.17</v>
      </c>
      <c r="M128" s="116">
        <v>557.61</v>
      </c>
      <c r="N128" s="129">
        <f t="shared" si="62"/>
        <v>0.83268674179444557</v>
      </c>
      <c r="O128" s="129">
        <f t="shared" si="63"/>
        <v>0.96226388888888892</v>
      </c>
      <c r="P128" s="129">
        <f t="shared" si="64"/>
        <v>0.19517053245384869</v>
      </c>
      <c r="Q128" s="114">
        <f t="shared" si="65"/>
        <v>43.910664102943358</v>
      </c>
      <c r="R128" s="5" t="str">
        <f t="shared" si="39"/>
        <v>PAMA</v>
      </c>
    </row>
    <row r="129" spans="1:18" s="4" customFormat="1" ht="15" customHeight="1">
      <c r="A129" s="64"/>
      <c r="B129" s="7">
        <f t="shared" si="66"/>
        <v>4</v>
      </c>
      <c r="C129" s="7"/>
      <c r="D129" s="7" t="s">
        <v>306</v>
      </c>
      <c r="E129" s="7" t="s">
        <v>15</v>
      </c>
      <c r="F129" s="7" t="s">
        <v>28</v>
      </c>
      <c r="G129" s="7">
        <v>2007</v>
      </c>
      <c r="H129" s="7" t="s">
        <v>25</v>
      </c>
      <c r="I129" s="91" t="s">
        <v>26</v>
      </c>
      <c r="J129" s="115">
        <v>0</v>
      </c>
      <c r="K129" s="116">
        <v>0</v>
      </c>
      <c r="L129" s="116">
        <v>0</v>
      </c>
      <c r="M129" s="116">
        <v>720</v>
      </c>
      <c r="N129" s="129">
        <v>0</v>
      </c>
      <c r="O129" s="129">
        <f t="shared" si="63"/>
        <v>1</v>
      </c>
      <c r="P129" s="129">
        <f t="shared" si="64"/>
        <v>0</v>
      </c>
      <c r="Q129" s="114">
        <v>0</v>
      </c>
      <c r="R129" s="5" t="str">
        <f t="shared" si="39"/>
        <v>PAMA</v>
      </c>
    </row>
    <row r="130" spans="1:18" s="4" customFormat="1" ht="15" customHeight="1">
      <c r="A130" s="64"/>
      <c r="B130" s="7">
        <f t="shared" si="66"/>
        <v>5</v>
      </c>
      <c r="C130" s="7" t="s">
        <v>10</v>
      </c>
      <c r="D130" s="7" t="s">
        <v>31</v>
      </c>
      <c r="E130" s="7" t="s">
        <v>15</v>
      </c>
      <c r="F130" s="7" t="s">
        <v>30</v>
      </c>
      <c r="G130" s="7">
        <v>2011</v>
      </c>
      <c r="H130" s="7" t="s">
        <v>25</v>
      </c>
      <c r="I130" s="91" t="s">
        <v>26</v>
      </c>
      <c r="J130" s="115">
        <v>24786.11</v>
      </c>
      <c r="K130" s="116">
        <v>320.02999999999997</v>
      </c>
      <c r="L130" s="116">
        <v>15.35</v>
      </c>
      <c r="M130" s="116">
        <v>384.62</v>
      </c>
      <c r="N130" s="129">
        <f t="shared" si="62"/>
        <v>0.95423102152781913</v>
      </c>
      <c r="O130" s="129">
        <f t="shared" si="63"/>
        <v>0.97868055555555555</v>
      </c>
      <c r="P130" s="129">
        <f t="shared" si="64"/>
        <v>0.45416873625204002</v>
      </c>
      <c r="Q130" s="114">
        <f t="shared" si="65"/>
        <v>77.44933287504297</v>
      </c>
      <c r="R130" s="5" t="str">
        <f t="shared" si="39"/>
        <v>PAMA</v>
      </c>
    </row>
    <row r="131" spans="1:18" s="4" customFormat="1" ht="15" customHeight="1">
      <c r="A131" s="64"/>
      <c r="B131" s="7">
        <f t="shared" si="66"/>
        <v>6</v>
      </c>
      <c r="C131" s="7" t="s">
        <v>10</v>
      </c>
      <c r="D131" s="7" t="s">
        <v>513</v>
      </c>
      <c r="E131" s="7" t="s">
        <v>15</v>
      </c>
      <c r="F131" s="7" t="s">
        <v>30</v>
      </c>
      <c r="G131" s="7">
        <v>2011</v>
      </c>
      <c r="H131" s="7" t="s">
        <v>25</v>
      </c>
      <c r="I131" s="91" t="s">
        <v>26</v>
      </c>
      <c r="J131" s="115">
        <v>29862.240000000002</v>
      </c>
      <c r="K131" s="116">
        <v>344.09</v>
      </c>
      <c r="L131" s="116">
        <v>31.56</v>
      </c>
      <c r="M131" s="116">
        <v>344.35000000000008</v>
      </c>
      <c r="N131" s="129">
        <f t="shared" si="62"/>
        <v>0.9159856249168109</v>
      </c>
      <c r="O131" s="129">
        <f t="shared" si="63"/>
        <v>0.95616666666666672</v>
      </c>
      <c r="P131" s="129">
        <f t="shared" si="64"/>
        <v>0.49981116727674152</v>
      </c>
      <c r="Q131" s="114">
        <f t="shared" si="65"/>
        <v>86.78613153535413</v>
      </c>
      <c r="R131" s="5" t="str">
        <f t="shared" si="39"/>
        <v>PAMA</v>
      </c>
    </row>
    <row r="132" spans="1:18" s="4" customFormat="1" ht="15" customHeight="1">
      <c r="A132" s="64"/>
      <c r="B132" s="7">
        <f t="shared" si="66"/>
        <v>7</v>
      </c>
      <c r="C132" s="7"/>
      <c r="D132" s="7" t="s">
        <v>542</v>
      </c>
      <c r="E132" s="7" t="s">
        <v>15</v>
      </c>
      <c r="F132" s="7" t="s">
        <v>28</v>
      </c>
      <c r="G132" s="7">
        <v>2011</v>
      </c>
      <c r="H132" s="7" t="s">
        <v>25</v>
      </c>
      <c r="I132" s="91" t="s">
        <v>26</v>
      </c>
      <c r="J132" s="115">
        <v>0</v>
      </c>
      <c r="K132" s="116">
        <v>0</v>
      </c>
      <c r="L132" s="116">
        <v>0</v>
      </c>
      <c r="M132" s="116">
        <v>720</v>
      </c>
      <c r="N132" s="129">
        <v>0</v>
      </c>
      <c r="O132" s="129">
        <f t="shared" si="63"/>
        <v>1</v>
      </c>
      <c r="P132" s="129">
        <f t="shared" si="64"/>
        <v>0</v>
      </c>
      <c r="Q132" s="114">
        <v>0</v>
      </c>
      <c r="R132" s="5" t="str">
        <f t="shared" si="39"/>
        <v>PAMA</v>
      </c>
    </row>
    <row r="133" spans="1:18" s="4" customFormat="1" ht="15" customHeight="1">
      <c r="A133" s="64"/>
      <c r="B133" s="7">
        <f t="shared" si="66"/>
        <v>8</v>
      </c>
      <c r="C133" s="7" t="s">
        <v>10</v>
      </c>
      <c r="D133" s="7" t="s">
        <v>2229</v>
      </c>
      <c r="E133" s="7" t="s">
        <v>15</v>
      </c>
      <c r="F133" s="7" t="s">
        <v>28</v>
      </c>
      <c r="G133" s="7">
        <v>2011</v>
      </c>
      <c r="H133" s="7" t="s">
        <v>25</v>
      </c>
      <c r="I133" s="91" t="s">
        <v>26</v>
      </c>
      <c r="J133" s="115">
        <v>22228.66</v>
      </c>
      <c r="K133" s="116">
        <v>233.23</v>
      </c>
      <c r="L133" s="116">
        <v>164.61</v>
      </c>
      <c r="M133" s="116">
        <v>322.15999999999997</v>
      </c>
      <c r="N133" s="129">
        <f t="shared" si="62"/>
        <v>0.58624069977880544</v>
      </c>
      <c r="O133" s="129">
        <f t="shared" si="63"/>
        <v>0.77137500000000003</v>
      </c>
      <c r="P133" s="129">
        <f t="shared" si="64"/>
        <v>0.41993914186427556</v>
      </c>
      <c r="Q133" s="114">
        <f t="shared" si="65"/>
        <v>95.307893495690948</v>
      </c>
      <c r="R133" s="5" t="b">
        <f t="shared" si="39"/>
        <v>0</v>
      </c>
    </row>
    <row r="134" spans="1:18" s="4" customFormat="1" ht="15" customHeight="1">
      <c r="A134" s="64"/>
      <c r="B134" s="7">
        <f t="shared" ref="B134:B175" si="67">+B133+1</f>
        <v>9</v>
      </c>
      <c r="C134" s="7" t="s">
        <v>10</v>
      </c>
      <c r="D134" s="7" t="s">
        <v>299</v>
      </c>
      <c r="E134" s="7" t="s">
        <v>15</v>
      </c>
      <c r="F134" s="7" t="s">
        <v>28</v>
      </c>
      <c r="G134" s="7">
        <v>2011</v>
      </c>
      <c r="H134" s="7" t="s">
        <v>25</v>
      </c>
      <c r="I134" s="91" t="s">
        <v>26</v>
      </c>
      <c r="J134" s="115">
        <v>5597.4</v>
      </c>
      <c r="K134" s="116">
        <v>124.07</v>
      </c>
      <c r="L134" s="116">
        <v>21.93</v>
      </c>
      <c r="M134" s="116">
        <v>574</v>
      </c>
      <c r="N134" s="129">
        <f t="shared" si="62"/>
        <v>0.84979452054794513</v>
      </c>
      <c r="O134" s="129">
        <f t="shared" si="63"/>
        <v>0.96954166666666652</v>
      </c>
      <c r="P134" s="129">
        <f t="shared" si="64"/>
        <v>0.17773289211683643</v>
      </c>
      <c r="Q134" s="114">
        <f t="shared" si="65"/>
        <v>45.114854517611029</v>
      </c>
      <c r="R134" s="5" t="str">
        <f t="shared" si="39"/>
        <v>PAMA</v>
      </c>
    </row>
    <row r="135" spans="1:18" s="4" customFormat="1" ht="15" customHeight="1">
      <c r="A135" s="64"/>
      <c r="B135" s="7">
        <f t="shared" si="67"/>
        <v>10</v>
      </c>
      <c r="C135" s="7"/>
      <c r="D135" s="7" t="s">
        <v>474</v>
      </c>
      <c r="E135" s="7" t="s">
        <v>15</v>
      </c>
      <c r="F135" s="7" t="s">
        <v>28</v>
      </c>
      <c r="G135" s="7">
        <v>2011</v>
      </c>
      <c r="H135" s="7" t="s">
        <v>25</v>
      </c>
      <c r="I135" s="91" t="s">
        <v>26</v>
      </c>
      <c r="J135" s="115">
        <v>0</v>
      </c>
      <c r="K135" s="116">
        <v>0</v>
      </c>
      <c r="L135" s="116">
        <v>0</v>
      </c>
      <c r="M135" s="116">
        <v>720</v>
      </c>
      <c r="N135" s="129">
        <v>0</v>
      </c>
      <c r="O135" s="129">
        <f t="shared" si="63"/>
        <v>1</v>
      </c>
      <c r="P135" s="129">
        <f t="shared" si="64"/>
        <v>0</v>
      </c>
      <c r="Q135" s="114">
        <v>0</v>
      </c>
      <c r="R135" s="5" t="str">
        <f t="shared" si="39"/>
        <v>PAMA</v>
      </c>
    </row>
    <row r="136" spans="1:18" s="4" customFormat="1" ht="15" customHeight="1">
      <c r="A136" s="64"/>
      <c r="B136" s="7">
        <f t="shared" si="67"/>
        <v>11</v>
      </c>
      <c r="C136" s="7" t="s">
        <v>10</v>
      </c>
      <c r="D136" s="7" t="s">
        <v>527</v>
      </c>
      <c r="E136" s="7" t="s">
        <v>15</v>
      </c>
      <c r="F136" s="7" t="s">
        <v>30</v>
      </c>
      <c r="G136" s="7">
        <v>2011</v>
      </c>
      <c r="H136" s="7" t="s">
        <v>25</v>
      </c>
      <c r="I136" s="91" t="s">
        <v>26</v>
      </c>
      <c r="J136" s="115">
        <v>25250.02</v>
      </c>
      <c r="K136" s="116">
        <v>269.77</v>
      </c>
      <c r="L136" s="116">
        <v>112.77</v>
      </c>
      <c r="M136" s="116">
        <v>337.46000000000004</v>
      </c>
      <c r="N136" s="129">
        <f t="shared" si="62"/>
        <v>0.70520729858315467</v>
      </c>
      <c r="O136" s="129">
        <f t="shared" si="63"/>
        <v>0.84337499999999999</v>
      </c>
      <c r="P136" s="129">
        <f t="shared" si="64"/>
        <v>0.44426329397427661</v>
      </c>
      <c r="Q136" s="114">
        <f t="shared" si="65"/>
        <v>93.598324498647003</v>
      </c>
      <c r="R136" s="5" t="b">
        <f t="shared" si="39"/>
        <v>0</v>
      </c>
    </row>
    <row r="137" spans="1:18" s="4" customFormat="1" ht="15" customHeight="1">
      <c r="A137" s="64"/>
      <c r="B137" s="7">
        <f t="shared" si="67"/>
        <v>12</v>
      </c>
      <c r="C137" s="7" t="s">
        <v>10</v>
      </c>
      <c r="D137" s="7" t="s">
        <v>323</v>
      </c>
      <c r="E137" s="7" t="s">
        <v>15</v>
      </c>
      <c r="F137" s="7" t="s">
        <v>30</v>
      </c>
      <c r="G137" s="7">
        <v>2011</v>
      </c>
      <c r="H137" s="7" t="s">
        <v>25</v>
      </c>
      <c r="I137" s="91" t="s">
        <v>26</v>
      </c>
      <c r="J137" s="115">
        <v>28397.71</v>
      </c>
      <c r="K137" s="116">
        <v>308.06</v>
      </c>
      <c r="L137" s="116">
        <v>19.25</v>
      </c>
      <c r="M137" s="116">
        <v>392.69</v>
      </c>
      <c r="N137" s="129">
        <f t="shared" si="62"/>
        <v>0.94118725367388711</v>
      </c>
      <c r="O137" s="129">
        <f t="shared" si="63"/>
        <v>0.97326388888888893</v>
      </c>
      <c r="P137" s="129">
        <f t="shared" si="64"/>
        <v>0.43961469853728147</v>
      </c>
      <c r="Q137" s="114">
        <f t="shared" si="65"/>
        <v>92.182399532558591</v>
      </c>
      <c r="R137" s="5" t="str">
        <f t="shared" si="39"/>
        <v>PAMA</v>
      </c>
    </row>
    <row r="138" spans="1:18" s="4" customFormat="1" ht="15" customHeight="1">
      <c r="A138" s="64"/>
      <c r="B138" s="7">
        <f t="shared" si="67"/>
        <v>13</v>
      </c>
      <c r="C138" s="7"/>
      <c r="D138" s="7" t="s">
        <v>475</v>
      </c>
      <c r="E138" s="7" t="s">
        <v>15</v>
      </c>
      <c r="F138" s="7" t="s">
        <v>30</v>
      </c>
      <c r="G138" s="7">
        <v>2011</v>
      </c>
      <c r="H138" s="7" t="s">
        <v>25</v>
      </c>
      <c r="I138" s="91" t="s">
        <v>26</v>
      </c>
      <c r="J138" s="115">
        <v>0</v>
      </c>
      <c r="K138" s="116">
        <v>0</v>
      </c>
      <c r="L138" s="116">
        <v>0</v>
      </c>
      <c r="M138" s="116">
        <v>720</v>
      </c>
      <c r="N138" s="129">
        <v>0</v>
      </c>
      <c r="O138" s="129">
        <f t="shared" si="63"/>
        <v>1</v>
      </c>
      <c r="P138" s="129">
        <f t="shared" si="64"/>
        <v>0</v>
      </c>
      <c r="Q138" s="114">
        <v>0</v>
      </c>
      <c r="R138" s="5" t="str">
        <f t="shared" si="39"/>
        <v>PAMA</v>
      </c>
    </row>
    <row r="139" spans="1:18" s="4" customFormat="1" ht="15" customHeight="1">
      <c r="A139" s="64"/>
      <c r="B139" s="7">
        <f t="shared" si="67"/>
        <v>14</v>
      </c>
      <c r="C139" s="7" t="s">
        <v>10</v>
      </c>
      <c r="D139" s="7" t="s">
        <v>2230</v>
      </c>
      <c r="E139" s="7" t="s">
        <v>15</v>
      </c>
      <c r="F139" s="7" t="s">
        <v>28</v>
      </c>
      <c r="G139" s="7">
        <v>2013</v>
      </c>
      <c r="H139" s="7" t="s">
        <v>25</v>
      </c>
      <c r="I139" s="91" t="s">
        <v>26</v>
      </c>
      <c r="J139" s="115">
        <v>35137.360000000001</v>
      </c>
      <c r="K139" s="116">
        <v>302.87</v>
      </c>
      <c r="L139" s="116">
        <v>43.22</v>
      </c>
      <c r="M139" s="116">
        <v>373.90999999999997</v>
      </c>
      <c r="N139" s="129">
        <f t="shared" si="62"/>
        <v>0.87511918865035099</v>
      </c>
      <c r="O139" s="129">
        <f t="shared" si="63"/>
        <v>0.93997222222222221</v>
      </c>
      <c r="P139" s="129">
        <f t="shared" si="64"/>
        <v>0.44751617955613349</v>
      </c>
      <c r="Q139" s="114">
        <f t="shared" si="65"/>
        <v>116.0146597550104</v>
      </c>
      <c r="R139" s="5" t="str">
        <f t="shared" si="39"/>
        <v>PAMA</v>
      </c>
    </row>
    <row r="140" spans="1:18" s="4" customFormat="1" ht="15" customHeight="1">
      <c r="A140" s="64"/>
      <c r="B140" s="7">
        <f t="shared" si="67"/>
        <v>15</v>
      </c>
      <c r="C140" s="7" t="s">
        <v>10</v>
      </c>
      <c r="D140" s="7" t="s">
        <v>476</v>
      </c>
      <c r="E140" s="7" t="s">
        <v>15</v>
      </c>
      <c r="F140" s="7" t="s">
        <v>28</v>
      </c>
      <c r="G140" s="7">
        <v>2013</v>
      </c>
      <c r="H140" s="7" t="s">
        <v>25</v>
      </c>
      <c r="I140" s="91" t="s">
        <v>26</v>
      </c>
      <c r="J140" s="115">
        <v>6933.6</v>
      </c>
      <c r="K140" s="116">
        <v>153.51</v>
      </c>
      <c r="L140" s="116">
        <v>12.37</v>
      </c>
      <c r="M140" s="116">
        <v>554.12</v>
      </c>
      <c r="N140" s="129">
        <f t="shared" si="62"/>
        <v>0.92542802025560644</v>
      </c>
      <c r="O140" s="129">
        <f t="shared" si="63"/>
        <v>0.98281944444444447</v>
      </c>
      <c r="P140" s="129">
        <f t="shared" si="64"/>
        <v>0.21693540409536055</v>
      </c>
      <c r="Q140" s="114">
        <f t="shared" si="65"/>
        <v>45.167090091850696</v>
      </c>
      <c r="R140" s="5" t="str">
        <f t="shared" si="39"/>
        <v>PAMA</v>
      </c>
    </row>
    <row r="141" spans="1:18" s="4" customFormat="1" ht="15" customHeight="1">
      <c r="A141" s="64"/>
      <c r="B141" s="7">
        <f t="shared" si="67"/>
        <v>16</v>
      </c>
      <c r="C141" s="7"/>
      <c r="D141" s="7" t="s">
        <v>307</v>
      </c>
      <c r="E141" s="7" t="s">
        <v>15</v>
      </c>
      <c r="F141" s="7" t="s">
        <v>30</v>
      </c>
      <c r="G141" s="7">
        <v>2014</v>
      </c>
      <c r="H141" s="7" t="s">
        <v>25</v>
      </c>
      <c r="I141" s="91" t="s">
        <v>26</v>
      </c>
      <c r="J141" s="115">
        <v>0</v>
      </c>
      <c r="K141" s="116">
        <v>0</v>
      </c>
      <c r="L141" s="116">
        <v>0</v>
      </c>
      <c r="M141" s="116">
        <v>720</v>
      </c>
      <c r="N141" s="129">
        <v>0</v>
      </c>
      <c r="O141" s="129">
        <f t="shared" si="63"/>
        <v>1</v>
      </c>
      <c r="P141" s="129">
        <f t="shared" si="64"/>
        <v>0</v>
      </c>
      <c r="Q141" s="114">
        <v>0</v>
      </c>
      <c r="R141" s="5" t="str">
        <f t="shared" si="39"/>
        <v>PAMA</v>
      </c>
    </row>
    <row r="142" spans="1:18" s="4" customFormat="1" ht="15" customHeight="1">
      <c r="A142" s="64"/>
      <c r="B142" s="7">
        <f t="shared" si="67"/>
        <v>17</v>
      </c>
      <c r="C142" s="7" t="s">
        <v>10</v>
      </c>
      <c r="D142" s="7" t="s">
        <v>477</v>
      </c>
      <c r="E142" s="7" t="s">
        <v>15</v>
      </c>
      <c r="F142" s="7" t="s">
        <v>30</v>
      </c>
      <c r="G142" s="7">
        <v>2012</v>
      </c>
      <c r="H142" s="7" t="s">
        <v>25</v>
      </c>
      <c r="I142" s="91" t="s">
        <v>26</v>
      </c>
      <c r="J142" s="115">
        <v>37.83</v>
      </c>
      <c r="K142" s="116">
        <v>0.5</v>
      </c>
      <c r="L142" s="116">
        <v>0</v>
      </c>
      <c r="M142" s="116">
        <v>719.5</v>
      </c>
      <c r="N142" s="129">
        <v>0</v>
      </c>
      <c r="O142" s="129">
        <f t="shared" si="63"/>
        <v>1</v>
      </c>
      <c r="P142" s="129">
        <f t="shared" si="64"/>
        <v>6.9444444444444447E-4</v>
      </c>
      <c r="Q142" s="114">
        <v>0</v>
      </c>
      <c r="R142" s="5" t="str">
        <f t="shared" si="39"/>
        <v>PAMA</v>
      </c>
    </row>
    <row r="143" spans="1:18" s="4" customFormat="1" ht="15" customHeight="1">
      <c r="A143" s="64"/>
      <c r="B143" s="7">
        <f t="shared" si="67"/>
        <v>18</v>
      </c>
      <c r="C143" s="7" t="s">
        <v>10</v>
      </c>
      <c r="D143" s="7" t="s">
        <v>478</v>
      </c>
      <c r="E143" s="7" t="s">
        <v>15</v>
      </c>
      <c r="F143" s="7" t="s">
        <v>30</v>
      </c>
      <c r="G143" s="7">
        <v>2011</v>
      </c>
      <c r="H143" s="7" t="s">
        <v>25</v>
      </c>
      <c r="I143" s="91" t="s">
        <v>26</v>
      </c>
      <c r="J143" s="115">
        <v>20939.02</v>
      </c>
      <c r="K143" s="116">
        <v>287.92</v>
      </c>
      <c r="L143" s="116">
        <v>66.95</v>
      </c>
      <c r="M143" s="116">
        <v>365.12999999999994</v>
      </c>
      <c r="N143" s="129">
        <f t="shared" si="62"/>
        <v>0.81133936371065463</v>
      </c>
      <c r="O143" s="129">
        <f t="shared" si="63"/>
        <v>0.90701388888888879</v>
      </c>
      <c r="P143" s="129">
        <f t="shared" si="64"/>
        <v>0.44088507771227325</v>
      </c>
      <c r="Q143" s="114">
        <f t="shared" si="65"/>
        <v>72.725131981105861</v>
      </c>
      <c r="R143" s="5" t="str">
        <f t="shared" si="39"/>
        <v>PAMA</v>
      </c>
    </row>
    <row r="144" spans="1:18" s="4" customFormat="1" ht="15" customHeight="1">
      <c r="A144" s="64"/>
      <c r="B144" s="7">
        <f t="shared" si="67"/>
        <v>19</v>
      </c>
      <c r="C144" s="7" t="s">
        <v>10</v>
      </c>
      <c r="D144" s="7" t="s">
        <v>324</v>
      </c>
      <c r="E144" s="7" t="s">
        <v>15</v>
      </c>
      <c r="F144" s="7" t="s">
        <v>30</v>
      </c>
      <c r="G144" s="7">
        <v>2011</v>
      </c>
      <c r="H144" s="7" t="s">
        <v>25</v>
      </c>
      <c r="I144" s="91" t="s">
        <v>26</v>
      </c>
      <c r="J144" s="115">
        <v>18331.580000000002</v>
      </c>
      <c r="K144" s="116">
        <v>225.52</v>
      </c>
      <c r="L144" s="116">
        <v>125.87</v>
      </c>
      <c r="M144" s="116">
        <v>368.61</v>
      </c>
      <c r="N144" s="129">
        <f t="shared" si="62"/>
        <v>0.6417940180426307</v>
      </c>
      <c r="O144" s="129">
        <f t="shared" si="63"/>
        <v>0.82518055555555558</v>
      </c>
      <c r="P144" s="129">
        <f t="shared" si="64"/>
        <v>0.37958022654974505</v>
      </c>
      <c r="Q144" s="114">
        <f t="shared" si="65"/>
        <v>81.285828307910606</v>
      </c>
      <c r="R144" s="5" t="b">
        <f t="shared" si="39"/>
        <v>0</v>
      </c>
    </row>
    <row r="145" spans="1:18" s="4" customFormat="1" ht="15" customHeight="1">
      <c r="A145" s="64"/>
      <c r="B145" s="7">
        <f t="shared" si="67"/>
        <v>20</v>
      </c>
      <c r="C145" s="7" t="s">
        <v>10</v>
      </c>
      <c r="D145" s="7" t="s">
        <v>325</v>
      </c>
      <c r="E145" s="7" t="s">
        <v>15</v>
      </c>
      <c r="F145" s="7" t="s">
        <v>30</v>
      </c>
      <c r="G145" s="7">
        <v>2012</v>
      </c>
      <c r="H145" s="7" t="s">
        <v>25</v>
      </c>
      <c r="I145" s="91" t="s">
        <v>26</v>
      </c>
      <c r="J145" s="115">
        <v>25385.89</v>
      </c>
      <c r="K145" s="116">
        <v>312.85000000000002</v>
      </c>
      <c r="L145" s="116">
        <v>28.68</v>
      </c>
      <c r="M145" s="116">
        <v>378.47</v>
      </c>
      <c r="N145" s="129">
        <f t="shared" si="62"/>
        <v>0.91602494656399147</v>
      </c>
      <c r="O145" s="129">
        <f t="shared" si="63"/>
        <v>0.96016666666666672</v>
      </c>
      <c r="P145" s="129">
        <f t="shared" si="64"/>
        <v>0.45254006827518373</v>
      </c>
      <c r="Q145" s="114">
        <f t="shared" si="65"/>
        <v>81.143966757231894</v>
      </c>
      <c r="R145" s="5" t="str">
        <f t="shared" si="39"/>
        <v>PAMA</v>
      </c>
    </row>
    <row r="146" spans="1:18" s="4" customFormat="1" ht="15" customHeight="1">
      <c r="A146" s="64"/>
      <c r="B146" s="7">
        <f t="shared" si="67"/>
        <v>21</v>
      </c>
      <c r="C146" s="7" t="s">
        <v>10</v>
      </c>
      <c r="D146" s="7" t="s">
        <v>481</v>
      </c>
      <c r="E146" s="7" t="s">
        <v>15</v>
      </c>
      <c r="F146" s="7" t="s">
        <v>30</v>
      </c>
      <c r="G146" s="7">
        <v>2008</v>
      </c>
      <c r="H146" s="7" t="s">
        <v>25</v>
      </c>
      <c r="I146" s="91" t="s">
        <v>26</v>
      </c>
      <c r="J146" s="115">
        <v>5639.4</v>
      </c>
      <c r="K146" s="116">
        <v>149.29</v>
      </c>
      <c r="L146" s="116">
        <v>40.61</v>
      </c>
      <c r="M146" s="116">
        <v>530.1</v>
      </c>
      <c r="N146" s="129">
        <f t="shared" si="62"/>
        <v>0.78615060558188521</v>
      </c>
      <c r="O146" s="129">
        <f t="shared" si="63"/>
        <v>0.9435972222222222</v>
      </c>
      <c r="P146" s="129">
        <f t="shared" si="64"/>
        <v>0.21974123846391616</v>
      </c>
      <c r="Q146" s="114">
        <f t="shared" si="65"/>
        <v>37.774800723424207</v>
      </c>
      <c r="R146" s="5" t="str">
        <f t="shared" si="39"/>
        <v>PAMA</v>
      </c>
    </row>
    <row r="147" spans="1:18" s="4" customFormat="1" ht="15" customHeight="1">
      <c r="A147" s="64"/>
      <c r="B147" s="7">
        <f t="shared" si="67"/>
        <v>22</v>
      </c>
      <c r="C147" s="7" t="s">
        <v>10</v>
      </c>
      <c r="D147" s="7" t="s">
        <v>483</v>
      </c>
      <c r="E147" s="7" t="s">
        <v>15</v>
      </c>
      <c r="F147" s="7" t="s">
        <v>30</v>
      </c>
      <c r="G147" s="7">
        <v>2011</v>
      </c>
      <c r="H147" s="7" t="s">
        <v>25</v>
      </c>
      <c r="I147" s="91" t="s">
        <v>26</v>
      </c>
      <c r="J147" s="115">
        <v>4968.88</v>
      </c>
      <c r="K147" s="116">
        <v>55.27</v>
      </c>
      <c r="L147" s="116">
        <v>1.7</v>
      </c>
      <c r="M147" s="116">
        <v>663.03</v>
      </c>
      <c r="N147" s="129">
        <v>0</v>
      </c>
      <c r="O147" s="129">
        <f t="shared" si="63"/>
        <v>0.99763888888888885</v>
      </c>
      <c r="P147" s="129">
        <f t="shared" si="64"/>
        <v>7.6945565919532236E-2</v>
      </c>
      <c r="Q147" s="114">
        <v>0</v>
      </c>
      <c r="R147" s="5" t="str">
        <f t="shared" si="39"/>
        <v>PAMA</v>
      </c>
    </row>
    <row r="148" spans="1:18" s="4" customFormat="1" ht="15" customHeight="1">
      <c r="A148" s="64"/>
      <c r="B148" s="7">
        <f t="shared" si="67"/>
        <v>23</v>
      </c>
      <c r="C148" s="7"/>
      <c r="D148" s="7" t="s">
        <v>528</v>
      </c>
      <c r="E148" s="7" t="s">
        <v>15</v>
      </c>
      <c r="F148" s="7" t="s">
        <v>30</v>
      </c>
      <c r="G148" s="7">
        <v>2008</v>
      </c>
      <c r="H148" s="7" t="s">
        <v>25</v>
      </c>
      <c r="I148" s="91" t="s">
        <v>26</v>
      </c>
      <c r="J148" s="115">
        <v>0</v>
      </c>
      <c r="K148" s="116">
        <v>0</v>
      </c>
      <c r="L148" s="116">
        <v>0</v>
      </c>
      <c r="M148" s="116">
        <v>720</v>
      </c>
      <c r="N148" s="129">
        <v>0</v>
      </c>
      <c r="O148" s="129">
        <f t="shared" si="63"/>
        <v>1</v>
      </c>
      <c r="P148" s="129">
        <f t="shared" si="64"/>
        <v>0</v>
      </c>
      <c r="Q148" s="114">
        <v>0</v>
      </c>
      <c r="R148" s="5" t="str">
        <f t="shared" si="39"/>
        <v>PAMA</v>
      </c>
    </row>
    <row r="149" spans="1:18" s="4" customFormat="1" ht="15" customHeight="1">
      <c r="A149" s="64"/>
      <c r="B149" s="7">
        <f t="shared" si="67"/>
        <v>24</v>
      </c>
      <c r="C149" s="7"/>
      <c r="D149" s="7" t="s">
        <v>308</v>
      </c>
      <c r="E149" s="7" t="s">
        <v>15</v>
      </c>
      <c r="F149" s="7" t="s">
        <v>30</v>
      </c>
      <c r="G149" s="7">
        <v>2008</v>
      </c>
      <c r="H149" s="7" t="s">
        <v>25</v>
      </c>
      <c r="I149" s="91" t="s">
        <v>26</v>
      </c>
      <c r="J149" s="115">
        <v>0</v>
      </c>
      <c r="K149" s="116">
        <v>0</v>
      </c>
      <c r="L149" s="116">
        <v>0</v>
      </c>
      <c r="M149" s="116">
        <v>720</v>
      </c>
      <c r="N149" s="129">
        <v>0</v>
      </c>
      <c r="O149" s="129">
        <f t="shared" si="63"/>
        <v>1</v>
      </c>
      <c r="P149" s="129">
        <f t="shared" si="64"/>
        <v>0</v>
      </c>
      <c r="Q149" s="114">
        <v>0</v>
      </c>
      <c r="R149" s="5" t="str">
        <f t="shared" si="39"/>
        <v>PAMA</v>
      </c>
    </row>
    <row r="150" spans="1:18" s="4" customFormat="1" ht="15" customHeight="1">
      <c r="A150" s="64"/>
      <c r="B150" s="7">
        <f t="shared" si="67"/>
        <v>25</v>
      </c>
      <c r="C150" s="7" t="s">
        <v>10</v>
      </c>
      <c r="D150" s="7" t="s">
        <v>34</v>
      </c>
      <c r="E150" s="7" t="s">
        <v>15</v>
      </c>
      <c r="F150" s="7" t="s">
        <v>28</v>
      </c>
      <c r="G150" s="7">
        <v>2008</v>
      </c>
      <c r="H150" s="7" t="s">
        <v>25</v>
      </c>
      <c r="I150" s="91" t="s">
        <v>26</v>
      </c>
      <c r="J150" s="115">
        <v>5116.6000000000004</v>
      </c>
      <c r="K150" s="116">
        <v>115.08</v>
      </c>
      <c r="L150" s="116">
        <v>0</v>
      </c>
      <c r="M150" s="116">
        <v>604.91999999999996</v>
      </c>
      <c r="N150" s="129">
        <f t="shared" si="62"/>
        <v>1</v>
      </c>
      <c r="O150" s="129">
        <f t="shared" si="63"/>
        <v>1</v>
      </c>
      <c r="P150" s="129">
        <f t="shared" si="64"/>
        <v>0.15983333333333333</v>
      </c>
      <c r="Q150" s="114">
        <f t="shared" si="65"/>
        <v>44.461244351755305</v>
      </c>
      <c r="R150" s="5" t="str">
        <f t="shared" si="39"/>
        <v>PAMA</v>
      </c>
    </row>
    <row r="151" spans="1:18" s="4" customFormat="1" ht="15" customHeight="1">
      <c r="A151" s="64"/>
      <c r="B151" s="7">
        <f t="shared" si="67"/>
        <v>26</v>
      </c>
      <c r="C151" s="7"/>
      <c r="D151" s="7" t="s">
        <v>529</v>
      </c>
      <c r="E151" s="7" t="s">
        <v>15</v>
      </c>
      <c r="F151" s="7" t="s">
        <v>28</v>
      </c>
      <c r="G151" s="7">
        <v>2008</v>
      </c>
      <c r="H151" s="7" t="s">
        <v>25</v>
      </c>
      <c r="I151" s="91" t="s">
        <v>26</v>
      </c>
      <c r="J151" s="115">
        <v>0</v>
      </c>
      <c r="K151" s="116">
        <v>0</v>
      </c>
      <c r="L151" s="116">
        <v>0</v>
      </c>
      <c r="M151" s="116">
        <v>720</v>
      </c>
      <c r="N151" s="129">
        <v>0</v>
      </c>
      <c r="O151" s="129">
        <f t="shared" si="63"/>
        <v>1</v>
      </c>
      <c r="P151" s="129">
        <f t="shared" si="64"/>
        <v>0</v>
      </c>
      <c r="Q151" s="114">
        <v>0</v>
      </c>
      <c r="R151" s="5" t="str">
        <f t="shared" si="39"/>
        <v>PAMA</v>
      </c>
    </row>
    <row r="152" spans="1:18" s="4" customFormat="1" ht="15" customHeight="1">
      <c r="A152" s="64"/>
      <c r="B152" s="7">
        <f t="shared" si="67"/>
        <v>27</v>
      </c>
      <c r="C152" s="7" t="s">
        <v>10</v>
      </c>
      <c r="D152" s="7" t="s">
        <v>35</v>
      </c>
      <c r="E152" s="7" t="s">
        <v>15</v>
      </c>
      <c r="F152" s="7" t="s">
        <v>30</v>
      </c>
      <c r="G152" s="7">
        <v>2011</v>
      </c>
      <c r="H152" s="7" t="s">
        <v>25</v>
      </c>
      <c r="I152" s="91" t="s">
        <v>26</v>
      </c>
      <c r="J152" s="115">
        <v>27973.65</v>
      </c>
      <c r="K152" s="116">
        <v>338.52</v>
      </c>
      <c r="L152" s="116">
        <v>15.53</v>
      </c>
      <c r="M152" s="116">
        <v>365.95000000000005</v>
      </c>
      <c r="N152" s="129">
        <f t="shared" si="62"/>
        <v>0.95613613896342331</v>
      </c>
      <c r="O152" s="129">
        <f t="shared" si="63"/>
        <v>0.97843055555555558</v>
      </c>
      <c r="P152" s="129">
        <f t="shared" si="64"/>
        <v>0.48053146336962532</v>
      </c>
      <c r="Q152" s="114">
        <f t="shared" si="65"/>
        <v>82.635147110953568</v>
      </c>
      <c r="R152" s="5" t="str">
        <f t="shared" si="39"/>
        <v>PAMA</v>
      </c>
    </row>
    <row r="153" spans="1:18" s="4" customFormat="1" ht="15" customHeight="1">
      <c r="A153" s="64"/>
      <c r="B153" s="7">
        <f t="shared" si="67"/>
        <v>28</v>
      </c>
      <c r="C153" s="7" t="s">
        <v>10</v>
      </c>
      <c r="D153" s="7" t="s">
        <v>484</v>
      </c>
      <c r="E153" s="7" t="s">
        <v>15</v>
      </c>
      <c r="F153" s="7" t="s">
        <v>30</v>
      </c>
      <c r="G153" s="7">
        <v>2011</v>
      </c>
      <c r="H153" s="7" t="s">
        <v>25</v>
      </c>
      <c r="I153" s="91" t="s">
        <v>26</v>
      </c>
      <c r="J153" s="115">
        <v>19475.22</v>
      </c>
      <c r="K153" s="116">
        <v>255.88</v>
      </c>
      <c r="L153" s="116">
        <v>101.49</v>
      </c>
      <c r="M153" s="116">
        <v>362.63</v>
      </c>
      <c r="N153" s="129">
        <f t="shared" si="62"/>
        <v>0.71600861851862219</v>
      </c>
      <c r="O153" s="129">
        <f t="shared" si="63"/>
        <v>0.8590416666666667</v>
      </c>
      <c r="P153" s="129">
        <f t="shared" si="64"/>
        <v>0.41370390131121565</v>
      </c>
      <c r="Q153" s="114">
        <f t="shared" si="65"/>
        <v>76.110755041425676</v>
      </c>
      <c r="R153" s="5" t="b">
        <f t="shared" si="39"/>
        <v>0</v>
      </c>
    </row>
    <row r="154" spans="1:18" s="4" customFormat="1" ht="15" customHeight="1">
      <c r="A154" s="64"/>
      <c r="B154" s="7">
        <f t="shared" si="67"/>
        <v>29</v>
      </c>
      <c r="C154" s="7" t="s">
        <v>10</v>
      </c>
      <c r="D154" s="7" t="s">
        <v>38</v>
      </c>
      <c r="E154" s="7" t="s">
        <v>15</v>
      </c>
      <c r="F154" s="7" t="s">
        <v>30</v>
      </c>
      <c r="G154" s="7">
        <v>2008</v>
      </c>
      <c r="H154" s="7" t="s">
        <v>25</v>
      </c>
      <c r="I154" s="91" t="s">
        <v>26</v>
      </c>
      <c r="J154" s="115">
        <v>6234.48</v>
      </c>
      <c r="K154" s="116">
        <v>157.07</v>
      </c>
      <c r="L154" s="116">
        <v>0</v>
      </c>
      <c r="M154" s="116">
        <v>562.93000000000006</v>
      </c>
      <c r="N154" s="129">
        <f t="shared" si="62"/>
        <v>1</v>
      </c>
      <c r="O154" s="129">
        <f t="shared" si="63"/>
        <v>1</v>
      </c>
      <c r="P154" s="129">
        <f t="shared" si="64"/>
        <v>0.21815277777777778</v>
      </c>
      <c r="Q154" s="114">
        <f t="shared" si="65"/>
        <v>39.692366460813652</v>
      </c>
      <c r="R154" s="5" t="str">
        <f t="shared" si="39"/>
        <v>PAMA</v>
      </c>
    </row>
    <row r="155" spans="1:18" s="4" customFormat="1" ht="15" customHeight="1">
      <c r="A155" s="64"/>
      <c r="B155" s="7">
        <f t="shared" si="67"/>
        <v>30</v>
      </c>
      <c r="C155" s="7" t="s">
        <v>10</v>
      </c>
      <c r="D155" s="7" t="s">
        <v>39</v>
      </c>
      <c r="E155" s="7" t="s">
        <v>15</v>
      </c>
      <c r="F155" s="7" t="s">
        <v>30</v>
      </c>
      <c r="G155" s="7">
        <v>2008</v>
      </c>
      <c r="H155" s="7" t="s">
        <v>25</v>
      </c>
      <c r="I155" s="91" t="s">
        <v>26</v>
      </c>
      <c r="J155" s="115">
        <v>1358.84</v>
      </c>
      <c r="K155" s="116">
        <v>19.43</v>
      </c>
      <c r="L155" s="116">
        <v>5.2</v>
      </c>
      <c r="M155" s="116">
        <v>695.37</v>
      </c>
      <c r="N155" s="129">
        <v>0</v>
      </c>
      <c r="O155" s="129">
        <f t="shared" si="63"/>
        <v>0.99277777777777776</v>
      </c>
      <c r="P155" s="129">
        <f t="shared" si="64"/>
        <v>2.7182428651371014E-2</v>
      </c>
      <c r="Q155" s="114">
        <v>0</v>
      </c>
      <c r="R155" s="5" t="str">
        <f t="shared" si="39"/>
        <v>PAMA</v>
      </c>
    </row>
    <row r="156" spans="1:18" s="4" customFormat="1" ht="15" customHeight="1">
      <c r="A156" s="64"/>
      <c r="B156" s="7">
        <f>+B155+1</f>
        <v>31</v>
      </c>
      <c r="C156" s="7" t="s">
        <v>10</v>
      </c>
      <c r="D156" s="7" t="s">
        <v>41</v>
      </c>
      <c r="E156" s="7" t="s">
        <v>15</v>
      </c>
      <c r="F156" s="7" t="s">
        <v>30</v>
      </c>
      <c r="G156" s="7">
        <v>2008</v>
      </c>
      <c r="H156" s="7" t="s">
        <v>25</v>
      </c>
      <c r="I156" s="91" t="s">
        <v>26</v>
      </c>
      <c r="J156" s="115">
        <v>18155.87</v>
      </c>
      <c r="K156" s="116">
        <v>228.43</v>
      </c>
      <c r="L156" s="116">
        <v>78.63</v>
      </c>
      <c r="M156" s="116">
        <v>412.94</v>
      </c>
      <c r="N156" s="129">
        <f t="shared" si="62"/>
        <v>0.74392626848172994</v>
      </c>
      <c r="O156" s="129">
        <f t="shared" si="63"/>
        <v>0.89079166666666665</v>
      </c>
      <c r="P156" s="129">
        <f t="shared" si="64"/>
        <v>0.35615947113210783</v>
      </c>
      <c r="Q156" s="114">
        <f t="shared" si="65"/>
        <v>79.481110186928149</v>
      </c>
      <c r="R156" s="5" t="b">
        <f t="shared" si="39"/>
        <v>0</v>
      </c>
    </row>
    <row r="157" spans="1:18" s="4" customFormat="1" ht="15" customHeight="1">
      <c r="A157" s="64"/>
      <c r="B157" s="7">
        <f t="shared" si="67"/>
        <v>32</v>
      </c>
      <c r="C157" s="7" t="s">
        <v>10</v>
      </c>
      <c r="D157" s="7" t="s">
        <v>43</v>
      </c>
      <c r="E157" s="7" t="s">
        <v>15</v>
      </c>
      <c r="F157" s="7" t="s">
        <v>30</v>
      </c>
      <c r="G157" s="7">
        <v>2008</v>
      </c>
      <c r="H157" s="7" t="s">
        <v>25</v>
      </c>
      <c r="I157" s="91" t="s">
        <v>26</v>
      </c>
      <c r="J157" s="115">
        <v>20422.16</v>
      </c>
      <c r="K157" s="116">
        <v>277.22000000000003</v>
      </c>
      <c r="L157" s="116">
        <v>123.59</v>
      </c>
      <c r="M157" s="116">
        <v>319.18999999999994</v>
      </c>
      <c r="N157" s="129">
        <f t="shared" si="62"/>
        <v>0.69164940994486157</v>
      </c>
      <c r="O157" s="129">
        <f t="shared" si="63"/>
        <v>0.82834722222222212</v>
      </c>
      <c r="P157" s="129">
        <f t="shared" si="64"/>
        <v>0.46481447326503589</v>
      </c>
      <c r="Q157" s="114">
        <f t="shared" si="65"/>
        <v>73.667700743092126</v>
      </c>
      <c r="R157" s="5" t="b">
        <f t="shared" si="39"/>
        <v>0</v>
      </c>
    </row>
    <row r="158" spans="1:18" s="4" customFormat="1" ht="15" customHeight="1">
      <c r="A158" s="64"/>
      <c r="B158" s="7">
        <f t="shared" si="67"/>
        <v>33</v>
      </c>
      <c r="C158" s="7" t="s">
        <v>10</v>
      </c>
      <c r="D158" s="7" t="s">
        <v>486</v>
      </c>
      <c r="E158" s="7" t="s">
        <v>15</v>
      </c>
      <c r="F158" s="7" t="s">
        <v>30</v>
      </c>
      <c r="G158" s="7">
        <v>2008</v>
      </c>
      <c r="H158" s="7" t="s">
        <v>25</v>
      </c>
      <c r="I158" s="91" t="s">
        <v>26</v>
      </c>
      <c r="J158" s="115">
        <v>24749.02</v>
      </c>
      <c r="K158" s="116">
        <v>339.56</v>
      </c>
      <c r="L158" s="116">
        <v>37.28</v>
      </c>
      <c r="M158" s="116">
        <v>343.16</v>
      </c>
      <c r="N158" s="129">
        <f t="shared" si="62"/>
        <v>0.90107207302834091</v>
      </c>
      <c r="O158" s="129">
        <f t="shared" si="63"/>
        <v>0.9482222222222223</v>
      </c>
      <c r="P158" s="129">
        <f t="shared" si="64"/>
        <v>0.49736348722756035</v>
      </c>
      <c r="Q158" s="114">
        <f t="shared" si="65"/>
        <v>72.885557780657322</v>
      </c>
      <c r="R158" s="5" t="str">
        <f t="shared" si="39"/>
        <v>PAMA</v>
      </c>
    </row>
    <row r="159" spans="1:18" s="4" customFormat="1" ht="15" customHeight="1">
      <c r="A159" s="64"/>
      <c r="B159" s="7">
        <f t="shared" si="67"/>
        <v>34</v>
      </c>
      <c r="C159" s="7" t="s">
        <v>10</v>
      </c>
      <c r="D159" s="7" t="s">
        <v>530</v>
      </c>
      <c r="E159" s="7" t="s">
        <v>15</v>
      </c>
      <c r="F159" s="7" t="s">
        <v>30</v>
      </c>
      <c r="G159" s="7">
        <v>2008</v>
      </c>
      <c r="H159" s="7" t="s">
        <v>25</v>
      </c>
      <c r="I159" s="91" t="s">
        <v>26</v>
      </c>
      <c r="J159" s="115">
        <v>37796.629999999997</v>
      </c>
      <c r="K159" s="116">
        <v>327.85</v>
      </c>
      <c r="L159" s="116">
        <v>28.51</v>
      </c>
      <c r="M159" s="116">
        <v>363.64</v>
      </c>
      <c r="N159" s="129">
        <f t="shared" si="62"/>
        <v>0.91999663261870024</v>
      </c>
      <c r="O159" s="129">
        <f t="shared" si="63"/>
        <v>0.96040277777777783</v>
      </c>
      <c r="P159" s="129">
        <f t="shared" si="64"/>
        <v>0.47412110081129161</v>
      </c>
      <c r="Q159" s="114">
        <f t="shared" si="65"/>
        <v>115.28635046515173</v>
      </c>
      <c r="R159" s="5" t="str">
        <f t="shared" si="39"/>
        <v>PAMA</v>
      </c>
    </row>
    <row r="160" spans="1:18" s="4" customFormat="1" ht="15" customHeight="1">
      <c r="A160" s="64"/>
      <c r="B160" s="7">
        <f t="shared" si="67"/>
        <v>35</v>
      </c>
      <c r="C160" s="7" t="s">
        <v>10</v>
      </c>
      <c r="D160" s="7" t="s">
        <v>518</v>
      </c>
      <c r="E160" s="7" t="s">
        <v>15</v>
      </c>
      <c r="F160" s="7" t="s">
        <v>28</v>
      </c>
      <c r="G160" s="7">
        <v>2008</v>
      </c>
      <c r="H160" s="7" t="s">
        <v>25</v>
      </c>
      <c r="I160" s="91" t="s">
        <v>26</v>
      </c>
      <c r="J160" s="115">
        <v>5523</v>
      </c>
      <c r="K160" s="116">
        <v>137.91999999999999</v>
      </c>
      <c r="L160" s="116">
        <v>0</v>
      </c>
      <c r="M160" s="116">
        <v>582.08000000000004</v>
      </c>
      <c r="N160" s="129">
        <f t="shared" si="62"/>
        <v>1</v>
      </c>
      <c r="O160" s="129">
        <f t="shared" si="63"/>
        <v>1</v>
      </c>
      <c r="P160" s="129">
        <f t="shared" si="64"/>
        <v>0.19155555555555553</v>
      </c>
      <c r="Q160" s="114">
        <f t="shared" si="65"/>
        <v>40.044953596287705</v>
      </c>
      <c r="R160" s="5" t="str">
        <f t="shared" si="39"/>
        <v>PAMA</v>
      </c>
    </row>
    <row r="161" spans="1:18" s="4" customFormat="1" ht="15" customHeight="1">
      <c r="A161" s="64"/>
      <c r="B161" s="7">
        <f t="shared" si="67"/>
        <v>36</v>
      </c>
      <c r="C161" s="7"/>
      <c r="D161" s="7" t="s">
        <v>309</v>
      </c>
      <c r="E161" s="7" t="s">
        <v>15</v>
      </c>
      <c r="F161" s="7" t="s">
        <v>30</v>
      </c>
      <c r="G161" s="7">
        <v>2008</v>
      </c>
      <c r="H161" s="7" t="s">
        <v>25</v>
      </c>
      <c r="I161" s="91" t="s">
        <v>26</v>
      </c>
      <c r="J161" s="115">
        <v>0</v>
      </c>
      <c r="K161" s="116">
        <v>0</v>
      </c>
      <c r="L161" s="116">
        <v>0</v>
      </c>
      <c r="M161" s="116">
        <v>720</v>
      </c>
      <c r="N161" s="129">
        <v>0</v>
      </c>
      <c r="O161" s="129">
        <f t="shared" si="63"/>
        <v>1</v>
      </c>
      <c r="P161" s="129">
        <f t="shared" si="64"/>
        <v>0</v>
      </c>
      <c r="Q161" s="114">
        <v>0</v>
      </c>
      <c r="R161" s="5" t="str">
        <f t="shared" si="39"/>
        <v>PAMA</v>
      </c>
    </row>
    <row r="162" spans="1:18" s="4" customFormat="1" ht="15" customHeight="1">
      <c r="A162" s="64"/>
      <c r="B162" s="7">
        <f t="shared" si="67"/>
        <v>37</v>
      </c>
      <c r="C162" s="7" t="s">
        <v>10</v>
      </c>
      <c r="D162" s="7" t="s">
        <v>44</v>
      </c>
      <c r="E162" s="7" t="s">
        <v>15</v>
      </c>
      <c r="F162" s="7" t="s">
        <v>30</v>
      </c>
      <c r="G162" s="7">
        <v>2008</v>
      </c>
      <c r="H162" s="7" t="s">
        <v>25</v>
      </c>
      <c r="I162" s="91" t="s">
        <v>26</v>
      </c>
      <c r="J162" s="115">
        <v>26923.759999999998</v>
      </c>
      <c r="K162" s="116">
        <v>312.86</v>
      </c>
      <c r="L162" s="116">
        <v>39.83</v>
      </c>
      <c r="M162" s="116">
        <v>367.30999999999995</v>
      </c>
      <c r="N162" s="129">
        <f t="shared" si="62"/>
        <v>0.88706796336726312</v>
      </c>
      <c r="O162" s="129">
        <f t="shared" si="63"/>
        <v>0.94468055555555552</v>
      </c>
      <c r="P162" s="129">
        <f t="shared" si="64"/>
        <v>0.45997324198362177</v>
      </c>
      <c r="Q162" s="114">
        <f t="shared" si="65"/>
        <v>86.05689445758486</v>
      </c>
      <c r="R162" s="5" t="str">
        <f t="shared" si="39"/>
        <v>PAMA</v>
      </c>
    </row>
    <row r="163" spans="1:18" s="4" customFormat="1" ht="15" customHeight="1">
      <c r="A163" s="64"/>
      <c r="B163" s="7">
        <f t="shared" si="67"/>
        <v>38</v>
      </c>
      <c r="C163" s="7" t="s">
        <v>10</v>
      </c>
      <c r="D163" s="7" t="s">
        <v>547</v>
      </c>
      <c r="E163" s="7" t="s">
        <v>15</v>
      </c>
      <c r="F163" s="7" t="s">
        <v>30</v>
      </c>
      <c r="G163" s="7">
        <v>2008</v>
      </c>
      <c r="H163" s="7" t="s">
        <v>25</v>
      </c>
      <c r="I163" s="91" t="s">
        <v>26</v>
      </c>
      <c r="J163" s="115">
        <v>30434.2</v>
      </c>
      <c r="K163" s="116">
        <v>310.57</v>
      </c>
      <c r="L163" s="116">
        <v>43.81</v>
      </c>
      <c r="M163" s="116">
        <v>365.62000000000006</v>
      </c>
      <c r="N163" s="129">
        <f t="shared" si="62"/>
        <v>0.87637564196625095</v>
      </c>
      <c r="O163" s="129">
        <f t="shared" si="63"/>
        <v>0.93915277777777784</v>
      </c>
      <c r="P163" s="129">
        <f t="shared" si="64"/>
        <v>0.45929398541829952</v>
      </c>
      <c r="Q163" s="114">
        <f t="shared" si="65"/>
        <v>97.994654989213387</v>
      </c>
      <c r="R163" s="5" t="str">
        <f t="shared" si="39"/>
        <v>PAMA</v>
      </c>
    </row>
    <row r="164" spans="1:18" s="4" customFormat="1" ht="15" customHeight="1">
      <c r="A164" s="64"/>
      <c r="B164" s="7">
        <f t="shared" si="67"/>
        <v>39</v>
      </c>
      <c r="C164" s="7" t="s">
        <v>10</v>
      </c>
      <c r="D164" s="7" t="s">
        <v>543</v>
      </c>
      <c r="E164" s="7" t="s">
        <v>15</v>
      </c>
      <c r="F164" s="7" t="s">
        <v>28</v>
      </c>
      <c r="G164" s="7">
        <v>2008</v>
      </c>
      <c r="H164" s="7" t="s">
        <v>25</v>
      </c>
      <c r="I164" s="91" t="s">
        <v>26</v>
      </c>
      <c r="J164" s="115">
        <v>5980.2</v>
      </c>
      <c r="K164" s="116">
        <v>128.75</v>
      </c>
      <c r="L164" s="116">
        <v>20.190000000000001</v>
      </c>
      <c r="M164" s="116">
        <v>571.05999999999995</v>
      </c>
      <c r="N164" s="129">
        <f t="shared" si="62"/>
        <v>0.86444205720424339</v>
      </c>
      <c r="O164" s="129">
        <f t="shared" si="63"/>
        <v>0.97195833333333326</v>
      </c>
      <c r="P164" s="129">
        <f t="shared" si="64"/>
        <v>0.18397850845229421</v>
      </c>
      <c r="Q164" s="114">
        <f t="shared" si="65"/>
        <v>46.448155339805822</v>
      </c>
      <c r="R164" s="5" t="str">
        <f t="shared" si="39"/>
        <v>PAMA</v>
      </c>
    </row>
    <row r="165" spans="1:18" s="4" customFormat="1" ht="15" customHeight="1">
      <c r="A165" s="64"/>
      <c r="B165" s="7">
        <f t="shared" si="67"/>
        <v>40</v>
      </c>
      <c r="C165" s="7" t="s">
        <v>10</v>
      </c>
      <c r="D165" s="7" t="s">
        <v>487</v>
      </c>
      <c r="E165" s="7" t="s">
        <v>15</v>
      </c>
      <c r="F165" s="7" t="s">
        <v>30</v>
      </c>
      <c r="G165" s="7">
        <v>2008</v>
      </c>
      <c r="H165" s="7" t="s">
        <v>25</v>
      </c>
      <c r="I165" s="91" t="s">
        <v>26</v>
      </c>
      <c r="J165" s="115">
        <v>18882.650000000001</v>
      </c>
      <c r="K165" s="116">
        <v>217.35</v>
      </c>
      <c r="L165" s="116">
        <v>222.85</v>
      </c>
      <c r="M165" s="116">
        <v>279.79999999999995</v>
      </c>
      <c r="N165" s="129">
        <f t="shared" si="62"/>
        <v>0.49375283961835531</v>
      </c>
      <c r="O165" s="129">
        <f t="shared" si="63"/>
        <v>0.69048611111111113</v>
      </c>
      <c r="P165" s="129">
        <f t="shared" si="64"/>
        <v>0.43719199436789702</v>
      </c>
      <c r="Q165" s="114">
        <f t="shared" si="65"/>
        <v>86.876696572348749</v>
      </c>
      <c r="R165" s="5" t="b">
        <f t="shared" si="39"/>
        <v>0</v>
      </c>
    </row>
    <row r="166" spans="1:18" s="4" customFormat="1" ht="15" customHeight="1">
      <c r="A166" s="64"/>
      <c r="B166" s="7">
        <f t="shared" si="67"/>
        <v>41</v>
      </c>
      <c r="C166" s="7" t="s">
        <v>10</v>
      </c>
      <c r="D166" s="7" t="s">
        <v>45</v>
      </c>
      <c r="E166" s="7" t="s">
        <v>15</v>
      </c>
      <c r="F166" s="7" t="s">
        <v>30</v>
      </c>
      <c r="G166" s="7">
        <v>2009</v>
      </c>
      <c r="H166" s="7" t="s">
        <v>25</v>
      </c>
      <c r="I166" s="91" t="s">
        <v>26</v>
      </c>
      <c r="J166" s="115">
        <v>18299.650000000001</v>
      </c>
      <c r="K166" s="116">
        <v>290.58</v>
      </c>
      <c r="L166" s="116">
        <v>35.5</v>
      </c>
      <c r="M166" s="116">
        <v>393.92</v>
      </c>
      <c r="N166" s="129">
        <f t="shared" si="62"/>
        <v>0.89113101079489698</v>
      </c>
      <c r="O166" s="129">
        <f t="shared" si="63"/>
        <v>0.9506944444444444</v>
      </c>
      <c r="P166" s="129">
        <f t="shared" si="64"/>
        <v>0.42451424397370341</v>
      </c>
      <c r="Q166" s="114">
        <f t="shared" si="65"/>
        <v>62.976288801706943</v>
      </c>
      <c r="R166" s="5" t="str">
        <f t="shared" si="39"/>
        <v>PAMA</v>
      </c>
    </row>
    <row r="167" spans="1:18" s="4" customFormat="1" ht="15" customHeight="1">
      <c r="A167" s="64"/>
      <c r="B167" s="7">
        <f t="shared" si="67"/>
        <v>42</v>
      </c>
      <c r="C167" s="7" t="s">
        <v>10</v>
      </c>
      <c r="D167" s="7" t="s">
        <v>489</v>
      </c>
      <c r="E167" s="7" t="s">
        <v>15</v>
      </c>
      <c r="F167" s="7" t="s">
        <v>30</v>
      </c>
      <c r="G167" s="7">
        <v>2009</v>
      </c>
      <c r="H167" s="7" t="s">
        <v>25</v>
      </c>
      <c r="I167" s="91" t="s">
        <v>26</v>
      </c>
      <c r="J167" s="115">
        <v>28972.31</v>
      </c>
      <c r="K167" s="116">
        <v>320.62</v>
      </c>
      <c r="L167" s="116">
        <v>44.35</v>
      </c>
      <c r="M167" s="116">
        <v>355.03</v>
      </c>
      <c r="N167" s="129">
        <f t="shared" si="62"/>
        <v>0.87848316299969853</v>
      </c>
      <c r="O167" s="129">
        <f t="shared" si="63"/>
        <v>0.9384027777777777</v>
      </c>
      <c r="P167" s="129">
        <f t="shared" si="64"/>
        <v>0.47453563235402946</v>
      </c>
      <c r="Q167" s="114">
        <f t="shared" si="65"/>
        <v>90.36338968249018</v>
      </c>
      <c r="R167" s="5" t="str">
        <f t="shared" si="39"/>
        <v>PAMA</v>
      </c>
    </row>
    <row r="168" spans="1:18" s="4" customFormat="1" ht="15" customHeight="1">
      <c r="A168" s="64"/>
      <c r="B168" s="7">
        <f t="shared" si="67"/>
        <v>43</v>
      </c>
      <c r="C168" s="7" t="s">
        <v>10</v>
      </c>
      <c r="D168" s="7" t="s">
        <v>545</v>
      </c>
      <c r="E168" s="7" t="s">
        <v>15</v>
      </c>
      <c r="F168" s="7" t="s">
        <v>28</v>
      </c>
      <c r="G168" s="7">
        <v>2009</v>
      </c>
      <c r="H168" s="7" t="s">
        <v>25</v>
      </c>
      <c r="I168" s="91" t="s">
        <v>26</v>
      </c>
      <c r="J168" s="115">
        <v>6502.2</v>
      </c>
      <c r="K168" s="116">
        <v>137.94</v>
      </c>
      <c r="L168" s="116">
        <v>18.690000000000001</v>
      </c>
      <c r="M168" s="116">
        <v>563.36999999999989</v>
      </c>
      <c r="N168" s="129">
        <f t="shared" si="62"/>
        <v>0.88067420034476152</v>
      </c>
      <c r="O168" s="129">
        <f t="shared" si="63"/>
        <v>0.97404166666666669</v>
      </c>
      <c r="P168" s="129">
        <f t="shared" si="64"/>
        <v>0.1966890533430295</v>
      </c>
      <c r="Q168" s="114">
        <f t="shared" si="65"/>
        <v>47.137886037407569</v>
      </c>
      <c r="R168" s="5" t="str">
        <f t="shared" si="39"/>
        <v>PAMA</v>
      </c>
    </row>
    <row r="169" spans="1:18" s="4" customFormat="1" ht="15" customHeight="1">
      <c r="A169" s="64"/>
      <c r="B169" s="7">
        <f t="shared" si="67"/>
        <v>44</v>
      </c>
      <c r="C169" s="7" t="s">
        <v>10</v>
      </c>
      <c r="D169" s="7" t="s">
        <v>546</v>
      </c>
      <c r="E169" s="7" t="s">
        <v>15</v>
      </c>
      <c r="F169" s="7" t="s">
        <v>30</v>
      </c>
      <c r="G169" s="7">
        <v>2009</v>
      </c>
      <c r="H169" s="7" t="s">
        <v>25</v>
      </c>
      <c r="I169" s="91" t="s">
        <v>26</v>
      </c>
      <c r="J169" s="115">
        <v>34449.199999999997</v>
      </c>
      <c r="K169" s="116">
        <v>315.91000000000003</v>
      </c>
      <c r="L169" s="116">
        <v>15.69</v>
      </c>
      <c r="M169" s="116">
        <v>388.39999999999992</v>
      </c>
      <c r="N169" s="129">
        <f t="shared" si="62"/>
        <v>0.95268395657418581</v>
      </c>
      <c r="O169" s="129">
        <f t="shared" si="63"/>
        <v>0.97820833333333324</v>
      </c>
      <c r="P169" s="129">
        <f t="shared" si="64"/>
        <v>0.44853828569805915</v>
      </c>
      <c r="Q169" s="114">
        <f t="shared" si="65"/>
        <v>109.04751353233515</v>
      </c>
      <c r="R169" s="5" t="str">
        <f t="shared" si="39"/>
        <v>PAMA</v>
      </c>
    </row>
    <row r="170" spans="1:18" s="4" customFormat="1" ht="15" customHeight="1">
      <c r="A170" s="64"/>
      <c r="B170" s="7">
        <f t="shared" si="67"/>
        <v>45</v>
      </c>
      <c r="C170" s="7" t="s">
        <v>10</v>
      </c>
      <c r="D170" s="7" t="s">
        <v>47</v>
      </c>
      <c r="E170" s="7" t="s">
        <v>15</v>
      </c>
      <c r="F170" s="7" t="s">
        <v>30</v>
      </c>
      <c r="G170" s="7">
        <v>2009</v>
      </c>
      <c r="H170" s="7" t="s">
        <v>25</v>
      </c>
      <c r="I170" s="91" t="s">
        <v>26</v>
      </c>
      <c r="J170" s="115">
        <v>17375.72</v>
      </c>
      <c r="K170" s="116">
        <v>249.12</v>
      </c>
      <c r="L170" s="116">
        <v>103.32</v>
      </c>
      <c r="M170" s="116">
        <v>367.56000000000006</v>
      </c>
      <c r="N170" s="129">
        <f t="shared" si="62"/>
        <v>0.70684371807967317</v>
      </c>
      <c r="O170" s="129">
        <f t="shared" si="63"/>
        <v>0.85650000000000004</v>
      </c>
      <c r="P170" s="129">
        <f t="shared" si="64"/>
        <v>0.40396964389959134</v>
      </c>
      <c r="Q170" s="114">
        <f t="shared" si="65"/>
        <v>69.748394348105336</v>
      </c>
      <c r="R170" s="5" t="b">
        <f t="shared" si="39"/>
        <v>0</v>
      </c>
    </row>
    <row r="171" spans="1:18" s="4" customFormat="1" ht="15" customHeight="1">
      <c r="A171" s="64"/>
      <c r="B171" s="7">
        <f t="shared" si="67"/>
        <v>46</v>
      </c>
      <c r="C171" s="7" t="s">
        <v>10</v>
      </c>
      <c r="D171" s="7" t="s">
        <v>49</v>
      </c>
      <c r="E171" s="7" t="s">
        <v>15</v>
      </c>
      <c r="F171" s="7" t="s">
        <v>30</v>
      </c>
      <c r="G171" s="7">
        <v>2009</v>
      </c>
      <c r="H171" s="7" t="s">
        <v>25</v>
      </c>
      <c r="I171" s="91" t="s">
        <v>26</v>
      </c>
      <c r="J171" s="115">
        <v>25128.75</v>
      </c>
      <c r="K171" s="116">
        <v>307.77</v>
      </c>
      <c r="L171" s="116">
        <v>23.8</v>
      </c>
      <c r="M171" s="116">
        <v>388.43000000000006</v>
      </c>
      <c r="N171" s="129">
        <f t="shared" si="62"/>
        <v>0.92822028530928613</v>
      </c>
      <c r="O171" s="129">
        <f t="shared" si="63"/>
        <v>0.9669444444444445</v>
      </c>
      <c r="P171" s="129">
        <f t="shared" si="64"/>
        <v>0.44207124389543229</v>
      </c>
      <c r="Q171" s="114">
        <f t="shared" si="65"/>
        <v>81.647821425090171</v>
      </c>
      <c r="R171" s="5" t="str">
        <f t="shared" si="39"/>
        <v>PAMA</v>
      </c>
    </row>
    <row r="172" spans="1:18" s="4" customFormat="1" ht="15" customHeight="1">
      <c r="A172" s="64"/>
      <c r="B172" s="7">
        <f t="shared" si="67"/>
        <v>47</v>
      </c>
      <c r="C172" s="7" t="s">
        <v>10</v>
      </c>
      <c r="D172" s="7" t="s">
        <v>533</v>
      </c>
      <c r="E172" s="7" t="s">
        <v>15</v>
      </c>
      <c r="F172" s="7" t="s">
        <v>30</v>
      </c>
      <c r="G172" s="7">
        <v>2009</v>
      </c>
      <c r="H172" s="7" t="s">
        <v>25</v>
      </c>
      <c r="I172" s="91" t="s">
        <v>26</v>
      </c>
      <c r="J172" s="115">
        <v>37298.300000000003</v>
      </c>
      <c r="K172" s="116">
        <v>326.94</v>
      </c>
      <c r="L172" s="116">
        <v>12.51</v>
      </c>
      <c r="M172" s="116">
        <v>380.55</v>
      </c>
      <c r="N172" s="129">
        <f t="shared" si="62"/>
        <v>0.96314626601855946</v>
      </c>
      <c r="O172" s="129">
        <f t="shared" si="63"/>
        <v>0.98262499999999997</v>
      </c>
      <c r="P172" s="129">
        <f t="shared" si="64"/>
        <v>0.46211253869312641</v>
      </c>
      <c r="Q172" s="114">
        <f t="shared" si="65"/>
        <v>114.0830121734875</v>
      </c>
      <c r="R172" s="5" t="str">
        <f t="shared" si="39"/>
        <v>PAMA</v>
      </c>
    </row>
    <row r="173" spans="1:18" s="4" customFormat="1" ht="15" customHeight="1">
      <c r="A173" s="64"/>
      <c r="B173" s="7">
        <f t="shared" si="67"/>
        <v>48</v>
      </c>
      <c r="C173" s="7" t="s">
        <v>10</v>
      </c>
      <c r="D173" s="7" t="s">
        <v>491</v>
      </c>
      <c r="E173" s="7" t="s">
        <v>15</v>
      </c>
      <c r="F173" s="7" t="s">
        <v>30</v>
      </c>
      <c r="G173" s="7">
        <v>2009</v>
      </c>
      <c r="H173" s="7" t="s">
        <v>25</v>
      </c>
      <c r="I173" s="91" t="s">
        <v>26</v>
      </c>
      <c r="J173" s="115">
        <v>27439.14</v>
      </c>
      <c r="K173" s="116">
        <v>313.16000000000003</v>
      </c>
      <c r="L173" s="116">
        <v>19.579999999999998</v>
      </c>
      <c r="M173" s="116">
        <v>387.25999999999993</v>
      </c>
      <c r="N173" s="129">
        <f t="shared" si="62"/>
        <v>0.94115525635631425</v>
      </c>
      <c r="O173" s="129">
        <f t="shared" si="63"/>
        <v>0.97280555555555548</v>
      </c>
      <c r="P173" s="129">
        <f t="shared" si="64"/>
        <v>0.4471031666714258</v>
      </c>
      <c r="Q173" s="114">
        <f t="shared" si="65"/>
        <v>87.620194149955282</v>
      </c>
      <c r="R173" s="5" t="str">
        <f t="shared" si="39"/>
        <v>PAMA</v>
      </c>
    </row>
    <row r="174" spans="1:18" s="4" customFormat="1" ht="15" customHeight="1">
      <c r="A174" s="64"/>
      <c r="B174" s="7">
        <f t="shared" si="67"/>
        <v>49</v>
      </c>
      <c r="C174" s="7" t="s">
        <v>10</v>
      </c>
      <c r="D174" s="7" t="s">
        <v>52</v>
      </c>
      <c r="E174" s="7" t="s">
        <v>15</v>
      </c>
      <c r="F174" s="7" t="s">
        <v>30</v>
      </c>
      <c r="G174" s="7">
        <v>2009</v>
      </c>
      <c r="H174" s="7" t="s">
        <v>25</v>
      </c>
      <c r="I174" s="91" t="s">
        <v>26</v>
      </c>
      <c r="J174" s="115">
        <v>34296.400000000001</v>
      </c>
      <c r="K174" s="116">
        <v>312.97000000000003</v>
      </c>
      <c r="L174" s="116">
        <v>19.260000000000002</v>
      </c>
      <c r="M174" s="116">
        <v>387.77</v>
      </c>
      <c r="N174" s="129">
        <f t="shared" si="62"/>
        <v>0.94202811305420942</v>
      </c>
      <c r="O174" s="129">
        <f t="shared" si="63"/>
        <v>0.97325000000000006</v>
      </c>
      <c r="P174" s="129">
        <f t="shared" si="64"/>
        <v>0.4466278505579816</v>
      </c>
      <c r="Q174" s="114">
        <f t="shared" si="65"/>
        <v>109.5836661660862</v>
      </c>
      <c r="R174" s="5" t="str">
        <f t="shared" si="39"/>
        <v>PAMA</v>
      </c>
    </row>
    <row r="175" spans="1:18" s="4" customFormat="1" ht="15" customHeight="1">
      <c r="A175" s="64"/>
      <c r="B175" s="7">
        <f t="shared" si="67"/>
        <v>50</v>
      </c>
      <c r="C175" s="7" t="s">
        <v>10</v>
      </c>
      <c r="D175" s="7" t="s">
        <v>535</v>
      </c>
      <c r="E175" s="7" t="s">
        <v>15</v>
      </c>
      <c r="F175" s="7" t="s">
        <v>30</v>
      </c>
      <c r="G175" s="7">
        <v>2009</v>
      </c>
      <c r="H175" s="7" t="s">
        <v>25</v>
      </c>
      <c r="I175" s="91" t="s">
        <v>26</v>
      </c>
      <c r="J175" s="115">
        <v>23287.13</v>
      </c>
      <c r="K175" s="116">
        <v>313.7</v>
      </c>
      <c r="L175" s="116">
        <v>15.1</v>
      </c>
      <c r="M175" s="116">
        <v>391.2</v>
      </c>
      <c r="N175" s="129">
        <f t="shared" si="62"/>
        <v>0.95407542579075422</v>
      </c>
      <c r="O175" s="129">
        <f t="shared" si="63"/>
        <v>0.97902777777777772</v>
      </c>
      <c r="P175" s="129">
        <f t="shared" si="64"/>
        <v>0.44502766349836859</v>
      </c>
      <c r="Q175" s="114">
        <f t="shared" si="65"/>
        <v>74.233758367867395</v>
      </c>
      <c r="R175" s="5" t="str">
        <f t="shared" si="39"/>
        <v>PAMA</v>
      </c>
    </row>
    <row r="176" spans="1:18" s="4" customFormat="1" ht="15" customHeight="1">
      <c r="A176" s="64"/>
      <c r="B176" s="7">
        <f t="shared" ref="B176:B184" si="68">+B175+1</f>
        <v>51</v>
      </c>
      <c r="C176" s="7" t="s">
        <v>10</v>
      </c>
      <c r="D176" s="7" t="s">
        <v>53</v>
      </c>
      <c r="E176" s="7" t="s">
        <v>15</v>
      </c>
      <c r="F176" s="7" t="s">
        <v>30</v>
      </c>
      <c r="G176" s="7">
        <v>2011</v>
      </c>
      <c r="H176" s="7" t="s">
        <v>25</v>
      </c>
      <c r="I176" s="91" t="s">
        <v>26</v>
      </c>
      <c r="J176" s="115">
        <v>31552.080000000002</v>
      </c>
      <c r="K176" s="116">
        <v>277.83</v>
      </c>
      <c r="L176" s="116">
        <v>88.34</v>
      </c>
      <c r="M176" s="116">
        <v>353.83</v>
      </c>
      <c r="N176" s="129">
        <f t="shared" si="62"/>
        <v>0.75874593767922005</v>
      </c>
      <c r="O176" s="129">
        <f t="shared" si="63"/>
        <v>0.87730555555555556</v>
      </c>
      <c r="P176" s="129">
        <f t="shared" si="64"/>
        <v>0.43984105373143778</v>
      </c>
      <c r="Q176" s="114">
        <f t="shared" si="65"/>
        <v>113.56613756613758</v>
      </c>
      <c r="R176" s="5" t="b">
        <f t="shared" si="39"/>
        <v>0</v>
      </c>
    </row>
    <row r="177" spans="1:18" s="4" customFormat="1" ht="15" customHeight="1">
      <c r="A177" s="64"/>
      <c r="B177" s="7">
        <f t="shared" si="68"/>
        <v>52</v>
      </c>
      <c r="C177" s="7" t="s">
        <v>10</v>
      </c>
      <c r="D177" s="7" t="s">
        <v>2128</v>
      </c>
      <c r="E177" s="7" t="s">
        <v>15</v>
      </c>
      <c r="F177" s="7" t="s">
        <v>30</v>
      </c>
      <c r="G177" s="7">
        <v>2011</v>
      </c>
      <c r="H177" s="7" t="s">
        <v>25</v>
      </c>
      <c r="I177" s="91" t="s">
        <v>26</v>
      </c>
      <c r="J177" s="115">
        <v>36131.410000000003</v>
      </c>
      <c r="K177" s="116">
        <v>323.69</v>
      </c>
      <c r="L177" s="116">
        <v>18.37</v>
      </c>
      <c r="M177" s="116">
        <v>377.94</v>
      </c>
      <c r="N177" s="129">
        <f t="shared" si="62"/>
        <v>0.94629597146699407</v>
      </c>
      <c r="O177" s="129">
        <f t="shared" si="63"/>
        <v>0.97448611111111105</v>
      </c>
      <c r="P177" s="129">
        <f t="shared" si="64"/>
        <v>0.46134002251899148</v>
      </c>
      <c r="Q177" s="114">
        <f t="shared" si="65"/>
        <v>111.62349779109643</v>
      </c>
      <c r="R177" s="5" t="str">
        <f t="shared" si="39"/>
        <v>PAMA</v>
      </c>
    </row>
    <row r="178" spans="1:18" s="4" customFormat="1" ht="15" customHeight="1">
      <c r="A178" s="64"/>
      <c r="B178" s="7">
        <f t="shared" si="68"/>
        <v>53</v>
      </c>
      <c r="C178" s="7" t="s">
        <v>10</v>
      </c>
      <c r="D178" s="7" t="s">
        <v>492</v>
      </c>
      <c r="E178" s="7" t="s">
        <v>15</v>
      </c>
      <c r="F178" s="7" t="s">
        <v>30</v>
      </c>
      <c r="G178" s="7">
        <v>2009</v>
      </c>
      <c r="H178" s="7" t="s">
        <v>25</v>
      </c>
      <c r="I178" s="91" t="s">
        <v>26</v>
      </c>
      <c r="J178" s="115">
        <v>36138.83</v>
      </c>
      <c r="K178" s="116">
        <v>306.83999999999997</v>
      </c>
      <c r="L178" s="116">
        <v>39.43</v>
      </c>
      <c r="M178" s="116">
        <v>373.73000000000008</v>
      </c>
      <c r="N178" s="129">
        <f t="shared" si="62"/>
        <v>0.8861293210500476</v>
      </c>
      <c r="O178" s="129">
        <f t="shared" si="63"/>
        <v>0.94523611111111117</v>
      </c>
      <c r="P178" s="129">
        <f t="shared" si="64"/>
        <v>0.45085736955787054</v>
      </c>
      <c r="Q178" s="114">
        <f t="shared" si="65"/>
        <v>117.77744101160215</v>
      </c>
      <c r="R178" s="5" t="str">
        <f t="shared" si="39"/>
        <v>PAMA</v>
      </c>
    </row>
    <row r="179" spans="1:18" s="4" customFormat="1" ht="15" customHeight="1">
      <c r="A179" s="64"/>
      <c r="B179" s="7">
        <f t="shared" si="68"/>
        <v>54</v>
      </c>
      <c r="C179" s="7" t="s">
        <v>10</v>
      </c>
      <c r="D179" s="7" t="s">
        <v>2096</v>
      </c>
      <c r="E179" s="7" t="s">
        <v>15</v>
      </c>
      <c r="F179" s="7" t="s">
        <v>30</v>
      </c>
      <c r="G179" s="7">
        <v>2009</v>
      </c>
      <c r="H179" s="7" t="s">
        <v>25</v>
      </c>
      <c r="I179" s="91" t="s">
        <v>26</v>
      </c>
      <c r="J179" s="115">
        <v>32965.65</v>
      </c>
      <c r="K179" s="116">
        <v>337.29</v>
      </c>
      <c r="L179" s="116">
        <v>22.83</v>
      </c>
      <c r="M179" s="116">
        <v>359.87999999999994</v>
      </c>
      <c r="N179" s="129">
        <f t="shared" si="62"/>
        <v>0.936604465178274</v>
      </c>
      <c r="O179" s="129">
        <f t="shared" si="63"/>
        <v>0.96829166666666666</v>
      </c>
      <c r="P179" s="129">
        <f t="shared" si="64"/>
        <v>0.48379878652265595</v>
      </c>
      <c r="Q179" s="114">
        <f t="shared" si="65"/>
        <v>97.736814017610953</v>
      </c>
      <c r="R179" s="5" t="str">
        <f t="shared" si="39"/>
        <v>PAMA</v>
      </c>
    </row>
    <row r="180" spans="1:18" s="4" customFormat="1" ht="15" customHeight="1">
      <c r="A180" s="64"/>
      <c r="B180" s="7">
        <f t="shared" si="68"/>
        <v>55</v>
      </c>
      <c r="C180" s="7" t="s">
        <v>10</v>
      </c>
      <c r="D180" s="7" t="s">
        <v>54</v>
      </c>
      <c r="E180" s="7" t="s">
        <v>15</v>
      </c>
      <c r="F180" s="7" t="s">
        <v>30</v>
      </c>
      <c r="G180" s="7">
        <v>2009</v>
      </c>
      <c r="H180" s="7" t="s">
        <v>25</v>
      </c>
      <c r="I180" s="91" t="s">
        <v>26</v>
      </c>
      <c r="J180" s="115">
        <v>25239.57</v>
      </c>
      <c r="K180" s="116">
        <v>319.95</v>
      </c>
      <c r="L180" s="116">
        <v>20.100000000000001</v>
      </c>
      <c r="M180" s="116">
        <v>379.95</v>
      </c>
      <c r="N180" s="129">
        <f t="shared" si="62"/>
        <v>0.94089104543449487</v>
      </c>
      <c r="O180" s="129">
        <f t="shared" si="63"/>
        <v>0.9720833333333333</v>
      </c>
      <c r="P180" s="129">
        <f t="shared" si="64"/>
        <v>0.45713673381911701</v>
      </c>
      <c r="Q180" s="114">
        <f t="shared" si="65"/>
        <v>78.885982184716369</v>
      </c>
      <c r="R180" s="5" t="str">
        <f t="shared" si="39"/>
        <v>PAMA</v>
      </c>
    </row>
    <row r="181" spans="1:18" s="4" customFormat="1" ht="15" customHeight="1">
      <c r="A181" s="64"/>
      <c r="B181" s="7">
        <f t="shared" si="68"/>
        <v>56</v>
      </c>
      <c r="C181" s="7" t="s">
        <v>10</v>
      </c>
      <c r="D181" s="7" t="s">
        <v>2097</v>
      </c>
      <c r="E181" s="7" t="s">
        <v>15</v>
      </c>
      <c r="F181" s="7" t="s">
        <v>30</v>
      </c>
      <c r="G181" s="7">
        <v>2009</v>
      </c>
      <c r="H181" s="7" t="s">
        <v>25</v>
      </c>
      <c r="I181" s="91" t="s">
        <v>26</v>
      </c>
      <c r="J181" s="115">
        <v>24936.85</v>
      </c>
      <c r="K181" s="116">
        <v>318.62</v>
      </c>
      <c r="L181" s="116">
        <v>31.63</v>
      </c>
      <c r="M181" s="116">
        <v>369.75</v>
      </c>
      <c r="N181" s="129">
        <f t="shared" si="62"/>
        <v>0.90969307637401853</v>
      </c>
      <c r="O181" s="129">
        <f t="shared" si="63"/>
        <v>0.95606944444444442</v>
      </c>
      <c r="P181" s="129">
        <f t="shared" si="64"/>
        <v>0.46286154248441974</v>
      </c>
      <c r="Q181" s="114">
        <f t="shared" si="65"/>
        <v>78.2651748163957</v>
      </c>
      <c r="R181" s="5" t="str">
        <f t="shared" si="39"/>
        <v>PAMA</v>
      </c>
    </row>
    <row r="182" spans="1:18" s="4" customFormat="1" ht="15" customHeight="1">
      <c r="A182" s="64"/>
      <c r="B182" s="7">
        <f t="shared" si="68"/>
        <v>57</v>
      </c>
      <c r="C182" s="7" t="s">
        <v>10</v>
      </c>
      <c r="D182" s="7" t="s">
        <v>290</v>
      </c>
      <c r="E182" s="7" t="s">
        <v>15</v>
      </c>
      <c r="F182" s="7" t="s">
        <v>30</v>
      </c>
      <c r="G182" s="7">
        <v>2009</v>
      </c>
      <c r="H182" s="7" t="s">
        <v>25</v>
      </c>
      <c r="I182" s="91" t="s">
        <v>26</v>
      </c>
      <c r="J182" s="115">
        <v>31849.06</v>
      </c>
      <c r="K182" s="116">
        <v>313.67</v>
      </c>
      <c r="L182" s="116">
        <v>54.31</v>
      </c>
      <c r="M182" s="116">
        <v>352.02000000000004</v>
      </c>
      <c r="N182" s="129">
        <f t="shared" si="62"/>
        <v>0.85241045709005925</v>
      </c>
      <c r="O182" s="129">
        <f t="shared" si="63"/>
        <v>0.92456944444444455</v>
      </c>
      <c r="P182" s="129">
        <f t="shared" si="64"/>
        <v>0.47119530111613511</v>
      </c>
      <c r="Q182" s="114">
        <f t="shared" si="65"/>
        <v>101.53683807823509</v>
      </c>
      <c r="R182" s="5" t="str">
        <f t="shared" si="39"/>
        <v>PAMA</v>
      </c>
    </row>
    <row r="183" spans="1:18" s="4" customFormat="1" ht="15" customHeight="1">
      <c r="A183" s="64"/>
      <c r="B183" s="7">
        <f t="shared" si="68"/>
        <v>58</v>
      </c>
      <c r="C183" s="7" t="s">
        <v>10</v>
      </c>
      <c r="D183" s="7" t="s">
        <v>291</v>
      </c>
      <c r="E183" s="7" t="s">
        <v>15</v>
      </c>
      <c r="F183" s="7" t="s">
        <v>30</v>
      </c>
      <c r="G183" s="7">
        <v>2009</v>
      </c>
      <c r="H183" s="7" t="s">
        <v>25</v>
      </c>
      <c r="I183" s="91" t="s">
        <v>26</v>
      </c>
      <c r="J183" s="115">
        <v>34019.4</v>
      </c>
      <c r="K183" s="116">
        <v>329.54</v>
      </c>
      <c r="L183" s="116">
        <v>7.23</v>
      </c>
      <c r="M183" s="116">
        <v>383.22999999999996</v>
      </c>
      <c r="N183" s="129">
        <f t="shared" si="62"/>
        <v>0.97853134186536805</v>
      </c>
      <c r="O183" s="129">
        <f t="shared" si="63"/>
        <v>0.98995833333333327</v>
      </c>
      <c r="P183" s="129">
        <f t="shared" si="64"/>
        <v>0.46233707928223694</v>
      </c>
      <c r="Q183" s="114">
        <f t="shared" si="65"/>
        <v>103.23299144261698</v>
      </c>
      <c r="R183" s="5" t="str">
        <f t="shared" si="39"/>
        <v>PAMA</v>
      </c>
    </row>
    <row r="184" spans="1:18" s="4" customFormat="1" ht="15" customHeight="1">
      <c r="A184" s="64"/>
      <c r="B184" s="7">
        <f t="shared" si="68"/>
        <v>59</v>
      </c>
      <c r="C184" s="7"/>
      <c r="D184" s="7" t="s">
        <v>55</v>
      </c>
      <c r="E184" s="7" t="s">
        <v>15</v>
      </c>
      <c r="F184" s="7" t="s">
        <v>30</v>
      </c>
      <c r="G184" s="7">
        <v>2009</v>
      </c>
      <c r="H184" s="7" t="s">
        <v>25</v>
      </c>
      <c r="I184" s="91" t="s">
        <v>26</v>
      </c>
      <c r="J184" s="115">
        <v>0</v>
      </c>
      <c r="K184" s="116">
        <v>0</v>
      </c>
      <c r="L184" s="116">
        <v>0</v>
      </c>
      <c r="M184" s="116">
        <v>720</v>
      </c>
      <c r="N184" s="129">
        <v>0</v>
      </c>
      <c r="O184" s="129">
        <f t="shared" si="63"/>
        <v>1</v>
      </c>
      <c r="P184" s="129">
        <f t="shared" si="64"/>
        <v>0</v>
      </c>
      <c r="Q184" s="114">
        <v>0</v>
      </c>
      <c r="R184" s="5" t="str">
        <f t="shared" si="39"/>
        <v>PAMA</v>
      </c>
    </row>
    <row r="185" spans="1:18" s="4" customFormat="1" ht="15" customHeight="1">
      <c r="A185" s="64"/>
      <c r="B185" s="7">
        <f t="shared" ref="B185:B248" si="69">+B184+1</f>
        <v>60</v>
      </c>
      <c r="C185" s="7"/>
      <c r="D185" s="7" t="s">
        <v>56</v>
      </c>
      <c r="E185" s="7" t="s">
        <v>15</v>
      </c>
      <c r="F185" s="7" t="s">
        <v>30</v>
      </c>
      <c r="G185" s="7">
        <v>2009</v>
      </c>
      <c r="H185" s="7" t="s">
        <v>25</v>
      </c>
      <c r="I185" s="91" t="s">
        <v>26</v>
      </c>
      <c r="J185" s="115">
        <v>0</v>
      </c>
      <c r="K185" s="116">
        <v>0</v>
      </c>
      <c r="L185" s="116">
        <v>0</v>
      </c>
      <c r="M185" s="116">
        <v>720</v>
      </c>
      <c r="N185" s="129">
        <v>0</v>
      </c>
      <c r="O185" s="129">
        <f t="shared" si="63"/>
        <v>1</v>
      </c>
      <c r="P185" s="129">
        <f t="shared" si="64"/>
        <v>0</v>
      </c>
      <c r="Q185" s="114">
        <v>0</v>
      </c>
      <c r="R185" s="5" t="str">
        <f t="shared" ref="R185:R248" si="70">IF(O185&gt;89.9999999999999%,"PAMA")</f>
        <v>PAMA</v>
      </c>
    </row>
    <row r="186" spans="1:18" s="4" customFormat="1" ht="15" customHeight="1">
      <c r="A186" s="64"/>
      <c r="B186" s="7">
        <f t="shared" si="69"/>
        <v>61</v>
      </c>
      <c r="C186" s="7" t="s">
        <v>10</v>
      </c>
      <c r="D186" s="7" t="s">
        <v>292</v>
      </c>
      <c r="E186" s="7" t="s">
        <v>15</v>
      </c>
      <c r="F186" s="7" t="s">
        <v>30</v>
      </c>
      <c r="G186" s="7">
        <v>2009</v>
      </c>
      <c r="H186" s="7" t="s">
        <v>25</v>
      </c>
      <c r="I186" s="91" t="s">
        <v>26</v>
      </c>
      <c r="J186" s="115">
        <v>23152.62</v>
      </c>
      <c r="K186" s="116">
        <v>292.11</v>
      </c>
      <c r="L186" s="116">
        <v>69.41</v>
      </c>
      <c r="M186" s="116">
        <v>358.48</v>
      </c>
      <c r="N186" s="129">
        <f t="shared" si="62"/>
        <v>0.80800508962159778</v>
      </c>
      <c r="O186" s="129">
        <f t="shared" si="63"/>
        <v>0.90359722222222227</v>
      </c>
      <c r="P186" s="129">
        <f t="shared" si="64"/>
        <v>0.44899245300419621</v>
      </c>
      <c r="Q186" s="114">
        <f t="shared" si="65"/>
        <v>79.259936325356875</v>
      </c>
      <c r="R186" s="5" t="str">
        <f t="shared" si="70"/>
        <v>PAMA</v>
      </c>
    </row>
    <row r="187" spans="1:18" s="4" customFormat="1" ht="15" customHeight="1">
      <c r="A187" s="64"/>
      <c r="B187" s="7">
        <f t="shared" si="69"/>
        <v>62</v>
      </c>
      <c r="C187" s="7"/>
      <c r="D187" s="7" t="s">
        <v>293</v>
      </c>
      <c r="E187" s="7" t="s">
        <v>15</v>
      </c>
      <c r="F187" s="7" t="s">
        <v>30</v>
      </c>
      <c r="G187" s="7">
        <v>2009</v>
      </c>
      <c r="H187" s="7" t="s">
        <v>25</v>
      </c>
      <c r="I187" s="91" t="s">
        <v>26</v>
      </c>
      <c r="J187" s="115">
        <v>0</v>
      </c>
      <c r="K187" s="116">
        <v>0</v>
      </c>
      <c r="L187" s="116">
        <v>0</v>
      </c>
      <c r="M187" s="116">
        <v>720</v>
      </c>
      <c r="N187" s="129">
        <v>0</v>
      </c>
      <c r="O187" s="129">
        <f t="shared" si="63"/>
        <v>1</v>
      </c>
      <c r="P187" s="129">
        <f t="shared" si="64"/>
        <v>0</v>
      </c>
      <c r="Q187" s="114">
        <v>0</v>
      </c>
      <c r="R187" s="5" t="str">
        <f t="shared" si="70"/>
        <v>PAMA</v>
      </c>
    </row>
    <row r="188" spans="1:18" s="4" customFormat="1" ht="15" customHeight="1">
      <c r="A188" s="64"/>
      <c r="B188" s="7">
        <f t="shared" si="69"/>
        <v>63</v>
      </c>
      <c r="C188" s="7" t="s">
        <v>10</v>
      </c>
      <c r="D188" s="7" t="s">
        <v>294</v>
      </c>
      <c r="E188" s="7" t="s">
        <v>15</v>
      </c>
      <c r="F188" s="7" t="s">
        <v>30</v>
      </c>
      <c r="G188" s="7">
        <v>2010</v>
      </c>
      <c r="H188" s="7" t="s">
        <v>25</v>
      </c>
      <c r="I188" s="91" t="s">
        <v>26</v>
      </c>
      <c r="J188" s="115">
        <v>32238.13</v>
      </c>
      <c r="K188" s="116">
        <v>354.39</v>
      </c>
      <c r="L188" s="116">
        <v>19.5</v>
      </c>
      <c r="M188" s="116">
        <v>346.11</v>
      </c>
      <c r="N188" s="129">
        <f t="shared" si="62"/>
        <v>0.94784562304421083</v>
      </c>
      <c r="O188" s="129">
        <f t="shared" si="63"/>
        <v>0.97291666666666665</v>
      </c>
      <c r="P188" s="129">
        <f t="shared" si="64"/>
        <v>0.50591006423982865</v>
      </c>
      <c r="Q188" s="114">
        <f t="shared" si="65"/>
        <v>90.967944919439049</v>
      </c>
      <c r="R188" s="5" t="str">
        <f t="shared" si="70"/>
        <v>PAMA</v>
      </c>
    </row>
    <row r="189" spans="1:18" s="4" customFormat="1" ht="15" customHeight="1">
      <c r="A189" s="64"/>
      <c r="B189" s="7">
        <f t="shared" si="69"/>
        <v>64</v>
      </c>
      <c r="C189" s="7" t="s">
        <v>10</v>
      </c>
      <c r="D189" s="7" t="s">
        <v>494</v>
      </c>
      <c r="E189" s="7" t="s">
        <v>15</v>
      </c>
      <c r="F189" s="7" t="s">
        <v>30</v>
      </c>
      <c r="G189" s="7">
        <v>2010</v>
      </c>
      <c r="H189" s="7" t="s">
        <v>25</v>
      </c>
      <c r="I189" s="91" t="s">
        <v>26</v>
      </c>
      <c r="J189" s="115">
        <v>36615.589999999997</v>
      </c>
      <c r="K189" s="116">
        <v>364.57</v>
      </c>
      <c r="L189" s="116">
        <v>11.69</v>
      </c>
      <c r="M189" s="116">
        <v>343.73999999999995</v>
      </c>
      <c r="N189" s="129">
        <f t="shared" si="62"/>
        <v>0.96893105831074255</v>
      </c>
      <c r="O189" s="129">
        <f t="shared" si="63"/>
        <v>0.98376388888888877</v>
      </c>
      <c r="P189" s="129">
        <f t="shared" si="64"/>
        <v>0.51470401377927744</v>
      </c>
      <c r="Q189" s="114">
        <f t="shared" si="65"/>
        <v>100.43500562306278</v>
      </c>
      <c r="R189" s="5" t="str">
        <f t="shared" si="70"/>
        <v>PAMA</v>
      </c>
    </row>
    <row r="190" spans="1:18" s="4" customFormat="1" ht="15" customHeight="1">
      <c r="A190" s="64"/>
      <c r="B190" s="7">
        <f t="shared" si="69"/>
        <v>65</v>
      </c>
      <c r="C190" s="7"/>
      <c r="D190" s="7" t="s">
        <v>57</v>
      </c>
      <c r="E190" s="7" t="s">
        <v>15</v>
      </c>
      <c r="F190" s="7" t="s">
        <v>30</v>
      </c>
      <c r="G190" s="7">
        <v>2010</v>
      </c>
      <c r="H190" s="7" t="s">
        <v>25</v>
      </c>
      <c r="I190" s="91" t="s">
        <v>26</v>
      </c>
      <c r="J190" s="115">
        <v>0</v>
      </c>
      <c r="K190" s="116">
        <v>0</v>
      </c>
      <c r="L190" s="116">
        <v>0</v>
      </c>
      <c r="M190" s="116">
        <v>720</v>
      </c>
      <c r="N190" s="129">
        <v>0</v>
      </c>
      <c r="O190" s="129">
        <f t="shared" si="63"/>
        <v>1</v>
      </c>
      <c r="P190" s="129">
        <f t="shared" si="64"/>
        <v>0</v>
      </c>
      <c r="Q190" s="114">
        <v>0</v>
      </c>
      <c r="R190" s="5" t="str">
        <f t="shared" si="70"/>
        <v>PAMA</v>
      </c>
    </row>
    <row r="191" spans="1:18" s="4" customFormat="1" ht="15" customHeight="1">
      <c r="A191" s="64"/>
      <c r="B191" s="7">
        <f t="shared" si="69"/>
        <v>66</v>
      </c>
      <c r="C191" s="7"/>
      <c r="D191" s="7" t="s">
        <v>295</v>
      </c>
      <c r="E191" s="7" t="s">
        <v>15</v>
      </c>
      <c r="F191" s="7" t="s">
        <v>30</v>
      </c>
      <c r="G191" s="7">
        <v>2010</v>
      </c>
      <c r="H191" s="7" t="s">
        <v>25</v>
      </c>
      <c r="I191" s="91" t="s">
        <v>26</v>
      </c>
      <c r="J191" s="115">
        <v>0</v>
      </c>
      <c r="K191" s="116">
        <v>0</v>
      </c>
      <c r="L191" s="116">
        <v>0</v>
      </c>
      <c r="M191" s="116">
        <v>720</v>
      </c>
      <c r="N191" s="129">
        <v>0</v>
      </c>
      <c r="O191" s="129">
        <f t="shared" ref="O191:O248" si="71">+(K191+M191)/(K191+L191+M191)</f>
        <v>1</v>
      </c>
      <c r="P191" s="129">
        <f t="shared" ref="P191:P248" si="72">+K191/(K191+M191)</f>
        <v>0</v>
      </c>
      <c r="Q191" s="114">
        <v>0</v>
      </c>
      <c r="R191" s="5" t="str">
        <f t="shared" si="70"/>
        <v>PAMA</v>
      </c>
    </row>
    <row r="192" spans="1:18" s="4" customFormat="1" ht="15" customHeight="1">
      <c r="A192" s="64"/>
      <c r="B192" s="7">
        <f t="shared" si="69"/>
        <v>67</v>
      </c>
      <c r="C192" s="7" t="s">
        <v>10</v>
      </c>
      <c r="D192" s="7" t="s">
        <v>58</v>
      </c>
      <c r="E192" s="7" t="s">
        <v>15</v>
      </c>
      <c r="F192" s="7" t="s">
        <v>30</v>
      </c>
      <c r="G192" s="7">
        <v>2010</v>
      </c>
      <c r="H192" s="7" t="s">
        <v>25</v>
      </c>
      <c r="I192" s="91" t="s">
        <v>26</v>
      </c>
      <c r="J192" s="115">
        <v>21946.69</v>
      </c>
      <c r="K192" s="116">
        <v>314.8</v>
      </c>
      <c r="L192" s="116">
        <v>37.909999999999997</v>
      </c>
      <c r="M192" s="116">
        <v>367.29</v>
      </c>
      <c r="N192" s="129">
        <f t="shared" ref="N192:N248" si="73">+K192/(K192+L192)</f>
        <v>0.89251793257917267</v>
      </c>
      <c r="O192" s="129">
        <f t="shared" si="71"/>
        <v>0.94734722222222223</v>
      </c>
      <c r="P192" s="129">
        <f t="shared" si="72"/>
        <v>0.46152267296104621</v>
      </c>
      <c r="Q192" s="114">
        <f t="shared" ref="Q192:Q248" si="74">+J192/K192</f>
        <v>69.716296060991098</v>
      </c>
      <c r="R192" s="5" t="str">
        <f t="shared" si="70"/>
        <v>PAMA</v>
      </c>
    </row>
    <row r="193" spans="1:18" s="4" customFormat="1" ht="15" customHeight="1">
      <c r="A193" s="64"/>
      <c r="B193" s="7">
        <f t="shared" si="69"/>
        <v>68</v>
      </c>
      <c r="C193" s="7" t="s">
        <v>10</v>
      </c>
      <c r="D193" s="7" t="s">
        <v>68</v>
      </c>
      <c r="E193" s="7" t="s">
        <v>15</v>
      </c>
      <c r="F193" s="7" t="s">
        <v>30</v>
      </c>
      <c r="G193" s="7">
        <v>2011</v>
      </c>
      <c r="H193" s="7" t="s">
        <v>25</v>
      </c>
      <c r="I193" s="91" t="s">
        <v>26</v>
      </c>
      <c r="J193" s="115">
        <v>16534.939999999999</v>
      </c>
      <c r="K193" s="116">
        <v>249.86</v>
      </c>
      <c r="L193" s="116">
        <v>95.96</v>
      </c>
      <c r="M193" s="116">
        <v>374.17999999999995</v>
      </c>
      <c r="N193" s="129">
        <f t="shared" si="73"/>
        <v>0.7225146029726448</v>
      </c>
      <c r="O193" s="129">
        <f t="shared" si="71"/>
        <v>0.86672222222222217</v>
      </c>
      <c r="P193" s="129">
        <f t="shared" si="72"/>
        <v>0.40039100057688615</v>
      </c>
      <c r="Q193" s="114">
        <f t="shared" si="74"/>
        <v>66.176819018650434</v>
      </c>
      <c r="R193" s="5" t="b">
        <f t="shared" si="70"/>
        <v>0</v>
      </c>
    </row>
    <row r="194" spans="1:18" s="4" customFormat="1" ht="15" customHeight="1">
      <c r="A194" s="64"/>
      <c r="B194" s="7">
        <f t="shared" si="69"/>
        <v>69</v>
      </c>
      <c r="C194" s="7" t="s">
        <v>10</v>
      </c>
      <c r="D194" s="7" t="s">
        <v>69</v>
      </c>
      <c r="E194" s="7" t="s">
        <v>15</v>
      </c>
      <c r="F194" s="7" t="s">
        <v>30</v>
      </c>
      <c r="G194" s="7">
        <v>2011</v>
      </c>
      <c r="H194" s="7" t="s">
        <v>25</v>
      </c>
      <c r="I194" s="91" t="s">
        <v>26</v>
      </c>
      <c r="J194" s="115">
        <v>36216.33</v>
      </c>
      <c r="K194" s="116">
        <v>327.33</v>
      </c>
      <c r="L194" s="116">
        <v>29.59</v>
      </c>
      <c r="M194" s="116">
        <v>363.08</v>
      </c>
      <c r="N194" s="129">
        <f t="shared" si="73"/>
        <v>0.91709626807127653</v>
      </c>
      <c r="O194" s="129">
        <f t="shared" si="71"/>
        <v>0.95890277777777777</v>
      </c>
      <c r="P194" s="129">
        <f t="shared" si="72"/>
        <v>0.47410958705696615</v>
      </c>
      <c r="Q194" s="114">
        <f t="shared" si="74"/>
        <v>110.64164604527542</v>
      </c>
      <c r="R194" s="5" t="str">
        <f t="shared" si="70"/>
        <v>PAMA</v>
      </c>
    </row>
    <row r="195" spans="1:18" s="4" customFormat="1" ht="15" customHeight="1">
      <c r="A195" s="64"/>
      <c r="B195" s="7">
        <f t="shared" si="69"/>
        <v>70</v>
      </c>
      <c r="C195" s="7" t="s">
        <v>10</v>
      </c>
      <c r="D195" s="7" t="s">
        <v>70</v>
      </c>
      <c r="E195" s="7" t="s">
        <v>15</v>
      </c>
      <c r="F195" s="7" t="s">
        <v>28</v>
      </c>
      <c r="G195" s="7">
        <v>2011</v>
      </c>
      <c r="H195" s="7" t="s">
        <v>25</v>
      </c>
      <c r="I195" s="91" t="s">
        <v>26</v>
      </c>
      <c r="J195" s="115">
        <v>1</v>
      </c>
      <c r="K195" s="116">
        <v>0.01</v>
      </c>
      <c r="L195" s="116">
        <v>6.11</v>
      </c>
      <c r="M195" s="116">
        <v>713.88</v>
      </c>
      <c r="N195" s="129">
        <f t="shared" si="73"/>
        <v>1.6339869281045752E-3</v>
      </c>
      <c r="O195" s="129">
        <f t="shared" si="71"/>
        <v>0.99151388888888892</v>
      </c>
      <c r="P195" s="129">
        <f t="shared" si="72"/>
        <v>1.4007760299205761E-5</v>
      </c>
      <c r="Q195" s="114">
        <f t="shared" si="74"/>
        <v>100</v>
      </c>
      <c r="R195" s="5" t="str">
        <f t="shared" si="70"/>
        <v>PAMA</v>
      </c>
    </row>
    <row r="196" spans="1:18" s="4" customFormat="1" ht="15" customHeight="1">
      <c r="A196" s="64"/>
      <c r="B196" s="7">
        <f t="shared" si="69"/>
        <v>71</v>
      </c>
      <c r="C196" s="7" t="s">
        <v>10</v>
      </c>
      <c r="D196" s="7" t="s">
        <v>71</v>
      </c>
      <c r="E196" s="7" t="s">
        <v>15</v>
      </c>
      <c r="F196" s="7" t="s">
        <v>30</v>
      </c>
      <c r="G196" s="7">
        <v>2011</v>
      </c>
      <c r="H196" s="7" t="s">
        <v>25</v>
      </c>
      <c r="I196" s="91" t="s">
        <v>26</v>
      </c>
      <c r="J196" s="115">
        <v>43554.38</v>
      </c>
      <c r="K196" s="116">
        <v>329.59</v>
      </c>
      <c r="L196" s="116">
        <v>25.93</v>
      </c>
      <c r="M196" s="116">
        <v>364.48000000000008</v>
      </c>
      <c r="N196" s="129">
        <f t="shared" si="73"/>
        <v>0.92706458145814574</v>
      </c>
      <c r="O196" s="129">
        <f t="shared" si="71"/>
        <v>0.96398611111111121</v>
      </c>
      <c r="P196" s="129">
        <f t="shared" si="72"/>
        <v>0.47486564755716276</v>
      </c>
      <c r="Q196" s="114">
        <f t="shared" si="74"/>
        <v>132.14715252283139</v>
      </c>
      <c r="R196" s="5" t="str">
        <f t="shared" si="70"/>
        <v>PAMA</v>
      </c>
    </row>
    <row r="197" spans="1:18" s="4" customFormat="1" ht="15" customHeight="1">
      <c r="A197" s="64"/>
      <c r="B197" s="7">
        <f t="shared" si="69"/>
        <v>72</v>
      </c>
      <c r="C197" s="7" t="s">
        <v>10</v>
      </c>
      <c r="D197" s="7" t="s">
        <v>72</v>
      </c>
      <c r="E197" s="7" t="s">
        <v>15</v>
      </c>
      <c r="F197" s="7" t="s">
        <v>30</v>
      </c>
      <c r="G197" s="7">
        <v>2011</v>
      </c>
      <c r="H197" s="7" t="s">
        <v>25</v>
      </c>
      <c r="I197" s="91" t="s">
        <v>26</v>
      </c>
      <c r="J197" s="115">
        <v>21816.97</v>
      </c>
      <c r="K197" s="116">
        <v>311.17</v>
      </c>
      <c r="L197" s="116">
        <v>26.54</v>
      </c>
      <c r="M197" s="116">
        <v>382.29</v>
      </c>
      <c r="N197" s="129">
        <f t="shared" si="73"/>
        <v>0.92141186224867488</v>
      </c>
      <c r="O197" s="129">
        <f t="shared" si="71"/>
        <v>0.96313888888888899</v>
      </c>
      <c r="P197" s="129">
        <f t="shared" si="72"/>
        <v>0.44872090675741932</v>
      </c>
      <c r="Q197" s="114">
        <f t="shared" si="74"/>
        <v>70.112703666805928</v>
      </c>
      <c r="R197" s="5" t="str">
        <f t="shared" si="70"/>
        <v>PAMA</v>
      </c>
    </row>
    <row r="198" spans="1:18" s="4" customFormat="1" ht="15" customHeight="1">
      <c r="A198" s="64"/>
      <c r="B198" s="7">
        <f t="shared" si="69"/>
        <v>73</v>
      </c>
      <c r="C198" s="7"/>
      <c r="D198" s="7" t="s">
        <v>73</v>
      </c>
      <c r="E198" s="7" t="s">
        <v>15</v>
      </c>
      <c r="F198" s="7" t="s">
        <v>28</v>
      </c>
      <c r="G198" s="7">
        <v>2011</v>
      </c>
      <c r="H198" s="7" t="s">
        <v>25</v>
      </c>
      <c r="I198" s="91" t="s">
        <v>26</v>
      </c>
      <c r="J198" s="115">
        <v>0</v>
      </c>
      <c r="K198" s="116">
        <v>0</v>
      </c>
      <c r="L198" s="116">
        <v>0</v>
      </c>
      <c r="M198" s="116">
        <v>720</v>
      </c>
      <c r="N198" s="129">
        <v>0</v>
      </c>
      <c r="O198" s="129">
        <f t="shared" si="71"/>
        <v>1</v>
      </c>
      <c r="P198" s="129">
        <f t="shared" si="72"/>
        <v>0</v>
      </c>
      <c r="Q198" s="114">
        <v>0</v>
      </c>
      <c r="R198" s="5" t="str">
        <f t="shared" si="70"/>
        <v>PAMA</v>
      </c>
    </row>
    <row r="199" spans="1:18" s="4" customFormat="1" ht="15" customHeight="1">
      <c r="A199" s="64"/>
      <c r="B199" s="7">
        <f t="shared" si="69"/>
        <v>74</v>
      </c>
      <c r="C199" s="7" t="s">
        <v>10</v>
      </c>
      <c r="D199" s="7" t="s">
        <v>75</v>
      </c>
      <c r="E199" s="7" t="s">
        <v>15</v>
      </c>
      <c r="F199" s="7" t="s">
        <v>30</v>
      </c>
      <c r="G199" s="7">
        <v>2012</v>
      </c>
      <c r="H199" s="7" t="s">
        <v>25</v>
      </c>
      <c r="I199" s="91" t="s">
        <v>26</v>
      </c>
      <c r="J199" s="115">
        <v>29065.73</v>
      </c>
      <c r="K199" s="116">
        <v>299.95</v>
      </c>
      <c r="L199" s="116">
        <v>6.5</v>
      </c>
      <c r="M199" s="116">
        <v>413.55</v>
      </c>
      <c r="N199" s="129">
        <f t="shared" si="73"/>
        <v>0.97878936204927391</v>
      </c>
      <c r="O199" s="129">
        <f t="shared" si="71"/>
        <v>0.99097222222222225</v>
      </c>
      <c r="P199" s="129">
        <f t="shared" si="72"/>
        <v>0.4203924316748423</v>
      </c>
      <c r="Q199" s="114">
        <f t="shared" si="74"/>
        <v>96.901916986164366</v>
      </c>
      <c r="R199" s="5" t="str">
        <f t="shared" si="70"/>
        <v>PAMA</v>
      </c>
    </row>
    <row r="200" spans="1:18" s="4" customFormat="1" ht="15" customHeight="1">
      <c r="A200" s="64"/>
      <c r="B200" s="7">
        <f t="shared" si="69"/>
        <v>75</v>
      </c>
      <c r="C200" s="7" t="s">
        <v>10</v>
      </c>
      <c r="D200" s="7" t="s">
        <v>77</v>
      </c>
      <c r="E200" s="7" t="s">
        <v>15</v>
      </c>
      <c r="F200" s="7" t="s">
        <v>30</v>
      </c>
      <c r="G200" s="7">
        <v>2012</v>
      </c>
      <c r="H200" s="7" t="s">
        <v>25</v>
      </c>
      <c r="I200" s="91" t="s">
        <v>26</v>
      </c>
      <c r="J200" s="115">
        <v>31009.35</v>
      </c>
      <c r="K200" s="116">
        <v>330.6</v>
      </c>
      <c r="L200" s="116">
        <v>18.14</v>
      </c>
      <c r="M200" s="116">
        <v>371.26</v>
      </c>
      <c r="N200" s="129">
        <f t="shared" si="73"/>
        <v>0.9479841715891496</v>
      </c>
      <c r="O200" s="129">
        <f t="shared" si="71"/>
        <v>0.97480555555555559</v>
      </c>
      <c r="P200" s="129">
        <f t="shared" si="72"/>
        <v>0.47103410936654033</v>
      </c>
      <c r="Q200" s="114">
        <f t="shared" si="74"/>
        <v>93.797186932849357</v>
      </c>
      <c r="R200" s="5" t="str">
        <f t="shared" si="70"/>
        <v>PAMA</v>
      </c>
    </row>
    <row r="201" spans="1:18" s="4" customFormat="1" ht="15" customHeight="1">
      <c r="A201" s="64"/>
      <c r="B201" s="7">
        <f t="shared" si="69"/>
        <v>76</v>
      </c>
      <c r="C201" s="7" t="s">
        <v>10</v>
      </c>
      <c r="D201" s="7" t="s">
        <v>79</v>
      </c>
      <c r="E201" s="7" t="s">
        <v>15</v>
      </c>
      <c r="F201" s="7" t="s">
        <v>30</v>
      </c>
      <c r="G201" s="7">
        <v>2012</v>
      </c>
      <c r="H201" s="7" t="s">
        <v>25</v>
      </c>
      <c r="I201" s="91" t="s">
        <v>26</v>
      </c>
      <c r="J201" s="115">
        <v>29851.65</v>
      </c>
      <c r="K201" s="116">
        <v>308.52999999999997</v>
      </c>
      <c r="L201" s="116">
        <v>61.03</v>
      </c>
      <c r="M201" s="116">
        <v>350.44000000000005</v>
      </c>
      <c r="N201" s="129">
        <f t="shared" si="73"/>
        <v>0.83485766857885058</v>
      </c>
      <c r="O201" s="129">
        <f t="shared" si="71"/>
        <v>0.91523611111111114</v>
      </c>
      <c r="P201" s="129">
        <f t="shared" si="72"/>
        <v>0.46820037330986231</v>
      </c>
      <c r="Q201" s="114">
        <f t="shared" si="74"/>
        <v>96.754448513920863</v>
      </c>
      <c r="R201" s="5" t="str">
        <f t="shared" si="70"/>
        <v>PAMA</v>
      </c>
    </row>
    <row r="202" spans="1:18" s="4" customFormat="1" ht="15" customHeight="1">
      <c r="A202" s="64"/>
      <c r="B202" s="7">
        <f t="shared" si="69"/>
        <v>77</v>
      </c>
      <c r="C202" s="7" t="s">
        <v>10</v>
      </c>
      <c r="D202" s="7" t="s">
        <v>80</v>
      </c>
      <c r="E202" s="7" t="s">
        <v>15</v>
      </c>
      <c r="F202" s="7" t="s">
        <v>30</v>
      </c>
      <c r="G202" s="7">
        <v>2012</v>
      </c>
      <c r="H202" s="7" t="s">
        <v>25</v>
      </c>
      <c r="I202" s="91" t="s">
        <v>26</v>
      </c>
      <c r="J202" s="115">
        <v>25415.29</v>
      </c>
      <c r="K202" s="116">
        <v>332.75</v>
      </c>
      <c r="L202" s="116">
        <v>7.28</v>
      </c>
      <c r="M202" s="116">
        <v>379.97</v>
      </c>
      <c r="N202" s="129">
        <f t="shared" si="73"/>
        <v>0.9785901244007883</v>
      </c>
      <c r="O202" s="129">
        <f t="shared" si="71"/>
        <v>0.98988888888888893</v>
      </c>
      <c r="P202" s="129">
        <f t="shared" si="72"/>
        <v>0.46687338646312715</v>
      </c>
      <c r="Q202" s="114">
        <f t="shared" si="74"/>
        <v>76.379534184823441</v>
      </c>
      <c r="R202" s="5" t="str">
        <f t="shared" si="70"/>
        <v>PAMA</v>
      </c>
    </row>
    <row r="203" spans="1:18" s="4" customFormat="1" ht="15" customHeight="1">
      <c r="A203" s="64"/>
      <c r="B203" s="7">
        <f t="shared" si="69"/>
        <v>78</v>
      </c>
      <c r="C203" s="7" t="s">
        <v>10</v>
      </c>
      <c r="D203" s="7" t="s">
        <v>82</v>
      </c>
      <c r="E203" s="7" t="s">
        <v>15</v>
      </c>
      <c r="F203" s="7" t="s">
        <v>30</v>
      </c>
      <c r="G203" s="7">
        <v>2012</v>
      </c>
      <c r="H203" s="7" t="s">
        <v>25</v>
      </c>
      <c r="I203" s="91" t="s">
        <v>26</v>
      </c>
      <c r="J203" s="115">
        <v>27800.65</v>
      </c>
      <c r="K203" s="116">
        <v>293.26</v>
      </c>
      <c r="L203" s="116">
        <v>11.41</v>
      </c>
      <c r="M203" s="116">
        <v>415.33000000000004</v>
      </c>
      <c r="N203" s="129">
        <f t="shared" si="73"/>
        <v>0.96254964387698161</v>
      </c>
      <c r="O203" s="129">
        <f t="shared" si="71"/>
        <v>0.98415277777777788</v>
      </c>
      <c r="P203" s="129">
        <f t="shared" si="72"/>
        <v>0.41386415275406085</v>
      </c>
      <c r="Q203" s="114">
        <f t="shared" si="74"/>
        <v>94.798642842528821</v>
      </c>
      <c r="R203" s="5" t="str">
        <f t="shared" si="70"/>
        <v>PAMA</v>
      </c>
    </row>
    <row r="204" spans="1:18" s="4" customFormat="1" ht="15" customHeight="1">
      <c r="A204" s="64"/>
      <c r="B204" s="7">
        <f t="shared" si="69"/>
        <v>79</v>
      </c>
      <c r="C204" s="7" t="s">
        <v>10</v>
      </c>
      <c r="D204" s="7" t="s">
        <v>495</v>
      </c>
      <c r="E204" s="7" t="s">
        <v>15</v>
      </c>
      <c r="F204" s="7" t="s">
        <v>30</v>
      </c>
      <c r="G204" s="7">
        <v>2010</v>
      </c>
      <c r="H204" s="7" t="s">
        <v>25</v>
      </c>
      <c r="I204" s="91" t="s">
        <v>26</v>
      </c>
      <c r="J204" s="115">
        <v>23619.49</v>
      </c>
      <c r="K204" s="116">
        <v>328.64</v>
      </c>
      <c r="L204" s="116">
        <v>41.25</v>
      </c>
      <c r="M204" s="116">
        <v>350.11</v>
      </c>
      <c r="N204" s="129">
        <f t="shared" si="73"/>
        <v>0.88848035902565625</v>
      </c>
      <c r="O204" s="129">
        <f t="shared" si="71"/>
        <v>0.94270833333333337</v>
      </c>
      <c r="P204" s="129">
        <f t="shared" si="72"/>
        <v>0.48418416206261511</v>
      </c>
      <c r="Q204" s="114">
        <f t="shared" si="74"/>
        <v>71.870405306718609</v>
      </c>
      <c r="R204" s="5" t="str">
        <f t="shared" si="70"/>
        <v>PAMA</v>
      </c>
    </row>
    <row r="205" spans="1:18" s="4" customFormat="1" ht="15" customHeight="1">
      <c r="A205" s="64"/>
      <c r="B205" s="7">
        <f t="shared" si="69"/>
        <v>80</v>
      </c>
      <c r="C205" s="7" t="s">
        <v>10</v>
      </c>
      <c r="D205" s="7" t="s">
        <v>83</v>
      </c>
      <c r="E205" s="7" t="s">
        <v>15</v>
      </c>
      <c r="F205" s="7" t="s">
        <v>30</v>
      </c>
      <c r="G205" s="7">
        <v>2012</v>
      </c>
      <c r="H205" s="7" t="s">
        <v>25</v>
      </c>
      <c r="I205" s="91" t="s">
        <v>26</v>
      </c>
      <c r="J205" s="115">
        <v>7618.71</v>
      </c>
      <c r="K205" s="116">
        <v>170.72</v>
      </c>
      <c r="L205" s="116">
        <v>7.7</v>
      </c>
      <c r="M205" s="116">
        <v>541.57999999999993</v>
      </c>
      <c r="N205" s="129">
        <f t="shared" si="73"/>
        <v>0.95684340320591865</v>
      </c>
      <c r="O205" s="129">
        <f t="shared" si="71"/>
        <v>0.98930555555555566</v>
      </c>
      <c r="P205" s="129">
        <f t="shared" si="72"/>
        <v>0.23967429453881792</v>
      </c>
      <c r="Q205" s="114">
        <f t="shared" si="74"/>
        <v>44.626932989690722</v>
      </c>
      <c r="R205" s="5" t="str">
        <f t="shared" si="70"/>
        <v>PAMA</v>
      </c>
    </row>
    <row r="206" spans="1:18" s="4" customFormat="1" ht="15" customHeight="1">
      <c r="A206" s="64"/>
      <c r="B206" s="7">
        <f t="shared" si="69"/>
        <v>81</v>
      </c>
      <c r="C206" s="7" t="s">
        <v>10</v>
      </c>
      <c r="D206" s="7" t="s">
        <v>84</v>
      </c>
      <c r="E206" s="7" t="s">
        <v>15</v>
      </c>
      <c r="F206" s="7" t="s">
        <v>30</v>
      </c>
      <c r="G206" s="7">
        <v>2012</v>
      </c>
      <c r="H206" s="7" t="s">
        <v>25</v>
      </c>
      <c r="I206" s="91" t="s">
        <v>26</v>
      </c>
      <c r="J206" s="115">
        <v>27356.74</v>
      </c>
      <c r="K206" s="116">
        <v>302.99</v>
      </c>
      <c r="L206" s="116">
        <v>42.5</v>
      </c>
      <c r="M206" s="116">
        <v>374.51</v>
      </c>
      <c r="N206" s="129">
        <f t="shared" si="73"/>
        <v>0.87698630929983501</v>
      </c>
      <c r="O206" s="129">
        <f t="shared" si="71"/>
        <v>0.94097222222222221</v>
      </c>
      <c r="P206" s="129">
        <f t="shared" si="72"/>
        <v>0.44721771217712181</v>
      </c>
      <c r="Q206" s="114">
        <f t="shared" si="74"/>
        <v>90.289250470312552</v>
      </c>
      <c r="R206" s="5" t="str">
        <f t="shared" si="70"/>
        <v>PAMA</v>
      </c>
    </row>
    <row r="207" spans="1:18" s="4" customFormat="1" ht="15" customHeight="1">
      <c r="A207" s="64"/>
      <c r="B207" s="7">
        <f t="shared" si="69"/>
        <v>82</v>
      </c>
      <c r="C207" s="7" t="s">
        <v>10</v>
      </c>
      <c r="D207" s="7" t="s">
        <v>296</v>
      </c>
      <c r="E207" s="7" t="s">
        <v>15</v>
      </c>
      <c r="F207" s="7" t="s">
        <v>30</v>
      </c>
      <c r="G207" s="7">
        <v>2010</v>
      </c>
      <c r="H207" s="7" t="s">
        <v>25</v>
      </c>
      <c r="I207" s="91" t="s">
        <v>26</v>
      </c>
      <c r="J207" s="115">
        <v>27615.17</v>
      </c>
      <c r="K207" s="116">
        <v>298.63</v>
      </c>
      <c r="L207" s="116">
        <v>40.65</v>
      </c>
      <c r="M207" s="116">
        <v>380.72</v>
      </c>
      <c r="N207" s="129">
        <f t="shared" si="73"/>
        <v>0.88018745578872915</v>
      </c>
      <c r="O207" s="129">
        <f t="shared" si="71"/>
        <v>0.94354166666666672</v>
      </c>
      <c r="P207" s="129">
        <f t="shared" si="72"/>
        <v>0.4395819533377493</v>
      </c>
      <c r="Q207" s="114">
        <f t="shared" si="74"/>
        <v>92.472859391219899</v>
      </c>
      <c r="R207" s="5" t="str">
        <f t="shared" si="70"/>
        <v>PAMA</v>
      </c>
    </row>
    <row r="208" spans="1:18" s="4" customFormat="1" ht="15" customHeight="1">
      <c r="A208" s="64"/>
      <c r="B208" s="7">
        <f t="shared" si="69"/>
        <v>83</v>
      </c>
      <c r="C208" s="7" t="s">
        <v>10</v>
      </c>
      <c r="D208" s="7" t="s">
        <v>496</v>
      </c>
      <c r="E208" s="7" t="s">
        <v>15</v>
      </c>
      <c r="F208" s="7" t="s">
        <v>30</v>
      </c>
      <c r="G208" s="7">
        <v>2010</v>
      </c>
      <c r="H208" s="7" t="s">
        <v>25</v>
      </c>
      <c r="I208" s="91" t="s">
        <v>26</v>
      </c>
      <c r="J208" s="115">
        <v>21715.19</v>
      </c>
      <c r="K208" s="116">
        <v>261.64</v>
      </c>
      <c r="L208" s="116">
        <v>117.42</v>
      </c>
      <c r="M208" s="116">
        <v>340.94000000000005</v>
      </c>
      <c r="N208" s="129">
        <f t="shared" si="73"/>
        <v>0.69023373608399718</v>
      </c>
      <c r="O208" s="129">
        <f t="shared" si="71"/>
        <v>0.83691666666666675</v>
      </c>
      <c r="P208" s="129">
        <f t="shared" si="72"/>
        <v>0.43419960835075833</v>
      </c>
      <c r="Q208" s="114">
        <f t="shared" si="74"/>
        <v>82.996445497630333</v>
      </c>
      <c r="R208" s="5" t="b">
        <f t="shared" si="70"/>
        <v>0</v>
      </c>
    </row>
    <row r="209" spans="1:18" s="4" customFormat="1" ht="15" customHeight="1">
      <c r="A209" s="64"/>
      <c r="B209" s="7">
        <f t="shared" si="69"/>
        <v>84</v>
      </c>
      <c r="C209" s="7"/>
      <c r="D209" s="7" t="s">
        <v>497</v>
      </c>
      <c r="E209" s="7" t="s">
        <v>15</v>
      </c>
      <c r="F209" s="7" t="s">
        <v>30</v>
      </c>
      <c r="G209" s="7">
        <v>2010</v>
      </c>
      <c r="H209" s="7" t="s">
        <v>25</v>
      </c>
      <c r="I209" s="91" t="s">
        <v>26</v>
      </c>
      <c r="J209" s="115">
        <v>0</v>
      </c>
      <c r="K209" s="116">
        <v>0</v>
      </c>
      <c r="L209" s="116">
        <v>0</v>
      </c>
      <c r="M209" s="116">
        <v>720</v>
      </c>
      <c r="N209" s="129">
        <v>0</v>
      </c>
      <c r="O209" s="129">
        <v>0</v>
      </c>
      <c r="P209" s="129">
        <v>0</v>
      </c>
      <c r="Q209" s="114">
        <v>0</v>
      </c>
      <c r="R209" s="5" t="b">
        <f t="shared" si="70"/>
        <v>0</v>
      </c>
    </row>
    <row r="210" spans="1:18" s="4" customFormat="1" ht="15" customHeight="1">
      <c r="A210" s="64"/>
      <c r="B210" s="7">
        <f t="shared" si="69"/>
        <v>85</v>
      </c>
      <c r="C210" s="7" t="s">
        <v>10</v>
      </c>
      <c r="D210" s="7" t="s">
        <v>85</v>
      </c>
      <c r="E210" s="7" t="s">
        <v>15</v>
      </c>
      <c r="F210" s="7" t="s">
        <v>30</v>
      </c>
      <c r="G210" s="7">
        <v>2012</v>
      </c>
      <c r="H210" s="7" t="s">
        <v>25</v>
      </c>
      <c r="I210" s="91" t="s">
        <v>26</v>
      </c>
      <c r="J210" s="115">
        <v>29117.19</v>
      </c>
      <c r="K210" s="116">
        <v>332.46</v>
      </c>
      <c r="L210" s="116">
        <v>25.16</v>
      </c>
      <c r="M210" s="116">
        <v>362.38000000000005</v>
      </c>
      <c r="N210" s="129">
        <f t="shared" si="73"/>
        <v>0.92964599295341421</v>
      </c>
      <c r="O210" s="129">
        <f t="shared" si="71"/>
        <v>0.96505555555555556</v>
      </c>
      <c r="P210" s="129">
        <f t="shared" si="72"/>
        <v>0.47846986356571292</v>
      </c>
      <c r="Q210" s="114">
        <f t="shared" si="74"/>
        <v>87.581032304638157</v>
      </c>
      <c r="R210" s="5" t="str">
        <f t="shared" si="70"/>
        <v>PAMA</v>
      </c>
    </row>
    <row r="211" spans="1:18" s="4" customFormat="1" ht="15" customHeight="1">
      <c r="A211" s="64"/>
      <c r="B211" s="7">
        <f t="shared" si="69"/>
        <v>86</v>
      </c>
      <c r="C211" s="7" t="s">
        <v>10</v>
      </c>
      <c r="D211" s="7" t="s">
        <v>87</v>
      </c>
      <c r="E211" s="7" t="s">
        <v>15</v>
      </c>
      <c r="F211" s="7" t="s">
        <v>30</v>
      </c>
      <c r="G211" s="7">
        <v>2012</v>
      </c>
      <c r="H211" s="7" t="s">
        <v>25</v>
      </c>
      <c r="I211" s="91" t="s">
        <v>26</v>
      </c>
      <c r="J211" s="115">
        <v>28750.99</v>
      </c>
      <c r="K211" s="116">
        <v>322.24</v>
      </c>
      <c r="L211" s="116">
        <v>39.49</v>
      </c>
      <c r="M211" s="116">
        <v>358.27</v>
      </c>
      <c r="N211" s="129">
        <f t="shared" si="73"/>
        <v>0.89083017720399194</v>
      </c>
      <c r="O211" s="129">
        <f t="shared" si="71"/>
        <v>0.94515277777777773</v>
      </c>
      <c r="P211" s="129">
        <f t="shared" si="72"/>
        <v>0.47352720753552485</v>
      </c>
      <c r="Q211" s="114">
        <f t="shared" si="74"/>
        <v>89.222287735849065</v>
      </c>
      <c r="R211" s="5" t="str">
        <f t="shared" si="70"/>
        <v>PAMA</v>
      </c>
    </row>
    <row r="212" spans="1:18" s="4" customFormat="1" ht="15" customHeight="1">
      <c r="A212" s="64"/>
      <c r="B212" s="7">
        <f t="shared" si="69"/>
        <v>87</v>
      </c>
      <c r="C212" s="7" t="s">
        <v>10</v>
      </c>
      <c r="D212" s="7" t="s">
        <v>60</v>
      </c>
      <c r="E212" s="7" t="s">
        <v>15</v>
      </c>
      <c r="F212" s="7" t="s">
        <v>30</v>
      </c>
      <c r="G212" s="7">
        <v>2010</v>
      </c>
      <c r="H212" s="7" t="s">
        <v>25</v>
      </c>
      <c r="I212" s="91" t="s">
        <v>26</v>
      </c>
      <c r="J212" s="115">
        <v>16945.5</v>
      </c>
      <c r="K212" s="116">
        <v>149.74</v>
      </c>
      <c r="L212" s="116">
        <v>6.75</v>
      </c>
      <c r="M212" s="116">
        <v>563.51</v>
      </c>
      <c r="N212" s="129">
        <f t="shared" si="73"/>
        <v>0.95686625343472431</v>
      </c>
      <c r="O212" s="129">
        <f t="shared" si="71"/>
        <v>0.99062499999999998</v>
      </c>
      <c r="P212" s="129">
        <f t="shared" si="72"/>
        <v>0.2099404135997196</v>
      </c>
      <c r="Q212" s="114">
        <f t="shared" si="74"/>
        <v>113.16615466809135</v>
      </c>
      <c r="R212" s="5" t="str">
        <f t="shared" si="70"/>
        <v>PAMA</v>
      </c>
    </row>
    <row r="213" spans="1:18" s="4" customFormat="1" ht="15" customHeight="1">
      <c r="A213" s="64"/>
      <c r="B213" s="7">
        <f t="shared" si="69"/>
        <v>88</v>
      </c>
      <c r="C213" s="7"/>
      <c r="D213" s="7" t="s">
        <v>499</v>
      </c>
      <c r="E213" s="7" t="s">
        <v>15</v>
      </c>
      <c r="F213" s="7" t="s">
        <v>30</v>
      </c>
      <c r="G213" s="7">
        <v>2010</v>
      </c>
      <c r="H213" s="7" t="s">
        <v>25</v>
      </c>
      <c r="I213" s="91" t="s">
        <v>26</v>
      </c>
      <c r="J213" s="115">
        <v>0</v>
      </c>
      <c r="K213" s="116">
        <v>0</v>
      </c>
      <c r="L213" s="116">
        <v>0</v>
      </c>
      <c r="M213" s="116">
        <v>720</v>
      </c>
      <c r="N213" s="129">
        <v>0</v>
      </c>
      <c r="O213" s="129">
        <f t="shared" si="71"/>
        <v>1</v>
      </c>
      <c r="P213" s="129">
        <f t="shared" si="72"/>
        <v>0</v>
      </c>
      <c r="Q213" s="114">
        <v>0</v>
      </c>
      <c r="R213" s="5" t="str">
        <f t="shared" si="70"/>
        <v>PAMA</v>
      </c>
    </row>
    <row r="214" spans="1:18" s="4" customFormat="1" ht="15" customHeight="1">
      <c r="A214" s="64"/>
      <c r="B214" s="7">
        <f t="shared" si="69"/>
        <v>89</v>
      </c>
      <c r="C214" s="7" t="s">
        <v>10</v>
      </c>
      <c r="D214" s="7" t="s">
        <v>61</v>
      </c>
      <c r="E214" s="7" t="s">
        <v>15</v>
      </c>
      <c r="F214" s="7" t="s">
        <v>30</v>
      </c>
      <c r="G214" s="7">
        <v>2010</v>
      </c>
      <c r="H214" s="7" t="s">
        <v>25</v>
      </c>
      <c r="I214" s="91" t="s">
        <v>26</v>
      </c>
      <c r="J214" s="115">
        <v>27006.22</v>
      </c>
      <c r="K214" s="116">
        <v>300.94</v>
      </c>
      <c r="L214" s="116">
        <v>90.56</v>
      </c>
      <c r="M214" s="116">
        <v>328.50000000000006</v>
      </c>
      <c r="N214" s="129">
        <f t="shared" si="73"/>
        <v>0.76868454661558105</v>
      </c>
      <c r="O214" s="129">
        <f t="shared" si="71"/>
        <v>0.87422222222222234</v>
      </c>
      <c r="P214" s="129">
        <f t="shared" si="72"/>
        <v>0.47810752414844937</v>
      </c>
      <c r="Q214" s="114">
        <f t="shared" si="74"/>
        <v>89.739549411842901</v>
      </c>
      <c r="R214" s="5" t="b">
        <f t="shared" si="70"/>
        <v>0</v>
      </c>
    </row>
    <row r="215" spans="1:18" s="4" customFormat="1" ht="15" customHeight="1">
      <c r="A215" s="64"/>
      <c r="B215" s="7">
        <f t="shared" si="69"/>
        <v>90</v>
      </c>
      <c r="C215" s="7" t="s">
        <v>10</v>
      </c>
      <c r="D215" s="7" t="s">
        <v>62</v>
      </c>
      <c r="E215" s="7" t="s">
        <v>15</v>
      </c>
      <c r="F215" s="7" t="s">
        <v>30</v>
      </c>
      <c r="G215" s="7">
        <v>2010</v>
      </c>
      <c r="H215" s="7" t="s">
        <v>25</v>
      </c>
      <c r="I215" s="91" t="s">
        <v>26</v>
      </c>
      <c r="J215" s="115">
        <v>34598.92</v>
      </c>
      <c r="K215" s="116">
        <v>341.1</v>
      </c>
      <c r="L215" s="116">
        <v>30.19</v>
      </c>
      <c r="M215" s="116">
        <v>348.70999999999992</v>
      </c>
      <c r="N215" s="129">
        <f t="shared" si="73"/>
        <v>0.91868889547254173</v>
      </c>
      <c r="O215" s="129">
        <f t="shared" si="71"/>
        <v>0.95806944444444442</v>
      </c>
      <c r="P215" s="129">
        <f t="shared" si="72"/>
        <v>0.49448398834461671</v>
      </c>
      <c r="Q215" s="114">
        <f t="shared" si="74"/>
        <v>101.43336265024918</v>
      </c>
      <c r="R215" s="5" t="str">
        <f t="shared" si="70"/>
        <v>PAMA</v>
      </c>
    </row>
    <row r="216" spans="1:18" s="4" customFormat="1" ht="15" customHeight="1">
      <c r="A216" s="64"/>
      <c r="B216" s="7">
        <f t="shared" si="69"/>
        <v>91</v>
      </c>
      <c r="C216" s="7" t="s">
        <v>10</v>
      </c>
      <c r="D216" s="7" t="s">
        <v>63</v>
      </c>
      <c r="E216" s="7" t="s">
        <v>15</v>
      </c>
      <c r="F216" s="7" t="s">
        <v>30</v>
      </c>
      <c r="G216" s="7">
        <v>2010</v>
      </c>
      <c r="H216" s="7" t="s">
        <v>25</v>
      </c>
      <c r="I216" s="91" t="s">
        <v>26</v>
      </c>
      <c r="J216" s="115">
        <v>28438.51</v>
      </c>
      <c r="K216" s="116">
        <v>356.9</v>
      </c>
      <c r="L216" s="116">
        <v>7.73</v>
      </c>
      <c r="M216" s="116">
        <v>355.37</v>
      </c>
      <c r="N216" s="129">
        <f t="shared" si="73"/>
        <v>0.97880042783095189</v>
      </c>
      <c r="O216" s="129">
        <f t="shared" si="71"/>
        <v>0.98926388888888883</v>
      </c>
      <c r="P216" s="129">
        <f t="shared" si="72"/>
        <v>0.50107403091524283</v>
      </c>
      <c r="Q216" s="114">
        <f t="shared" si="74"/>
        <v>79.682011768002241</v>
      </c>
      <c r="R216" s="5" t="str">
        <f t="shared" si="70"/>
        <v>PAMA</v>
      </c>
    </row>
    <row r="217" spans="1:18" s="4" customFormat="1" ht="15" customHeight="1">
      <c r="A217" s="64"/>
      <c r="B217" s="7">
        <f t="shared" si="69"/>
        <v>92</v>
      </c>
      <c r="C217" s="7"/>
      <c r="D217" s="7" t="s">
        <v>65</v>
      </c>
      <c r="E217" s="7" t="s">
        <v>15</v>
      </c>
      <c r="F217" s="7" t="s">
        <v>30</v>
      </c>
      <c r="G217" s="7">
        <v>2010</v>
      </c>
      <c r="H217" s="7" t="s">
        <v>25</v>
      </c>
      <c r="I217" s="91" t="s">
        <v>26</v>
      </c>
      <c r="J217" s="115">
        <v>0</v>
      </c>
      <c r="K217" s="116">
        <v>0</v>
      </c>
      <c r="L217" s="116">
        <v>0</v>
      </c>
      <c r="M217" s="116">
        <v>720</v>
      </c>
      <c r="N217" s="129">
        <v>0</v>
      </c>
      <c r="O217" s="129">
        <f t="shared" si="71"/>
        <v>1</v>
      </c>
      <c r="P217" s="129">
        <f t="shared" si="72"/>
        <v>0</v>
      </c>
      <c r="Q217" s="114">
        <v>0</v>
      </c>
      <c r="R217" s="5" t="str">
        <f t="shared" si="70"/>
        <v>PAMA</v>
      </c>
    </row>
    <row r="218" spans="1:18" s="4" customFormat="1" ht="15" customHeight="1">
      <c r="A218" s="64"/>
      <c r="B218" s="7">
        <f t="shared" si="69"/>
        <v>93</v>
      </c>
      <c r="C218" s="7" t="s">
        <v>10</v>
      </c>
      <c r="D218" s="7" t="s">
        <v>66</v>
      </c>
      <c r="E218" s="7" t="s">
        <v>15</v>
      </c>
      <c r="F218" s="7" t="s">
        <v>30</v>
      </c>
      <c r="G218" s="7">
        <v>2010</v>
      </c>
      <c r="H218" s="7" t="s">
        <v>25</v>
      </c>
      <c r="I218" s="91" t="s">
        <v>26</v>
      </c>
      <c r="J218" s="115">
        <v>20770.830000000002</v>
      </c>
      <c r="K218" s="116">
        <v>266.66000000000003</v>
      </c>
      <c r="L218" s="116">
        <v>110.58</v>
      </c>
      <c r="M218" s="116">
        <v>342.75999999999993</v>
      </c>
      <c r="N218" s="129">
        <f t="shared" si="73"/>
        <v>0.70687095748064899</v>
      </c>
      <c r="O218" s="129">
        <f t="shared" si="71"/>
        <v>0.8464166666666666</v>
      </c>
      <c r="P218" s="129">
        <f t="shared" si="72"/>
        <v>0.43756358504807857</v>
      </c>
      <c r="Q218" s="114">
        <f t="shared" si="74"/>
        <v>77.892559813995348</v>
      </c>
      <c r="R218" s="5" t="b">
        <f t="shared" si="70"/>
        <v>0</v>
      </c>
    </row>
    <row r="219" spans="1:18" s="4" customFormat="1" ht="15" customHeight="1">
      <c r="A219" s="64"/>
      <c r="B219" s="7">
        <f t="shared" si="69"/>
        <v>94</v>
      </c>
      <c r="C219" s="7" t="s">
        <v>10</v>
      </c>
      <c r="D219" s="7" t="s">
        <v>2231</v>
      </c>
      <c r="E219" s="7" t="s">
        <v>15</v>
      </c>
      <c r="F219" s="7" t="s">
        <v>30</v>
      </c>
      <c r="G219" s="7">
        <v>2010</v>
      </c>
      <c r="H219" s="7" t="s">
        <v>25</v>
      </c>
      <c r="I219" s="91" t="s">
        <v>26</v>
      </c>
      <c r="J219" s="115">
        <v>30058.18</v>
      </c>
      <c r="K219" s="116">
        <v>301.70999999999998</v>
      </c>
      <c r="L219" s="116">
        <v>27.65</v>
      </c>
      <c r="M219" s="116">
        <v>390.64000000000004</v>
      </c>
      <c r="N219" s="129">
        <f t="shared" si="73"/>
        <v>0.91604930774836046</v>
      </c>
      <c r="O219" s="129">
        <f t="shared" si="71"/>
        <v>0.96159722222222221</v>
      </c>
      <c r="P219" s="129">
        <f t="shared" si="72"/>
        <v>0.43577670253484507</v>
      </c>
      <c r="Q219" s="114">
        <f t="shared" si="74"/>
        <v>99.626064764177528</v>
      </c>
      <c r="R219" s="5" t="str">
        <f t="shared" si="70"/>
        <v>PAMA</v>
      </c>
    </row>
    <row r="220" spans="1:18" s="4" customFormat="1" ht="15" customHeight="1">
      <c r="A220" s="64"/>
      <c r="B220" s="7">
        <f t="shared" si="69"/>
        <v>95</v>
      </c>
      <c r="C220" s="7"/>
      <c r="D220" s="7" t="s">
        <v>88</v>
      </c>
      <c r="E220" s="7" t="s">
        <v>15</v>
      </c>
      <c r="F220" s="7" t="s">
        <v>30</v>
      </c>
      <c r="G220" s="7">
        <v>2011</v>
      </c>
      <c r="H220" s="7" t="s">
        <v>25</v>
      </c>
      <c r="I220" s="91" t="s">
        <v>26</v>
      </c>
      <c r="J220" s="115">
        <v>0</v>
      </c>
      <c r="K220" s="116">
        <v>0</v>
      </c>
      <c r="L220" s="116">
        <v>0</v>
      </c>
      <c r="M220" s="116">
        <v>720</v>
      </c>
      <c r="N220" s="129">
        <v>0</v>
      </c>
      <c r="O220" s="129">
        <f t="shared" si="71"/>
        <v>1</v>
      </c>
      <c r="P220" s="129">
        <f t="shared" si="72"/>
        <v>0</v>
      </c>
      <c r="Q220" s="114">
        <v>0</v>
      </c>
      <c r="R220" s="5" t="str">
        <f t="shared" si="70"/>
        <v>PAMA</v>
      </c>
    </row>
    <row r="221" spans="1:18" s="4" customFormat="1" ht="15" customHeight="1">
      <c r="A221" s="64"/>
      <c r="B221" s="7">
        <f t="shared" si="69"/>
        <v>96</v>
      </c>
      <c r="C221" s="7" t="s">
        <v>10</v>
      </c>
      <c r="D221" s="7" t="s">
        <v>500</v>
      </c>
      <c r="E221" s="7" t="s">
        <v>15</v>
      </c>
      <c r="F221" s="7" t="s">
        <v>30</v>
      </c>
      <c r="G221" s="7">
        <v>2011</v>
      </c>
      <c r="H221" s="7" t="s">
        <v>25</v>
      </c>
      <c r="I221" s="91" t="s">
        <v>26</v>
      </c>
      <c r="J221" s="115">
        <v>9959.98</v>
      </c>
      <c r="K221" s="116">
        <v>108.1</v>
      </c>
      <c r="L221" s="116">
        <v>68.400000000000006</v>
      </c>
      <c r="M221" s="116">
        <v>543.5</v>
      </c>
      <c r="N221" s="129">
        <f t="shared" si="73"/>
        <v>0.61246458923512748</v>
      </c>
      <c r="O221" s="129">
        <f t="shared" si="71"/>
        <v>0.90500000000000003</v>
      </c>
      <c r="P221" s="129">
        <f t="shared" si="72"/>
        <v>0.16589932473910374</v>
      </c>
      <c r="Q221" s="114">
        <f t="shared" si="74"/>
        <v>92.136725254394079</v>
      </c>
      <c r="R221" s="5" t="str">
        <f t="shared" si="70"/>
        <v>PAMA</v>
      </c>
    </row>
    <row r="222" spans="1:18" s="4" customFormat="1" ht="15" customHeight="1">
      <c r="A222" s="64"/>
      <c r="B222" s="7">
        <f t="shared" si="69"/>
        <v>97</v>
      </c>
      <c r="C222" s="7"/>
      <c r="D222" s="7" t="s">
        <v>501</v>
      </c>
      <c r="E222" s="7" t="s">
        <v>15</v>
      </c>
      <c r="F222" s="7" t="s">
        <v>30</v>
      </c>
      <c r="G222" s="7">
        <v>2011</v>
      </c>
      <c r="H222" s="7" t="s">
        <v>25</v>
      </c>
      <c r="I222" s="91" t="s">
        <v>26</v>
      </c>
      <c r="J222" s="115">
        <v>0</v>
      </c>
      <c r="K222" s="116">
        <v>0</v>
      </c>
      <c r="L222" s="116">
        <v>0</v>
      </c>
      <c r="M222" s="116">
        <v>720</v>
      </c>
      <c r="N222" s="129">
        <v>0</v>
      </c>
      <c r="O222" s="129">
        <f t="shared" si="71"/>
        <v>1</v>
      </c>
      <c r="P222" s="129">
        <f t="shared" si="72"/>
        <v>0</v>
      </c>
      <c r="Q222" s="114">
        <v>0</v>
      </c>
      <c r="R222" s="5" t="str">
        <f t="shared" si="70"/>
        <v>PAMA</v>
      </c>
    </row>
    <row r="223" spans="1:18" s="4" customFormat="1" ht="15" customHeight="1">
      <c r="A223" s="64"/>
      <c r="B223" s="7">
        <f t="shared" si="69"/>
        <v>98</v>
      </c>
      <c r="C223" s="7"/>
      <c r="D223" s="7" t="s">
        <v>89</v>
      </c>
      <c r="E223" s="7" t="s">
        <v>15</v>
      </c>
      <c r="F223" s="7" t="s">
        <v>30</v>
      </c>
      <c r="G223" s="7">
        <v>2011</v>
      </c>
      <c r="H223" s="7" t="s">
        <v>25</v>
      </c>
      <c r="I223" s="91" t="s">
        <v>26</v>
      </c>
      <c r="J223" s="115">
        <v>0</v>
      </c>
      <c r="K223" s="116">
        <v>0</v>
      </c>
      <c r="L223" s="116">
        <v>0</v>
      </c>
      <c r="M223" s="116">
        <v>720</v>
      </c>
      <c r="N223" s="129">
        <v>0</v>
      </c>
      <c r="O223" s="129">
        <f t="shared" si="71"/>
        <v>1</v>
      </c>
      <c r="P223" s="129">
        <f t="shared" si="72"/>
        <v>0</v>
      </c>
      <c r="Q223" s="114">
        <v>0</v>
      </c>
      <c r="R223" s="5" t="str">
        <f t="shared" si="70"/>
        <v>PAMA</v>
      </c>
    </row>
    <row r="224" spans="1:18" s="4" customFormat="1" ht="15" customHeight="1">
      <c r="A224" s="64"/>
      <c r="B224" s="7">
        <f t="shared" si="69"/>
        <v>99</v>
      </c>
      <c r="C224" s="7" t="s">
        <v>10</v>
      </c>
      <c r="D224" s="7" t="s">
        <v>90</v>
      </c>
      <c r="E224" s="7" t="s">
        <v>15</v>
      </c>
      <c r="F224" s="7" t="s">
        <v>30</v>
      </c>
      <c r="G224" s="7">
        <v>2011</v>
      </c>
      <c r="H224" s="7" t="s">
        <v>25</v>
      </c>
      <c r="I224" s="91" t="s">
        <v>26</v>
      </c>
      <c r="J224" s="115">
        <v>38475.96</v>
      </c>
      <c r="K224" s="116">
        <v>322.51</v>
      </c>
      <c r="L224" s="116">
        <v>59.63</v>
      </c>
      <c r="M224" s="116">
        <v>337.86</v>
      </c>
      <c r="N224" s="129">
        <f t="shared" si="73"/>
        <v>0.84395771183335955</v>
      </c>
      <c r="O224" s="129">
        <f t="shared" si="71"/>
        <v>0.91718055555555555</v>
      </c>
      <c r="P224" s="129">
        <f t="shared" si="72"/>
        <v>0.48837772763753651</v>
      </c>
      <c r="Q224" s="114">
        <f t="shared" si="74"/>
        <v>119.30160305106818</v>
      </c>
      <c r="R224" s="5" t="str">
        <f t="shared" si="70"/>
        <v>PAMA</v>
      </c>
    </row>
    <row r="225" spans="1:18" s="4" customFormat="1" ht="15" customHeight="1">
      <c r="A225" s="64"/>
      <c r="B225" s="7">
        <f t="shared" si="69"/>
        <v>100</v>
      </c>
      <c r="C225" s="7" t="s">
        <v>10</v>
      </c>
      <c r="D225" s="7" t="s">
        <v>91</v>
      </c>
      <c r="E225" s="7" t="s">
        <v>15</v>
      </c>
      <c r="F225" s="7" t="s">
        <v>30</v>
      </c>
      <c r="G225" s="7">
        <v>2011</v>
      </c>
      <c r="H225" s="7" t="s">
        <v>25</v>
      </c>
      <c r="I225" s="91" t="s">
        <v>26</v>
      </c>
      <c r="J225" s="115">
        <v>23877.84</v>
      </c>
      <c r="K225" s="116">
        <v>324.33</v>
      </c>
      <c r="L225" s="116">
        <v>30.78</v>
      </c>
      <c r="M225" s="116">
        <v>364.89000000000004</v>
      </c>
      <c r="N225" s="129">
        <f t="shared" si="73"/>
        <v>0.91332263242375589</v>
      </c>
      <c r="O225" s="129">
        <f t="shared" si="71"/>
        <v>0.95725000000000005</v>
      </c>
      <c r="P225" s="129">
        <f t="shared" si="72"/>
        <v>0.47057543309828498</v>
      </c>
      <c r="Q225" s="114">
        <f t="shared" si="74"/>
        <v>73.622051614096762</v>
      </c>
      <c r="R225" s="5" t="str">
        <f t="shared" si="70"/>
        <v>PAMA</v>
      </c>
    </row>
    <row r="226" spans="1:18" s="4" customFormat="1" ht="15" customHeight="1">
      <c r="A226" s="64"/>
      <c r="B226" s="7">
        <f t="shared" si="69"/>
        <v>101</v>
      </c>
      <c r="C226" s="7" t="s">
        <v>10</v>
      </c>
      <c r="D226" s="7" t="s">
        <v>502</v>
      </c>
      <c r="E226" s="7" t="s">
        <v>15</v>
      </c>
      <c r="F226" s="7" t="s">
        <v>30</v>
      </c>
      <c r="G226" s="7">
        <v>2011</v>
      </c>
      <c r="H226" s="7" t="s">
        <v>25</v>
      </c>
      <c r="I226" s="91" t="s">
        <v>26</v>
      </c>
      <c r="J226" s="115">
        <v>18655.54</v>
      </c>
      <c r="K226" s="116">
        <v>266.33999999999997</v>
      </c>
      <c r="L226" s="116">
        <v>25.72</v>
      </c>
      <c r="M226" s="116">
        <v>427.94</v>
      </c>
      <c r="N226" s="129">
        <v>0</v>
      </c>
      <c r="O226" s="129">
        <f t="shared" si="71"/>
        <v>0.96427777777777779</v>
      </c>
      <c r="P226" s="129">
        <f t="shared" si="72"/>
        <v>0.38362044132050466</v>
      </c>
      <c r="Q226" s="114">
        <v>0</v>
      </c>
      <c r="R226" s="5" t="str">
        <f t="shared" si="70"/>
        <v>PAMA</v>
      </c>
    </row>
    <row r="227" spans="1:18" s="4" customFormat="1" ht="15" customHeight="1">
      <c r="A227" s="64"/>
      <c r="B227" s="7">
        <f t="shared" si="69"/>
        <v>102</v>
      </c>
      <c r="C227" s="7"/>
      <c r="D227" s="7" t="s">
        <v>93</v>
      </c>
      <c r="E227" s="7" t="s">
        <v>15</v>
      </c>
      <c r="F227" s="7" t="s">
        <v>30</v>
      </c>
      <c r="G227" s="7">
        <v>2011</v>
      </c>
      <c r="H227" s="7" t="s">
        <v>25</v>
      </c>
      <c r="I227" s="91" t="s">
        <v>26</v>
      </c>
      <c r="J227" s="115">
        <v>0</v>
      </c>
      <c r="K227" s="116">
        <v>0</v>
      </c>
      <c r="L227" s="116">
        <v>0</v>
      </c>
      <c r="M227" s="116">
        <v>720</v>
      </c>
      <c r="N227" s="129">
        <v>0</v>
      </c>
      <c r="O227" s="129">
        <f t="shared" si="71"/>
        <v>1</v>
      </c>
      <c r="P227" s="129">
        <f t="shared" si="72"/>
        <v>0</v>
      </c>
      <c r="Q227" s="114">
        <v>0</v>
      </c>
      <c r="R227" s="5" t="str">
        <f t="shared" si="70"/>
        <v>PAMA</v>
      </c>
    </row>
    <row r="228" spans="1:18" s="4" customFormat="1" ht="15" customHeight="1">
      <c r="A228" s="64"/>
      <c r="B228" s="7">
        <f t="shared" si="69"/>
        <v>103</v>
      </c>
      <c r="C228" s="7"/>
      <c r="D228" s="7" t="s">
        <v>94</v>
      </c>
      <c r="E228" s="7" t="s">
        <v>15</v>
      </c>
      <c r="F228" s="7" t="s">
        <v>30</v>
      </c>
      <c r="G228" s="7">
        <v>2011</v>
      </c>
      <c r="H228" s="7" t="s">
        <v>25</v>
      </c>
      <c r="I228" s="91" t="s">
        <v>26</v>
      </c>
      <c r="J228" s="115">
        <v>0</v>
      </c>
      <c r="K228" s="116">
        <v>0</v>
      </c>
      <c r="L228" s="116">
        <v>0</v>
      </c>
      <c r="M228" s="116">
        <v>720</v>
      </c>
      <c r="N228" s="129">
        <v>0</v>
      </c>
      <c r="O228" s="129">
        <f t="shared" si="71"/>
        <v>1</v>
      </c>
      <c r="P228" s="129">
        <f t="shared" si="72"/>
        <v>0</v>
      </c>
      <c r="Q228" s="114">
        <v>0</v>
      </c>
      <c r="R228" s="5" t="str">
        <f t="shared" si="70"/>
        <v>PAMA</v>
      </c>
    </row>
    <row r="229" spans="1:18" s="4" customFormat="1" ht="15" customHeight="1">
      <c r="A229" s="64"/>
      <c r="B229" s="7">
        <f t="shared" si="69"/>
        <v>104</v>
      </c>
      <c r="C229" s="7" t="s">
        <v>10</v>
      </c>
      <c r="D229" s="7" t="s">
        <v>2232</v>
      </c>
      <c r="E229" s="7" t="s">
        <v>15</v>
      </c>
      <c r="F229" s="7" t="s">
        <v>30</v>
      </c>
      <c r="G229" s="7">
        <v>2011</v>
      </c>
      <c r="H229" s="7" t="s">
        <v>25</v>
      </c>
      <c r="I229" s="91" t="s">
        <v>26</v>
      </c>
      <c r="J229" s="115">
        <v>25535.01</v>
      </c>
      <c r="K229" s="116">
        <v>305.45</v>
      </c>
      <c r="L229" s="116">
        <v>6.65</v>
      </c>
      <c r="M229" s="116">
        <v>407.90000000000003</v>
      </c>
      <c r="N229" s="129">
        <f t="shared" si="73"/>
        <v>0.97869272669016349</v>
      </c>
      <c r="O229" s="129">
        <f t="shared" si="71"/>
        <v>0.99076388888888889</v>
      </c>
      <c r="P229" s="129">
        <f t="shared" si="72"/>
        <v>0.42819093011845516</v>
      </c>
      <c r="Q229" s="114">
        <f t="shared" si="74"/>
        <v>83.59800294647242</v>
      </c>
      <c r="R229" s="5" t="str">
        <f t="shared" si="70"/>
        <v>PAMA</v>
      </c>
    </row>
    <row r="230" spans="1:18" s="4" customFormat="1" ht="15" customHeight="1">
      <c r="A230" s="64"/>
      <c r="B230" s="7">
        <f t="shared" si="69"/>
        <v>105</v>
      </c>
      <c r="C230" s="7" t="s">
        <v>10</v>
      </c>
      <c r="D230" s="7" t="s">
        <v>2131</v>
      </c>
      <c r="E230" s="7" t="s">
        <v>15</v>
      </c>
      <c r="F230" s="7" t="s">
        <v>30</v>
      </c>
      <c r="G230" s="7">
        <v>2011</v>
      </c>
      <c r="H230" s="7" t="s">
        <v>25</v>
      </c>
      <c r="I230" s="91" t="s">
        <v>26</v>
      </c>
      <c r="J230" s="115">
        <v>22467.82</v>
      </c>
      <c r="K230" s="116">
        <v>294.81</v>
      </c>
      <c r="L230" s="116">
        <v>35.159999999999997</v>
      </c>
      <c r="M230" s="116">
        <v>390.03000000000003</v>
      </c>
      <c r="N230" s="129">
        <f t="shared" si="73"/>
        <v>0.8934448586235112</v>
      </c>
      <c r="O230" s="129">
        <f t="shared" si="71"/>
        <v>0.95116666666666672</v>
      </c>
      <c r="P230" s="129">
        <f t="shared" si="72"/>
        <v>0.43048011214298226</v>
      </c>
      <c r="Q230" s="114">
        <f t="shared" si="74"/>
        <v>76.21118686611716</v>
      </c>
      <c r="R230" s="5" t="str">
        <f t="shared" si="70"/>
        <v>PAMA</v>
      </c>
    </row>
    <row r="231" spans="1:18" s="4" customFormat="1" ht="15" customHeight="1">
      <c r="A231" s="64"/>
      <c r="B231" s="7">
        <f t="shared" si="69"/>
        <v>106</v>
      </c>
      <c r="C231" s="7" t="s">
        <v>10</v>
      </c>
      <c r="D231" s="7" t="s">
        <v>2233</v>
      </c>
      <c r="E231" s="7" t="s">
        <v>15</v>
      </c>
      <c r="F231" s="7" t="s">
        <v>30</v>
      </c>
      <c r="G231" s="7">
        <v>2011</v>
      </c>
      <c r="H231" s="7" t="s">
        <v>25</v>
      </c>
      <c r="I231" s="91" t="s">
        <v>26</v>
      </c>
      <c r="J231" s="115">
        <v>36662.400000000001</v>
      </c>
      <c r="K231" s="116">
        <v>318.42</v>
      </c>
      <c r="L231" s="116">
        <v>9.44</v>
      </c>
      <c r="M231" s="116">
        <v>392.13999999999993</v>
      </c>
      <c r="N231" s="129">
        <f t="shared" si="73"/>
        <v>0.97120722259501002</v>
      </c>
      <c r="O231" s="129">
        <f t="shared" si="71"/>
        <v>0.98688888888888882</v>
      </c>
      <c r="P231" s="129">
        <f t="shared" si="72"/>
        <v>0.44812542220220675</v>
      </c>
      <c r="Q231" s="114">
        <f t="shared" si="74"/>
        <v>115.13849632560769</v>
      </c>
      <c r="R231" s="5" t="str">
        <f t="shared" si="70"/>
        <v>PAMA</v>
      </c>
    </row>
    <row r="232" spans="1:18" s="4" customFormat="1" ht="15" customHeight="1">
      <c r="A232" s="64"/>
      <c r="B232" s="7">
        <f t="shared" si="69"/>
        <v>107</v>
      </c>
      <c r="C232" s="7" t="s">
        <v>10</v>
      </c>
      <c r="D232" s="7" t="s">
        <v>2098</v>
      </c>
      <c r="E232" s="7" t="s">
        <v>15</v>
      </c>
      <c r="F232" s="7" t="s">
        <v>30</v>
      </c>
      <c r="G232" s="7">
        <v>2011</v>
      </c>
      <c r="H232" s="7" t="s">
        <v>25</v>
      </c>
      <c r="I232" s="91" t="s">
        <v>26</v>
      </c>
      <c r="J232" s="115">
        <v>23281.41</v>
      </c>
      <c r="K232" s="116">
        <v>299.95</v>
      </c>
      <c r="L232" s="116">
        <v>22.64</v>
      </c>
      <c r="M232" s="116">
        <v>397.41</v>
      </c>
      <c r="N232" s="129">
        <f t="shared" si="73"/>
        <v>0.92981803527697704</v>
      </c>
      <c r="O232" s="129">
        <f t="shared" si="71"/>
        <v>0.96855555555555561</v>
      </c>
      <c r="P232" s="129">
        <f t="shared" si="72"/>
        <v>0.4301221750602271</v>
      </c>
      <c r="Q232" s="114">
        <f t="shared" si="74"/>
        <v>77.617636272712119</v>
      </c>
      <c r="R232" s="5" t="str">
        <f t="shared" si="70"/>
        <v>PAMA</v>
      </c>
    </row>
    <row r="233" spans="1:18" s="4" customFormat="1" ht="15" customHeight="1">
      <c r="A233" s="64"/>
      <c r="B233" s="7">
        <f t="shared" si="69"/>
        <v>108</v>
      </c>
      <c r="C233" s="7" t="s">
        <v>10</v>
      </c>
      <c r="D233" s="7" t="s">
        <v>302</v>
      </c>
      <c r="E233" s="7" t="s">
        <v>15</v>
      </c>
      <c r="F233" s="7" t="s">
        <v>30</v>
      </c>
      <c r="G233" s="7">
        <v>2011</v>
      </c>
      <c r="H233" s="7" t="s">
        <v>25</v>
      </c>
      <c r="I233" s="91" t="s">
        <v>26</v>
      </c>
      <c r="J233" s="115">
        <v>11004.64</v>
      </c>
      <c r="K233" s="116">
        <v>128.15</v>
      </c>
      <c r="L233" s="116">
        <v>20.149999999999999</v>
      </c>
      <c r="M233" s="116">
        <v>571.70000000000005</v>
      </c>
      <c r="N233" s="129">
        <f t="shared" si="73"/>
        <v>0.86412677006068772</v>
      </c>
      <c r="O233" s="129">
        <f t="shared" si="71"/>
        <v>0.97201388888888896</v>
      </c>
      <c r="P233" s="129">
        <f t="shared" si="72"/>
        <v>0.18311066657140815</v>
      </c>
      <c r="Q233" s="114">
        <f t="shared" si="74"/>
        <v>85.873117440499399</v>
      </c>
      <c r="R233" s="5" t="str">
        <f t="shared" si="70"/>
        <v>PAMA</v>
      </c>
    </row>
    <row r="234" spans="1:18" s="4" customFormat="1" ht="15" customHeight="1">
      <c r="A234" s="64"/>
      <c r="B234" s="7">
        <f t="shared" si="69"/>
        <v>109</v>
      </c>
      <c r="C234" s="7" t="s">
        <v>10</v>
      </c>
      <c r="D234" s="7" t="s">
        <v>304</v>
      </c>
      <c r="E234" s="7" t="s">
        <v>15</v>
      </c>
      <c r="F234" s="7" t="s">
        <v>30</v>
      </c>
      <c r="G234" s="7">
        <v>2011</v>
      </c>
      <c r="H234" s="7" t="s">
        <v>25</v>
      </c>
      <c r="I234" s="91" t="s">
        <v>26</v>
      </c>
      <c r="J234" s="115">
        <v>25934.89</v>
      </c>
      <c r="K234" s="116">
        <v>306.25</v>
      </c>
      <c r="L234" s="116">
        <v>79.25</v>
      </c>
      <c r="M234" s="116">
        <v>334.5</v>
      </c>
      <c r="N234" s="129">
        <f t="shared" si="73"/>
        <v>0.79442282749675741</v>
      </c>
      <c r="O234" s="129">
        <f t="shared" si="71"/>
        <v>0.88993055555555556</v>
      </c>
      <c r="P234" s="129">
        <f t="shared" si="72"/>
        <v>0.4779555208739758</v>
      </c>
      <c r="Q234" s="114">
        <f t="shared" si="74"/>
        <v>84.685355102040816</v>
      </c>
      <c r="R234" s="5" t="b">
        <f t="shared" si="70"/>
        <v>0</v>
      </c>
    </row>
    <row r="235" spans="1:18" s="4" customFormat="1" ht="15" customHeight="1">
      <c r="A235" s="64"/>
      <c r="B235" s="7">
        <f t="shared" si="69"/>
        <v>110</v>
      </c>
      <c r="C235" s="7" t="s">
        <v>10</v>
      </c>
      <c r="D235" s="7" t="s">
        <v>504</v>
      </c>
      <c r="E235" s="7" t="s">
        <v>15</v>
      </c>
      <c r="F235" s="7" t="s">
        <v>30</v>
      </c>
      <c r="G235" s="7">
        <v>2017</v>
      </c>
      <c r="H235" s="7" t="s">
        <v>25</v>
      </c>
      <c r="I235" s="91" t="s">
        <v>26</v>
      </c>
      <c r="J235" s="115">
        <v>33407.58</v>
      </c>
      <c r="K235" s="116">
        <v>323.95</v>
      </c>
      <c r="L235" s="116">
        <v>18.7</v>
      </c>
      <c r="M235" s="116">
        <v>377.34999999999997</v>
      </c>
      <c r="N235" s="129">
        <f t="shared" si="73"/>
        <v>0.94542536115569831</v>
      </c>
      <c r="O235" s="129">
        <f t="shared" si="71"/>
        <v>0.97402777777777771</v>
      </c>
      <c r="P235" s="129">
        <f t="shared" si="72"/>
        <v>0.46192784828176248</v>
      </c>
      <c r="Q235" s="114">
        <f t="shared" si="74"/>
        <v>103.12572927920976</v>
      </c>
      <c r="R235" s="5" t="str">
        <f t="shared" si="70"/>
        <v>PAMA</v>
      </c>
    </row>
    <row r="236" spans="1:18" s="4" customFormat="1" ht="15" customHeight="1">
      <c r="A236" s="64"/>
      <c r="B236" s="7">
        <f t="shared" si="69"/>
        <v>111</v>
      </c>
      <c r="C236" s="7" t="s">
        <v>10</v>
      </c>
      <c r="D236" s="7" t="s">
        <v>336</v>
      </c>
      <c r="E236" s="7" t="s">
        <v>15</v>
      </c>
      <c r="F236" s="7" t="s">
        <v>30</v>
      </c>
      <c r="G236" s="7">
        <v>2017</v>
      </c>
      <c r="H236" s="7" t="s">
        <v>25</v>
      </c>
      <c r="I236" s="91" t="s">
        <v>26</v>
      </c>
      <c r="J236" s="115">
        <v>21962.32</v>
      </c>
      <c r="K236" s="116">
        <v>329.09</v>
      </c>
      <c r="L236" s="116">
        <v>13.82</v>
      </c>
      <c r="M236" s="116">
        <v>377.09</v>
      </c>
      <c r="N236" s="129">
        <f t="shared" si="73"/>
        <v>0.95969787991018052</v>
      </c>
      <c r="O236" s="129">
        <f t="shared" si="71"/>
        <v>0.98080555555555549</v>
      </c>
      <c r="P236" s="129">
        <f t="shared" si="72"/>
        <v>0.46601433062392023</v>
      </c>
      <c r="Q236" s="114">
        <f t="shared" si="74"/>
        <v>66.736515846728864</v>
      </c>
      <c r="R236" s="5" t="str">
        <f t="shared" si="70"/>
        <v>PAMA</v>
      </c>
    </row>
    <row r="237" spans="1:18" s="4" customFormat="1" ht="15" customHeight="1">
      <c r="A237" s="64"/>
      <c r="B237" s="7">
        <f t="shared" si="69"/>
        <v>112</v>
      </c>
      <c r="C237" s="7" t="s">
        <v>10</v>
      </c>
      <c r="D237" s="7" t="s">
        <v>337</v>
      </c>
      <c r="E237" s="7" t="s">
        <v>15</v>
      </c>
      <c r="F237" s="7" t="s">
        <v>30</v>
      </c>
      <c r="G237" s="7">
        <v>2017</v>
      </c>
      <c r="H237" s="7" t="s">
        <v>25</v>
      </c>
      <c r="I237" s="91" t="s">
        <v>26</v>
      </c>
      <c r="J237" s="115">
        <v>24202.400000000001</v>
      </c>
      <c r="K237" s="116">
        <v>291.05</v>
      </c>
      <c r="L237" s="116">
        <v>9.5</v>
      </c>
      <c r="M237" s="116">
        <v>419.45</v>
      </c>
      <c r="N237" s="129">
        <f t="shared" si="73"/>
        <v>0.96839128264847785</v>
      </c>
      <c r="O237" s="129">
        <f t="shared" si="71"/>
        <v>0.9868055555555556</v>
      </c>
      <c r="P237" s="129">
        <f t="shared" si="72"/>
        <v>0.40964109781843772</v>
      </c>
      <c r="Q237" s="114">
        <f t="shared" si="74"/>
        <v>83.155471568459035</v>
      </c>
      <c r="R237" s="5" t="str">
        <f t="shared" si="70"/>
        <v>PAMA</v>
      </c>
    </row>
    <row r="238" spans="1:18" s="4" customFormat="1" ht="15" customHeight="1">
      <c r="A238" s="64"/>
      <c r="B238" s="7">
        <f t="shared" si="69"/>
        <v>113</v>
      </c>
      <c r="C238" s="7" t="s">
        <v>10</v>
      </c>
      <c r="D238" s="7" t="s">
        <v>442</v>
      </c>
      <c r="E238" s="7" t="s">
        <v>15</v>
      </c>
      <c r="F238" s="7" t="s">
        <v>30</v>
      </c>
      <c r="G238" s="7">
        <v>2019</v>
      </c>
      <c r="H238" s="7" t="s">
        <v>25</v>
      </c>
      <c r="I238" s="91" t="s">
        <v>26</v>
      </c>
      <c r="J238" s="115">
        <v>23698.62</v>
      </c>
      <c r="K238" s="116">
        <v>316.24</v>
      </c>
      <c r="L238" s="116">
        <v>15.12</v>
      </c>
      <c r="M238" s="116">
        <v>388.64</v>
      </c>
      <c r="N238" s="129">
        <f t="shared" si="73"/>
        <v>0.95436986962819892</v>
      </c>
      <c r="O238" s="129">
        <f t="shared" si="71"/>
        <v>0.97899999999999998</v>
      </c>
      <c r="P238" s="129">
        <f t="shared" si="72"/>
        <v>0.44864374077857228</v>
      </c>
      <c r="Q238" s="114">
        <f t="shared" si="74"/>
        <v>74.93871742980015</v>
      </c>
      <c r="R238" s="5" t="str">
        <f t="shared" si="70"/>
        <v>PAMA</v>
      </c>
    </row>
    <row r="239" spans="1:18" s="4" customFormat="1" ht="15" customHeight="1">
      <c r="A239" s="64"/>
      <c r="B239" s="7">
        <f t="shared" si="69"/>
        <v>114</v>
      </c>
      <c r="C239" s="7" t="s">
        <v>10</v>
      </c>
      <c r="D239" s="7" t="s">
        <v>443</v>
      </c>
      <c r="E239" s="7" t="s">
        <v>15</v>
      </c>
      <c r="F239" s="7" t="s">
        <v>30</v>
      </c>
      <c r="G239" s="7">
        <v>2019</v>
      </c>
      <c r="H239" s="7" t="s">
        <v>25</v>
      </c>
      <c r="I239" s="91" t="s">
        <v>26</v>
      </c>
      <c r="J239" s="115">
        <v>61397.97</v>
      </c>
      <c r="K239" s="116">
        <v>355.17</v>
      </c>
      <c r="L239" s="116">
        <v>13.88</v>
      </c>
      <c r="M239" s="116">
        <v>350.95</v>
      </c>
      <c r="N239" s="129">
        <f t="shared" si="73"/>
        <v>0.96238992006503188</v>
      </c>
      <c r="O239" s="129">
        <f t="shared" si="71"/>
        <v>0.98072222222222227</v>
      </c>
      <c r="P239" s="129">
        <f t="shared" si="72"/>
        <v>0.50298816065258034</v>
      </c>
      <c r="Q239" s="114">
        <f t="shared" si="74"/>
        <v>172.86924571332037</v>
      </c>
      <c r="R239" s="5" t="str">
        <f t="shared" si="70"/>
        <v>PAMA</v>
      </c>
    </row>
    <row r="240" spans="1:18" s="4" customFormat="1" ht="15" customHeight="1">
      <c r="A240" s="64"/>
      <c r="B240" s="7">
        <f t="shared" si="69"/>
        <v>115</v>
      </c>
      <c r="C240" s="7" t="s">
        <v>10</v>
      </c>
      <c r="D240" s="7" t="s">
        <v>444</v>
      </c>
      <c r="E240" s="7" t="s">
        <v>15</v>
      </c>
      <c r="F240" s="7" t="s">
        <v>30</v>
      </c>
      <c r="G240" s="7">
        <v>2019</v>
      </c>
      <c r="H240" s="7" t="s">
        <v>25</v>
      </c>
      <c r="I240" s="91" t="s">
        <v>26</v>
      </c>
      <c r="J240" s="115">
        <v>26756.09</v>
      </c>
      <c r="K240" s="116">
        <v>311.60000000000002</v>
      </c>
      <c r="L240" s="116">
        <v>39.61</v>
      </c>
      <c r="M240" s="116">
        <v>368.78999999999996</v>
      </c>
      <c r="N240" s="129">
        <f t="shared" si="73"/>
        <v>0.88721847327809567</v>
      </c>
      <c r="O240" s="129">
        <f t="shared" si="71"/>
        <v>0.94498611111111108</v>
      </c>
      <c r="P240" s="129">
        <f t="shared" si="72"/>
        <v>0.45797263334264177</v>
      </c>
      <c r="Q240" s="114">
        <f t="shared" si="74"/>
        <v>85.866784338896011</v>
      </c>
      <c r="R240" s="5" t="str">
        <f t="shared" si="70"/>
        <v>PAMA</v>
      </c>
    </row>
    <row r="241" spans="1:18" s="4" customFormat="1" ht="15" customHeight="1">
      <c r="A241" s="64"/>
      <c r="B241" s="7">
        <f t="shared" si="69"/>
        <v>116</v>
      </c>
      <c r="C241" s="7" t="s">
        <v>10</v>
      </c>
      <c r="D241" s="7" t="s">
        <v>448</v>
      </c>
      <c r="E241" s="7" t="s">
        <v>15</v>
      </c>
      <c r="F241" s="7" t="s">
        <v>30</v>
      </c>
      <c r="G241" s="7">
        <v>2019</v>
      </c>
      <c r="H241" s="7" t="s">
        <v>25</v>
      </c>
      <c r="I241" s="91" t="s">
        <v>26</v>
      </c>
      <c r="J241" s="115">
        <v>22776.12</v>
      </c>
      <c r="K241" s="116">
        <v>287.77</v>
      </c>
      <c r="L241" s="116">
        <v>36.08</v>
      </c>
      <c r="M241" s="116">
        <v>396.15</v>
      </c>
      <c r="N241" s="129">
        <f t="shared" si="73"/>
        <v>0.88859039678863672</v>
      </c>
      <c r="O241" s="129">
        <f t="shared" si="71"/>
        <v>0.94988888888888878</v>
      </c>
      <c r="P241" s="129">
        <f t="shared" si="72"/>
        <v>0.42076558661831792</v>
      </c>
      <c r="Q241" s="114">
        <f t="shared" si="74"/>
        <v>79.146957639781775</v>
      </c>
      <c r="R241" s="5" t="str">
        <f t="shared" si="70"/>
        <v>PAMA</v>
      </c>
    </row>
    <row r="242" spans="1:18" s="4" customFormat="1" ht="15" customHeight="1">
      <c r="A242" s="64"/>
      <c r="B242" s="7">
        <f t="shared" si="69"/>
        <v>117</v>
      </c>
      <c r="C242" s="7" t="s">
        <v>10</v>
      </c>
      <c r="D242" s="7" t="s">
        <v>450</v>
      </c>
      <c r="E242" s="7" t="s">
        <v>15</v>
      </c>
      <c r="F242" s="7" t="s">
        <v>30</v>
      </c>
      <c r="G242" s="7">
        <v>2019</v>
      </c>
      <c r="H242" s="7" t="s">
        <v>25</v>
      </c>
      <c r="I242" s="91" t="s">
        <v>26</v>
      </c>
      <c r="J242" s="115">
        <v>38280.800000000003</v>
      </c>
      <c r="K242" s="116">
        <v>332.12</v>
      </c>
      <c r="L242" s="116">
        <v>35.42</v>
      </c>
      <c r="M242" s="116">
        <v>352.46000000000004</v>
      </c>
      <c r="N242" s="129">
        <f t="shared" si="73"/>
        <v>0.90362953692115144</v>
      </c>
      <c r="O242" s="129">
        <f t="shared" si="71"/>
        <v>0.95080555555555557</v>
      </c>
      <c r="P242" s="129">
        <f t="shared" si="72"/>
        <v>0.48514417599111864</v>
      </c>
      <c r="Q242" s="114">
        <f t="shared" si="74"/>
        <v>115.26195351077925</v>
      </c>
      <c r="R242" s="5" t="str">
        <f t="shared" si="70"/>
        <v>PAMA</v>
      </c>
    </row>
    <row r="243" spans="1:18" s="4" customFormat="1" ht="15" customHeight="1">
      <c r="A243" s="64"/>
      <c r="B243" s="7">
        <f t="shared" si="69"/>
        <v>118</v>
      </c>
      <c r="C243" s="7" t="s">
        <v>10</v>
      </c>
      <c r="D243" s="7" t="s">
        <v>459</v>
      </c>
      <c r="E243" s="7" t="s">
        <v>15</v>
      </c>
      <c r="F243" s="7" t="s">
        <v>30</v>
      </c>
      <c r="G243" s="7">
        <v>2019</v>
      </c>
      <c r="H243" s="7" t="s">
        <v>25</v>
      </c>
      <c r="I243" s="91" t="s">
        <v>26</v>
      </c>
      <c r="J243" s="115">
        <v>27205.07</v>
      </c>
      <c r="K243" s="116">
        <v>337.54</v>
      </c>
      <c r="L243" s="116">
        <v>19.13</v>
      </c>
      <c r="M243" s="116">
        <v>363.33</v>
      </c>
      <c r="N243" s="129">
        <f t="shared" si="73"/>
        <v>0.94636498724310991</v>
      </c>
      <c r="O243" s="129">
        <f t="shared" si="71"/>
        <v>0.97343055555555558</v>
      </c>
      <c r="P243" s="129">
        <f t="shared" si="72"/>
        <v>0.48160143821250734</v>
      </c>
      <c r="Q243" s="114">
        <f t="shared" si="74"/>
        <v>80.598062451857558</v>
      </c>
      <c r="R243" s="5" t="str">
        <f t="shared" si="70"/>
        <v>PAMA</v>
      </c>
    </row>
    <row r="244" spans="1:18" s="4" customFormat="1" ht="15" customHeight="1">
      <c r="A244" s="64"/>
      <c r="B244" s="7">
        <f t="shared" si="69"/>
        <v>119</v>
      </c>
      <c r="C244" s="7" t="s">
        <v>10</v>
      </c>
      <c r="D244" s="7" t="s">
        <v>2234</v>
      </c>
      <c r="E244" s="7" t="s">
        <v>15</v>
      </c>
      <c r="F244" s="7" t="s">
        <v>30</v>
      </c>
      <c r="G244" s="7">
        <v>2022</v>
      </c>
      <c r="H244" s="7" t="s">
        <v>25</v>
      </c>
      <c r="I244" s="91" t="s">
        <v>26</v>
      </c>
      <c r="J244" s="115">
        <v>22707.22</v>
      </c>
      <c r="K244" s="116">
        <v>322.29000000000002</v>
      </c>
      <c r="L244" s="116">
        <v>7.13</v>
      </c>
      <c r="M244" s="116">
        <v>390.58</v>
      </c>
      <c r="N244" s="129">
        <f t="shared" si="73"/>
        <v>0.97835589824540103</v>
      </c>
      <c r="O244" s="129">
        <f t="shared" si="71"/>
        <v>0.99009722222222218</v>
      </c>
      <c r="P244" s="129">
        <f t="shared" si="72"/>
        <v>0.45210206629539751</v>
      </c>
      <c r="Q244" s="114">
        <f t="shared" si="74"/>
        <v>70.455862732321819</v>
      </c>
      <c r="R244" s="5" t="str">
        <f t="shared" si="70"/>
        <v>PAMA</v>
      </c>
    </row>
    <row r="245" spans="1:18" s="4" customFormat="1" ht="15" customHeight="1">
      <c r="A245" s="64"/>
      <c r="B245" s="7">
        <f t="shared" si="69"/>
        <v>120</v>
      </c>
      <c r="C245" s="7" t="s">
        <v>10</v>
      </c>
      <c r="D245" s="7" t="s">
        <v>2235</v>
      </c>
      <c r="E245" s="7" t="s">
        <v>15</v>
      </c>
      <c r="F245" s="7" t="s">
        <v>30</v>
      </c>
      <c r="G245" s="7">
        <v>2023</v>
      </c>
      <c r="H245" s="7" t="s">
        <v>25</v>
      </c>
      <c r="I245" s="91" t="s">
        <v>26</v>
      </c>
      <c r="J245" s="115">
        <v>25105.39</v>
      </c>
      <c r="K245" s="116">
        <v>284.10000000000002</v>
      </c>
      <c r="L245" s="116">
        <v>32.58</v>
      </c>
      <c r="M245" s="116">
        <v>403.31999999999994</v>
      </c>
      <c r="N245" s="129">
        <f t="shared" si="73"/>
        <v>0.89712012125805229</v>
      </c>
      <c r="O245" s="129">
        <f t="shared" si="71"/>
        <v>0.95474999999999999</v>
      </c>
      <c r="P245" s="129">
        <f t="shared" si="72"/>
        <v>0.41328445491839055</v>
      </c>
      <c r="Q245" s="114">
        <f t="shared" si="74"/>
        <v>88.368145019359375</v>
      </c>
      <c r="R245" s="5" t="str">
        <f t="shared" si="70"/>
        <v>PAMA</v>
      </c>
    </row>
    <row r="246" spans="1:18" s="4" customFormat="1" ht="15" customHeight="1">
      <c r="A246" s="64"/>
      <c r="B246" s="7">
        <f t="shared" si="69"/>
        <v>121</v>
      </c>
      <c r="C246" s="7" t="s">
        <v>10</v>
      </c>
      <c r="D246" s="7" t="s">
        <v>2236</v>
      </c>
      <c r="E246" s="7" t="s">
        <v>15</v>
      </c>
      <c r="F246" s="7" t="s">
        <v>30</v>
      </c>
      <c r="G246" s="7">
        <v>2023</v>
      </c>
      <c r="H246" s="7" t="s">
        <v>25</v>
      </c>
      <c r="I246" s="91" t="s">
        <v>26</v>
      </c>
      <c r="J246" s="115">
        <v>24475.58</v>
      </c>
      <c r="K246" s="116">
        <v>298.89</v>
      </c>
      <c r="L246" s="116">
        <v>4.72</v>
      </c>
      <c r="M246" s="116">
        <v>416.39</v>
      </c>
      <c r="N246" s="129">
        <f t="shared" si="73"/>
        <v>0.98445373999538877</v>
      </c>
      <c r="O246" s="129">
        <f t="shared" si="71"/>
        <v>0.99344444444444435</v>
      </c>
      <c r="P246" s="129">
        <f t="shared" si="72"/>
        <v>0.41786433284867464</v>
      </c>
      <c r="Q246" s="114">
        <f t="shared" si="74"/>
        <v>81.888253203519696</v>
      </c>
      <c r="R246" s="5" t="str">
        <f t="shared" si="70"/>
        <v>PAMA</v>
      </c>
    </row>
    <row r="247" spans="1:18" s="4" customFormat="1" ht="15" customHeight="1">
      <c r="A247" s="64"/>
      <c r="B247" s="7">
        <f t="shared" si="69"/>
        <v>122</v>
      </c>
      <c r="C247" s="7" t="s">
        <v>10</v>
      </c>
      <c r="D247" s="7" t="s">
        <v>2237</v>
      </c>
      <c r="E247" s="7" t="s">
        <v>15</v>
      </c>
      <c r="F247" s="7" t="s">
        <v>30</v>
      </c>
      <c r="G247" s="7">
        <v>2023</v>
      </c>
      <c r="H247" s="7" t="s">
        <v>25</v>
      </c>
      <c r="I247" s="91" t="s">
        <v>26</v>
      </c>
      <c r="J247" s="115">
        <v>23307.63</v>
      </c>
      <c r="K247" s="116">
        <v>302.11</v>
      </c>
      <c r="L247" s="116">
        <v>7.25</v>
      </c>
      <c r="M247" s="116">
        <v>410.64</v>
      </c>
      <c r="N247" s="129">
        <f t="shared" si="73"/>
        <v>0.97656452029997409</v>
      </c>
      <c r="O247" s="129">
        <f t="shared" si="71"/>
        <v>0.98993055555555554</v>
      </c>
      <c r="P247" s="129">
        <f t="shared" si="72"/>
        <v>0.42386531041739745</v>
      </c>
      <c r="Q247" s="114">
        <f t="shared" si="74"/>
        <v>77.149481976763425</v>
      </c>
      <c r="R247" s="5" t="str">
        <f t="shared" si="70"/>
        <v>PAMA</v>
      </c>
    </row>
    <row r="248" spans="1:18" s="4" customFormat="1" ht="15" customHeight="1">
      <c r="A248" s="64"/>
      <c r="B248" s="7">
        <f t="shared" si="69"/>
        <v>123</v>
      </c>
      <c r="C248" s="7" t="s">
        <v>10</v>
      </c>
      <c r="D248" s="7" t="s">
        <v>2238</v>
      </c>
      <c r="E248" s="7" t="s">
        <v>15</v>
      </c>
      <c r="F248" s="7" t="s">
        <v>30</v>
      </c>
      <c r="G248" s="7">
        <v>2023</v>
      </c>
      <c r="H248" s="7" t="s">
        <v>25</v>
      </c>
      <c r="I248" s="91" t="s">
        <v>26</v>
      </c>
      <c r="J248" s="115">
        <v>26402.49</v>
      </c>
      <c r="K248" s="116">
        <v>290.25</v>
      </c>
      <c r="L248" s="116">
        <v>11.52</v>
      </c>
      <c r="M248" s="116">
        <v>418.23</v>
      </c>
      <c r="N248" s="129">
        <f t="shared" si="73"/>
        <v>0.96182523113629592</v>
      </c>
      <c r="O248" s="129">
        <f t="shared" si="71"/>
        <v>0.98399999999999999</v>
      </c>
      <c r="P248" s="129">
        <f t="shared" si="72"/>
        <v>0.40967987804878048</v>
      </c>
      <c r="Q248" s="114">
        <f t="shared" si="74"/>
        <v>90.964651162790702</v>
      </c>
      <c r="R248" s="5" t="str">
        <f t="shared" si="70"/>
        <v>PAMA</v>
      </c>
    </row>
    <row r="249" spans="1:18" s="4" customFormat="1" ht="15" hidden="1" customHeight="1">
      <c r="A249" s="64"/>
      <c r="B249" s="7">
        <f t="shared" ref="B249:B278" si="75">+B248+1</f>
        <v>124</v>
      </c>
      <c r="C249" s="7"/>
      <c r="D249" s="7"/>
      <c r="E249" s="7"/>
      <c r="F249" s="7"/>
      <c r="G249" s="7"/>
      <c r="H249" s="7"/>
      <c r="I249" s="91"/>
      <c r="J249" s="115"/>
      <c r="K249" s="116"/>
      <c r="L249" s="116"/>
      <c r="M249" s="116"/>
      <c r="N249" s="129" t="e">
        <f t="shared" ref="N249:N252" si="76">+K249/(K249+L249)</f>
        <v>#DIV/0!</v>
      </c>
      <c r="O249" s="129" t="e">
        <f t="shared" ref="O249:O252" si="77">+(K249+M249)/(K249+L249+M249)</f>
        <v>#DIV/0!</v>
      </c>
      <c r="P249" s="129" t="e">
        <f t="shared" ref="P249:P253" si="78">+K249/(K249+M249)</f>
        <v>#DIV/0!</v>
      </c>
      <c r="Q249" s="114" t="e">
        <f t="shared" ref="Q249:Q278" si="79">+J249/K249</f>
        <v>#DIV/0!</v>
      </c>
      <c r="R249" s="5" t="e">
        <f t="shared" ref="R249:R312" si="80">IF(O249&gt;89.9999999999999%,"PAMA")</f>
        <v>#DIV/0!</v>
      </c>
    </row>
    <row r="250" spans="1:18" s="4" customFormat="1" ht="15" hidden="1" customHeight="1">
      <c r="A250" s="64"/>
      <c r="B250" s="7">
        <f t="shared" si="75"/>
        <v>125</v>
      </c>
      <c r="C250" s="7"/>
      <c r="D250" s="7"/>
      <c r="E250" s="7"/>
      <c r="F250" s="7"/>
      <c r="G250" s="7"/>
      <c r="H250" s="7"/>
      <c r="I250" s="91"/>
      <c r="J250" s="115"/>
      <c r="K250" s="116"/>
      <c r="L250" s="116"/>
      <c r="M250" s="116"/>
      <c r="N250" s="129" t="e">
        <f t="shared" si="76"/>
        <v>#DIV/0!</v>
      </c>
      <c r="O250" s="129" t="e">
        <f t="shared" si="77"/>
        <v>#DIV/0!</v>
      </c>
      <c r="P250" s="129" t="e">
        <f t="shared" si="78"/>
        <v>#DIV/0!</v>
      </c>
      <c r="Q250" s="114" t="e">
        <f t="shared" si="79"/>
        <v>#DIV/0!</v>
      </c>
      <c r="R250" s="5" t="e">
        <f t="shared" si="80"/>
        <v>#DIV/0!</v>
      </c>
    </row>
    <row r="251" spans="1:18" s="4" customFormat="1" ht="15" hidden="1" customHeight="1">
      <c r="A251" s="64"/>
      <c r="B251" s="7">
        <f t="shared" si="75"/>
        <v>126</v>
      </c>
      <c r="C251" s="7"/>
      <c r="D251" s="7"/>
      <c r="E251" s="7"/>
      <c r="F251" s="7"/>
      <c r="G251" s="7"/>
      <c r="H251" s="7"/>
      <c r="I251" s="91"/>
      <c r="J251" s="115"/>
      <c r="K251" s="116"/>
      <c r="L251" s="116"/>
      <c r="M251" s="116"/>
      <c r="N251" s="129" t="e">
        <f t="shared" si="76"/>
        <v>#DIV/0!</v>
      </c>
      <c r="O251" s="129" t="e">
        <f t="shared" si="77"/>
        <v>#DIV/0!</v>
      </c>
      <c r="P251" s="129" t="e">
        <f t="shared" si="78"/>
        <v>#DIV/0!</v>
      </c>
      <c r="Q251" s="114" t="e">
        <f t="shared" si="79"/>
        <v>#DIV/0!</v>
      </c>
      <c r="R251" s="5" t="e">
        <f t="shared" si="80"/>
        <v>#DIV/0!</v>
      </c>
    </row>
    <row r="252" spans="1:18" s="4" customFormat="1" ht="15" hidden="1" customHeight="1">
      <c r="A252" s="64"/>
      <c r="B252" s="7">
        <f t="shared" si="75"/>
        <v>127</v>
      </c>
      <c r="C252" s="7"/>
      <c r="D252" s="7"/>
      <c r="E252" s="7"/>
      <c r="F252" s="7"/>
      <c r="G252" s="7"/>
      <c r="H252" s="7"/>
      <c r="I252" s="91"/>
      <c r="J252" s="115"/>
      <c r="K252" s="116"/>
      <c r="L252" s="116"/>
      <c r="M252" s="116"/>
      <c r="N252" s="129" t="e">
        <f t="shared" si="76"/>
        <v>#DIV/0!</v>
      </c>
      <c r="O252" s="129" t="e">
        <f t="shared" si="77"/>
        <v>#DIV/0!</v>
      </c>
      <c r="P252" s="129" t="e">
        <f t="shared" si="78"/>
        <v>#DIV/0!</v>
      </c>
      <c r="Q252" s="114" t="e">
        <f t="shared" si="79"/>
        <v>#DIV/0!</v>
      </c>
      <c r="R252" s="5" t="e">
        <f t="shared" si="80"/>
        <v>#DIV/0!</v>
      </c>
    </row>
    <row r="253" spans="1:18" s="4" customFormat="1" ht="15" hidden="1" customHeight="1">
      <c r="A253" s="64"/>
      <c r="B253" s="7">
        <f t="shared" si="75"/>
        <v>128</v>
      </c>
      <c r="C253" s="7"/>
      <c r="D253" s="7"/>
      <c r="E253" s="7"/>
      <c r="F253" s="7"/>
      <c r="G253" s="7"/>
      <c r="H253" s="7"/>
      <c r="I253" s="91"/>
      <c r="J253" s="115"/>
      <c r="K253" s="116"/>
      <c r="L253" s="116"/>
      <c r="M253" s="116"/>
      <c r="N253" s="129" t="e">
        <f t="shared" ref="N253:N256" si="81">+K253/(K253+L253)</f>
        <v>#DIV/0!</v>
      </c>
      <c r="O253" s="129" t="e">
        <f t="shared" ref="O253:O256" si="82">+(K253+M253)/(K253+L253+M253)</f>
        <v>#DIV/0!</v>
      </c>
      <c r="P253" s="129" t="e">
        <f t="shared" si="78"/>
        <v>#DIV/0!</v>
      </c>
      <c r="Q253" s="114" t="e">
        <f t="shared" si="79"/>
        <v>#DIV/0!</v>
      </c>
      <c r="R253" s="5" t="e">
        <f t="shared" si="80"/>
        <v>#DIV/0!</v>
      </c>
    </row>
    <row r="254" spans="1:18" s="4" customFormat="1" ht="15" hidden="1" customHeight="1">
      <c r="A254" s="64"/>
      <c r="B254" s="7">
        <f t="shared" si="75"/>
        <v>129</v>
      </c>
      <c r="C254" s="7"/>
      <c r="D254" s="7"/>
      <c r="E254" s="7"/>
      <c r="F254" s="7"/>
      <c r="G254" s="7"/>
      <c r="H254" s="7"/>
      <c r="I254" s="91"/>
      <c r="J254" s="115"/>
      <c r="K254" s="116"/>
      <c r="L254" s="116"/>
      <c r="M254" s="116"/>
      <c r="N254" s="129" t="e">
        <f t="shared" si="81"/>
        <v>#DIV/0!</v>
      </c>
      <c r="O254" s="129" t="e">
        <f t="shared" si="82"/>
        <v>#DIV/0!</v>
      </c>
      <c r="P254" s="129" t="e">
        <f t="shared" ref="P254:P278" si="83">+K254/(K254+M254)</f>
        <v>#DIV/0!</v>
      </c>
      <c r="Q254" s="114" t="e">
        <f t="shared" si="79"/>
        <v>#DIV/0!</v>
      </c>
      <c r="R254" s="5" t="e">
        <f t="shared" si="80"/>
        <v>#DIV/0!</v>
      </c>
    </row>
    <row r="255" spans="1:18" s="4" customFormat="1" ht="15" hidden="1" customHeight="1">
      <c r="A255" s="64"/>
      <c r="B255" s="7">
        <f t="shared" si="75"/>
        <v>130</v>
      </c>
      <c r="C255" s="7"/>
      <c r="D255" s="7"/>
      <c r="E255" s="7"/>
      <c r="F255" s="7"/>
      <c r="G255" s="7"/>
      <c r="H255" s="7"/>
      <c r="I255" s="91"/>
      <c r="J255" s="115"/>
      <c r="K255" s="116"/>
      <c r="L255" s="116"/>
      <c r="M255" s="116"/>
      <c r="N255" s="129" t="e">
        <f t="shared" si="81"/>
        <v>#DIV/0!</v>
      </c>
      <c r="O255" s="129" t="e">
        <f t="shared" si="82"/>
        <v>#DIV/0!</v>
      </c>
      <c r="P255" s="129" t="e">
        <f t="shared" si="83"/>
        <v>#DIV/0!</v>
      </c>
      <c r="Q255" s="114" t="e">
        <f t="shared" si="79"/>
        <v>#DIV/0!</v>
      </c>
      <c r="R255" s="5" t="e">
        <f t="shared" si="80"/>
        <v>#DIV/0!</v>
      </c>
    </row>
    <row r="256" spans="1:18" s="4" customFormat="1" ht="15" hidden="1" customHeight="1">
      <c r="A256" s="64"/>
      <c r="B256" s="7">
        <f t="shared" si="75"/>
        <v>131</v>
      </c>
      <c r="C256" s="7"/>
      <c r="D256" s="7"/>
      <c r="E256" s="7"/>
      <c r="F256" s="7"/>
      <c r="G256" s="7"/>
      <c r="H256" s="7"/>
      <c r="I256" s="91"/>
      <c r="J256" s="115"/>
      <c r="K256" s="116"/>
      <c r="L256" s="116"/>
      <c r="M256" s="116"/>
      <c r="N256" s="129" t="e">
        <f t="shared" si="81"/>
        <v>#DIV/0!</v>
      </c>
      <c r="O256" s="129" t="e">
        <f t="shared" si="82"/>
        <v>#DIV/0!</v>
      </c>
      <c r="P256" s="129" t="e">
        <f t="shared" si="83"/>
        <v>#DIV/0!</v>
      </c>
      <c r="Q256" s="114" t="e">
        <f t="shared" si="79"/>
        <v>#DIV/0!</v>
      </c>
      <c r="R256" s="5" t="e">
        <f t="shared" si="80"/>
        <v>#DIV/0!</v>
      </c>
    </row>
    <row r="257" spans="1:18" s="4" customFormat="1" ht="15" hidden="1" customHeight="1">
      <c r="A257" s="64"/>
      <c r="B257" s="7">
        <f t="shared" si="75"/>
        <v>132</v>
      </c>
      <c r="C257" s="7"/>
      <c r="D257" s="7"/>
      <c r="E257" s="7"/>
      <c r="F257" s="7"/>
      <c r="G257" s="7"/>
      <c r="H257" s="7"/>
      <c r="I257" s="91"/>
      <c r="J257" s="115"/>
      <c r="K257" s="116"/>
      <c r="L257" s="116"/>
      <c r="M257" s="116"/>
      <c r="N257" s="129" t="e">
        <f t="shared" ref="N257:N278" si="84">+K257/(K257+L257)</f>
        <v>#DIV/0!</v>
      </c>
      <c r="O257" s="129" t="e">
        <f t="shared" ref="O257:O278" si="85">+(K257+M257)/(K257+L257+M257)</f>
        <v>#DIV/0!</v>
      </c>
      <c r="P257" s="129" t="e">
        <f t="shared" si="83"/>
        <v>#DIV/0!</v>
      </c>
      <c r="Q257" s="114" t="e">
        <f t="shared" si="79"/>
        <v>#DIV/0!</v>
      </c>
      <c r="R257" s="5" t="e">
        <f t="shared" si="80"/>
        <v>#DIV/0!</v>
      </c>
    </row>
    <row r="258" spans="1:18" s="4" customFormat="1" ht="15" hidden="1" customHeight="1">
      <c r="A258" s="64"/>
      <c r="B258" s="7">
        <f t="shared" si="75"/>
        <v>133</v>
      </c>
      <c r="C258" s="7"/>
      <c r="D258" s="7"/>
      <c r="E258" s="7"/>
      <c r="F258" s="7"/>
      <c r="G258" s="7"/>
      <c r="H258" s="7"/>
      <c r="I258" s="91"/>
      <c r="J258" s="115"/>
      <c r="K258" s="116"/>
      <c r="L258" s="116"/>
      <c r="M258" s="116"/>
      <c r="N258" s="129" t="e">
        <f t="shared" si="84"/>
        <v>#DIV/0!</v>
      </c>
      <c r="O258" s="129" t="e">
        <f t="shared" si="85"/>
        <v>#DIV/0!</v>
      </c>
      <c r="P258" s="129" t="e">
        <f t="shared" si="83"/>
        <v>#DIV/0!</v>
      </c>
      <c r="Q258" s="114" t="e">
        <f t="shared" si="79"/>
        <v>#DIV/0!</v>
      </c>
      <c r="R258" s="5" t="e">
        <f t="shared" si="80"/>
        <v>#DIV/0!</v>
      </c>
    </row>
    <row r="259" spans="1:18" s="4" customFormat="1" ht="15" hidden="1" customHeight="1">
      <c r="A259" s="64"/>
      <c r="B259" s="7">
        <f t="shared" si="75"/>
        <v>134</v>
      </c>
      <c r="C259" s="7"/>
      <c r="D259" s="7"/>
      <c r="E259" s="7"/>
      <c r="F259" s="7"/>
      <c r="G259" s="7"/>
      <c r="H259" s="7"/>
      <c r="I259" s="91"/>
      <c r="J259" s="115"/>
      <c r="K259" s="116"/>
      <c r="L259" s="116"/>
      <c r="M259" s="116"/>
      <c r="N259" s="129" t="e">
        <f t="shared" si="84"/>
        <v>#DIV/0!</v>
      </c>
      <c r="O259" s="129" t="e">
        <f t="shared" si="85"/>
        <v>#DIV/0!</v>
      </c>
      <c r="P259" s="129" t="e">
        <f t="shared" si="83"/>
        <v>#DIV/0!</v>
      </c>
      <c r="Q259" s="114" t="e">
        <f t="shared" si="79"/>
        <v>#DIV/0!</v>
      </c>
      <c r="R259" s="5" t="e">
        <f t="shared" si="80"/>
        <v>#DIV/0!</v>
      </c>
    </row>
    <row r="260" spans="1:18" s="4" customFormat="1" ht="15" hidden="1" customHeight="1">
      <c r="A260" s="64"/>
      <c r="B260" s="7">
        <f t="shared" si="75"/>
        <v>135</v>
      </c>
      <c r="C260" s="7"/>
      <c r="D260" s="7"/>
      <c r="E260" s="7"/>
      <c r="F260" s="7"/>
      <c r="G260" s="7"/>
      <c r="H260" s="7"/>
      <c r="I260" s="91"/>
      <c r="J260" s="115"/>
      <c r="K260" s="116"/>
      <c r="L260" s="116"/>
      <c r="M260" s="116"/>
      <c r="N260" s="129" t="e">
        <f t="shared" si="84"/>
        <v>#DIV/0!</v>
      </c>
      <c r="O260" s="129" t="e">
        <f t="shared" si="85"/>
        <v>#DIV/0!</v>
      </c>
      <c r="P260" s="129" t="e">
        <f t="shared" si="83"/>
        <v>#DIV/0!</v>
      </c>
      <c r="Q260" s="114" t="e">
        <f t="shared" si="79"/>
        <v>#DIV/0!</v>
      </c>
      <c r="R260" s="5" t="e">
        <f t="shared" si="80"/>
        <v>#DIV/0!</v>
      </c>
    </row>
    <row r="261" spans="1:18" s="4" customFormat="1" ht="15" hidden="1" customHeight="1">
      <c r="A261" s="64"/>
      <c r="B261" s="7">
        <f t="shared" si="75"/>
        <v>136</v>
      </c>
      <c r="C261" s="7"/>
      <c r="D261" s="7"/>
      <c r="E261" s="7"/>
      <c r="F261" s="7"/>
      <c r="G261" s="7"/>
      <c r="H261" s="7"/>
      <c r="I261" s="91"/>
      <c r="J261" s="115"/>
      <c r="K261" s="116"/>
      <c r="L261" s="116"/>
      <c r="M261" s="116"/>
      <c r="N261" s="129" t="e">
        <f t="shared" si="84"/>
        <v>#DIV/0!</v>
      </c>
      <c r="O261" s="129" t="e">
        <f t="shared" si="85"/>
        <v>#DIV/0!</v>
      </c>
      <c r="P261" s="129" t="e">
        <f t="shared" si="83"/>
        <v>#DIV/0!</v>
      </c>
      <c r="Q261" s="114" t="e">
        <f t="shared" si="79"/>
        <v>#DIV/0!</v>
      </c>
      <c r="R261" s="5" t="e">
        <f t="shared" si="80"/>
        <v>#DIV/0!</v>
      </c>
    </row>
    <row r="262" spans="1:18" s="4" customFormat="1" ht="15" hidden="1" customHeight="1">
      <c r="A262" s="64"/>
      <c r="B262" s="7">
        <f t="shared" si="75"/>
        <v>137</v>
      </c>
      <c r="C262" s="7"/>
      <c r="D262" s="7"/>
      <c r="E262" s="7"/>
      <c r="F262" s="7"/>
      <c r="G262" s="7"/>
      <c r="H262" s="7"/>
      <c r="I262" s="91"/>
      <c r="J262" s="115"/>
      <c r="K262" s="116"/>
      <c r="L262" s="116"/>
      <c r="M262" s="116"/>
      <c r="N262" s="129" t="e">
        <f t="shared" si="84"/>
        <v>#DIV/0!</v>
      </c>
      <c r="O262" s="129" t="e">
        <f t="shared" si="85"/>
        <v>#DIV/0!</v>
      </c>
      <c r="P262" s="129" t="e">
        <f t="shared" si="83"/>
        <v>#DIV/0!</v>
      </c>
      <c r="Q262" s="114" t="e">
        <f t="shared" si="79"/>
        <v>#DIV/0!</v>
      </c>
      <c r="R262" s="5" t="e">
        <f t="shared" si="80"/>
        <v>#DIV/0!</v>
      </c>
    </row>
    <row r="263" spans="1:18" s="4" customFormat="1" ht="15" hidden="1" customHeight="1">
      <c r="A263" s="64"/>
      <c r="B263" s="7">
        <f t="shared" si="75"/>
        <v>138</v>
      </c>
      <c r="C263" s="7"/>
      <c r="D263" s="7"/>
      <c r="E263" s="7"/>
      <c r="F263" s="7"/>
      <c r="G263" s="7"/>
      <c r="H263" s="7"/>
      <c r="I263" s="91"/>
      <c r="J263" s="115"/>
      <c r="K263" s="116"/>
      <c r="L263" s="116"/>
      <c r="M263" s="116"/>
      <c r="N263" s="129" t="e">
        <f t="shared" si="84"/>
        <v>#DIV/0!</v>
      </c>
      <c r="O263" s="129" t="e">
        <f t="shared" si="85"/>
        <v>#DIV/0!</v>
      </c>
      <c r="P263" s="129" t="e">
        <f t="shared" si="83"/>
        <v>#DIV/0!</v>
      </c>
      <c r="Q263" s="114" t="e">
        <f t="shared" si="79"/>
        <v>#DIV/0!</v>
      </c>
      <c r="R263" s="5" t="e">
        <f t="shared" si="80"/>
        <v>#DIV/0!</v>
      </c>
    </row>
    <row r="264" spans="1:18" s="4" customFormat="1" ht="15" hidden="1" customHeight="1">
      <c r="A264" s="64"/>
      <c r="B264" s="7">
        <f t="shared" si="75"/>
        <v>139</v>
      </c>
      <c r="C264" s="7"/>
      <c r="D264" s="7"/>
      <c r="E264" s="7"/>
      <c r="F264" s="7"/>
      <c r="G264" s="7"/>
      <c r="H264" s="7"/>
      <c r="I264" s="91"/>
      <c r="J264" s="115"/>
      <c r="K264" s="116"/>
      <c r="L264" s="116"/>
      <c r="M264" s="116"/>
      <c r="N264" s="129" t="e">
        <f t="shared" si="84"/>
        <v>#DIV/0!</v>
      </c>
      <c r="O264" s="129" t="e">
        <f t="shared" si="85"/>
        <v>#DIV/0!</v>
      </c>
      <c r="P264" s="129" t="e">
        <f t="shared" si="83"/>
        <v>#DIV/0!</v>
      </c>
      <c r="Q264" s="114" t="e">
        <f t="shared" si="79"/>
        <v>#DIV/0!</v>
      </c>
      <c r="R264" s="5" t="e">
        <f t="shared" si="80"/>
        <v>#DIV/0!</v>
      </c>
    </row>
    <row r="265" spans="1:18" s="4" customFormat="1" ht="15" hidden="1" customHeight="1">
      <c r="A265" s="64"/>
      <c r="B265" s="7">
        <f t="shared" si="75"/>
        <v>140</v>
      </c>
      <c r="C265" s="7"/>
      <c r="D265" s="7"/>
      <c r="E265" s="7"/>
      <c r="F265" s="7"/>
      <c r="G265" s="7"/>
      <c r="H265" s="7"/>
      <c r="I265" s="91"/>
      <c r="J265" s="115"/>
      <c r="K265" s="116"/>
      <c r="L265" s="116"/>
      <c r="M265" s="116"/>
      <c r="N265" s="129" t="e">
        <f t="shared" si="84"/>
        <v>#DIV/0!</v>
      </c>
      <c r="O265" s="129" t="e">
        <f t="shared" si="85"/>
        <v>#DIV/0!</v>
      </c>
      <c r="P265" s="129" t="e">
        <f t="shared" si="83"/>
        <v>#DIV/0!</v>
      </c>
      <c r="Q265" s="114" t="e">
        <f t="shared" si="79"/>
        <v>#DIV/0!</v>
      </c>
      <c r="R265" s="5" t="e">
        <f t="shared" si="80"/>
        <v>#DIV/0!</v>
      </c>
    </row>
    <row r="266" spans="1:18" s="4" customFormat="1" ht="15" hidden="1" customHeight="1">
      <c r="A266" s="64"/>
      <c r="B266" s="7">
        <f t="shared" si="75"/>
        <v>141</v>
      </c>
      <c r="C266" s="7"/>
      <c r="D266" s="7"/>
      <c r="E266" s="7"/>
      <c r="F266" s="7"/>
      <c r="G266" s="7"/>
      <c r="H266" s="7"/>
      <c r="I266" s="91"/>
      <c r="J266" s="115"/>
      <c r="K266" s="116"/>
      <c r="L266" s="116"/>
      <c r="M266" s="116"/>
      <c r="N266" s="129" t="e">
        <f t="shared" si="84"/>
        <v>#DIV/0!</v>
      </c>
      <c r="O266" s="129" t="e">
        <f t="shared" si="85"/>
        <v>#DIV/0!</v>
      </c>
      <c r="P266" s="129" t="e">
        <f t="shared" si="83"/>
        <v>#DIV/0!</v>
      </c>
      <c r="Q266" s="114" t="e">
        <f t="shared" si="79"/>
        <v>#DIV/0!</v>
      </c>
      <c r="R266" s="5" t="e">
        <f t="shared" si="80"/>
        <v>#DIV/0!</v>
      </c>
    </row>
    <row r="267" spans="1:18" s="4" customFormat="1" ht="15" hidden="1" customHeight="1">
      <c r="A267" s="64"/>
      <c r="B267" s="7">
        <f t="shared" si="75"/>
        <v>142</v>
      </c>
      <c r="C267" s="7"/>
      <c r="D267" s="7"/>
      <c r="E267" s="7"/>
      <c r="F267" s="7"/>
      <c r="G267" s="7"/>
      <c r="H267" s="7"/>
      <c r="I267" s="91"/>
      <c r="J267" s="115"/>
      <c r="K267" s="116"/>
      <c r="L267" s="116"/>
      <c r="M267" s="116"/>
      <c r="N267" s="129" t="e">
        <f t="shared" si="84"/>
        <v>#DIV/0!</v>
      </c>
      <c r="O267" s="129" t="e">
        <f t="shared" si="85"/>
        <v>#DIV/0!</v>
      </c>
      <c r="P267" s="129" t="e">
        <f t="shared" si="83"/>
        <v>#DIV/0!</v>
      </c>
      <c r="Q267" s="114" t="e">
        <f t="shared" si="79"/>
        <v>#DIV/0!</v>
      </c>
      <c r="R267" s="5" t="e">
        <f t="shared" si="80"/>
        <v>#DIV/0!</v>
      </c>
    </row>
    <row r="268" spans="1:18" s="4" customFormat="1" ht="15" hidden="1" customHeight="1">
      <c r="A268" s="64"/>
      <c r="B268" s="7">
        <f t="shared" si="75"/>
        <v>143</v>
      </c>
      <c r="C268" s="7"/>
      <c r="D268" s="7"/>
      <c r="E268" s="7"/>
      <c r="F268" s="7"/>
      <c r="G268" s="7"/>
      <c r="H268" s="7"/>
      <c r="I268" s="91"/>
      <c r="J268" s="115"/>
      <c r="K268" s="116"/>
      <c r="L268" s="116"/>
      <c r="M268" s="116"/>
      <c r="N268" s="129" t="e">
        <f t="shared" si="84"/>
        <v>#DIV/0!</v>
      </c>
      <c r="O268" s="129" t="e">
        <f t="shared" si="85"/>
        <v>#DIV/0!</v>
      </c>
      <c r="P268" s="129" t="e">
        <f t="shared" si="83"/>
        <v>#DIV/0!</v>
      </c>
      <c r="Q268" s="114" t="e">
        <f t="shared" si="79"/>
        <v>#DIV/0!</v>
      </c>
      <c r="R268" s="5" t="e">
        <f t="shared" si="80"/>
        <v>#DIV/0!</v>
      </c>
    </row>
    <row r="269" spans="1:18" s="4" customFormat="1" ht="15" hidden="1" customHeight="1">
      <c r="A269" s="64"/>
      <c r="B269" s="7">
        <f t="shared" si="75"/>
        <v>144</v>
      </c>
      <c r="C269" s="7"/>
      <c r="D269" s="7"/>
      <c r="E269" s="7"/>
      <c r="F269" s="7"/>
      <c r="G269" s="7"/>
      <c r="H269" s="7"/>
      <c r="I269" s="91"/>
      <c r="J269" s="115"/>
      <c r="K269" s="116"/>
      <c r="L269" s="116"/>
      <c r="M269" s="116"/>
      <c r="N269" s="129" t="e">
        <f t="shared" si="84"/>
        <v>#DIV/0!</v>
      </c>
      <c r="O269" s="129" t="e">
        <f t="shared" si="85"/>
        <v>#DIV/0!</v>
      </c>
      <c r="P269" s="129" t="e">
        <f t="shared" si="83"/>
        <v>#DIV/0!</v>
      </c>
      <c r="Q269" s="114" t="e">
        <f t="shared" si="79"/>
        <v>#DIV/0!</v>
      </c>
      <c r="R269" s="5" t="e">
        <f t="shared" si="80"/>
        <v>#DIV/0!</v>
      </c>
    </row>
    <row r="270" spans="1:18" s="4" customFormat="1" ht="15" hidden="1" customHeight="1">
      <c r="A270" s="64"/>
      <c r="B270" s="7">
        <f t="shared" si="75"/>
        <v>145</v>
      </c>
      <c r="C270" s="7"/>
      <c r="D270" s="7"/>
      <c r="E270" s="7"/>
      <c r="F270" s="7"/>
      <c r="G270" s="7"/>
      <c r="H270" s="7"/>
      <c r="I270" s="91"/>
      <c r="J270" s="115"/>
      <c r="K270" s="116"/>
      <c r="L270" s="116"/>
      <c r="M270" s="116"/>
      <c r="N270" s="129" t="e">
        <f t="shared" si="84"/>
        <v>#DIV/0!</v>
      </c>
      <c r="O270" s="129" t="e">
        <f t="shared" si="85"/>
        <v>#DIV/0!</v>
      </c>
      <c r="P270" s="129" t="e">
        <f t="shared" si="83"/>
        <v>#DIV/0!</v>
      </c>
      <c r="Q270" s="114" t="e">
        <f t="shared" si="79"/>
        <v>#DIV/0!</v>
      </c>
      <c r="R270" s="5" t="e">
        <f t="shared" si="80"/>
        <v>#DIV/0!</v>
      </c>
    </row>
    <row r="271" spans="1:18" s="4" customFormat="1" ht="15" hidden="1" customHeight="1">
      <c r="A271" s="64"/>
      <c r="B271" s="7">
        <f t="shared" si="75"/>
        <v>146</v>
      </c>
      <c r="C271" s="7"/>
      <c r="D271" s="7"/>
      <c r="E271" s="7"/>
      <c r="F271" s="7"/>
      <c r="G271" s="7"/>
      <c r="H271" s="7"/>
      <c r="I271" s="91"/>
      <c r="J271" s="115"/>
      <c r="K271" s="116"/>
      <c r="L271" s="116"/>
      <c r="M271" s="116"/>
      <c r="N271" s="129" t="e">
        <f t="shared" si="84"/>
        <v>#DIV/0!</v>
      </c>
      <c r="O271" s="129" t="e">
        <f t="shared" si="85"/>
        <v>#DIV/0!</v>
      </c>
      <c r="P271" s="129" t="e">
        <f t="shared" si="83"/>
        <v>#DIV/0!</v>
      </c>
      <c r="Q271" s="114" t="e">
        <f t="shared" si="79"/>
        <v>#DIV/0!</v>
      </c>
      <c r="R271" s="5" t="e">
        <f t="shared" si="80"/>
        <v>#DIV/0!</v>
      </c>
    </row>
    <row r="272" spans="1:18" s="4" customFormat="1" ht="15" hidden="1" customHeight="1">
      <c r="A272" s="64"/>
      <c r="B272" s="7">
        <f t="shared" si="75"/>
        <v>147</v>
      </c>
      <c r="C272" s="7"/>
      <c r="D272" s="7"/>
      <c r="E272" s="7"/>
      <c r="F272" s="7"/>
      <c r="G272" s="7"/>
      <c r="H272" s="7"/>
      <c r="I272" s="91"/>
      <c r="J272" s="115"/>
      <c r="K272" s="116"/>
      <c r="L272" s="116"/>
      <c r="M272" s="116"/>
      <c r="N272" s="129" t="e">
        <f t="shared" si="84"/>
        <v>#DIV/0!</v>
      </c>
      <c r="O272" s="129" t="e">
        <f t="shared" si="85"/>
        <v>#DIV/0!</v>
      </c>
      <c r="P272" s="129" t="e">
        <f t="shared" si="83"/>
        <v>#DIV/0!</v>
      </c>
      <c r="Q272" s="114" t="e">
        <f t="shared" si="79"/>
        <v>#DIV/0!</v>
      </c>
      <c r="R272" s="5" t="e">
        <f t="shared" si="80"/>
        <v>#DIV/0!</v>
      </c>
    </row>
    <row r="273" spans="1:18" s="4" customFormat="1" ht="15" hidden="1" customHeight="1">
      <c r="A273" s="64"/>
      <c r="B273" s="7">
        <f t="shared" si="75"/>
        <v>148</v>
      </c>
      <c r="C273" s="7"/>
      <c r="D273" s="7"/>
      <c r="E273" s="7"/>
      <c r="F273" s="7"/>
      <c r="G273" s="7"/>
      <c r="H273" s="7"/>
      <c r="I273" s="91"/>
      <c r="J273" s="115"/>
      <c r="K273" s="116"/>
      <c r="L273" s="116"/>
      <c r="M273" s="116"/>
      <c r="N273" s="129" t="e">
        <f t="shared" si="84"/>
        <v>#DIV/0!</v>
      </c>
      <c r="O273" s="129" t="e">
        <f t="shared" si="85"/>
        <v>#DIV/0!</v>
      </c>
      <c r="P273" s="129" t="e">
        <f t="shared" si="83"/>
        <v>#DIV/0!</v>
      </c>
      <c r="Q273" s="114" t="e">
        <f t="shared" si="79"/>
        <v>#DIV/0!</v>
      </c>
      <c r="R273" s="5" t="e">
        <f t="shared" si="80"/>
        <v>#DIV/0!</v>
      </c>
    </row>
    <row r="274" spans="1:18" s="4" customFormat="1" ht="15" hidden="1" customHeight="1">
      <c r="A274" s="64"/>
      <c r="B274" s="7">
        <f t="shared" si="75"/>
        <v>149</v>
      </c>
      <c r="C274" s="7"/>
      <c r="D274" s="7"/>
      <c r="E274" s="7"/>
      <c r="F274" s="7"/>
      <c r="G274" s="7"/>
      <c r="H274" s="7"/>
      <c r="I274" s="91"/>
      <c r="J274" s="115"/>
      <c r="K274" s="116"/>
      <c r="L274" s="116"/>
      <c r="M274" s="116"/>
      <c r="N274" s="129" t="e">
        <f t="shared" si="84"/>
        <v>#DIV/0!</v>
      </c>
      <c r="O274" s="129" t="e">
        <f t="shared" si="85"/>
        <v>#DIV/0!</v>
      </c>
      <c r="P274" s="129" t="e">
        <f t="shared" si="83"/>
        <v>#DIV/0!</v>
      </c>
      <c r="Q274" s="114" t="e">
        <f t="shared" si="79"/>
        <v>#DIV/0!</v>
      </c>
      <c r="R274" s="5" t="e">
        <f t="shared" si="80"/>
        <v>#DIV/0!</v>
      </c>
    </row>
    <row r="275" spans="1:18" s="4" customFormat="1" ht="15" hidden="1" customHeight="1">
      <c r="A275" s="64"/>
      <c r="B275" s="7">
        <f t="shared" si="75"/>
        <v>150</v>
      </c>
      <c r="C275" s="7"/>
      <c r="D275" s="7"/>
      <c r="E275" s="7"/>
      <c r="F275" s="7"/>
      <c r="G275" s="7"/>
      <c r="H275" s="7"/>
      <c r="I275" s="91"/>
      <c r="J275" s="115"/>
      <c r="K275" s="116"/>
      <c r="L275" s="116"/>
      <c r="M275" s="116"/>
      <c r="N275" s="129" t="e">
        <f t="shared" si="84"/>
        <v>#DIV/0!</v>
      </c>
      <c r="O275" s="129" t="e">
        <f t="shared" si="85"/>
        <v>#DIV/0!</v>
      </c>
      <c r="P275" s="129" t="e">
        <f t="shared" si="83"/>
        <v>#DIV/0!</v>
      </c>
      <c r="Q275" s="114" t="e">
        <f t="shared" si="79"/>
        <v>#DIV/0!</v>
      </c>
      <c r="R275" s="5" t="e">
        <f t="shared" si="80"/>
        <v>#DIV/0!</v>
      </c>
    </row>
    <row r="276" spans="1:18" s="4" customFormat="1" ht="15" hidden="1" customHeight="1">
      <c r="A276" s="64"/>
      <c r="B276" s="7">
        <f t="shared" si="75"/>
        <v>151</v>
      </c>
      <c r="C276" s="7"/>
      <c r="D276" s="7"/>
      <c r="E276" s="7"/>
      <c r="F276" s="7"/>
      <c r="G276" s="7"/>
      <c r="H276" s="7"/>
      <c r="I276" s="91"/>
      <c r="J276" s="115"/>
      <c r="K276" s="116"/>
      <c r="L276" s="116"/>
      <c r="M276" s="116"/>
      <c r="N276" s="129" t="e">
        <f t="shared" si="84"/>
        <v>#DIV/0!</v>
      </c>
      <c r="O276" s="129" t="e">
        <f t="shared" si="85"/>
        <v>#DIV/0!</v>
      </c>
      <c r="P276" s="129" t="e">
        <f t="shared" si="83"/>
        <v>#DIV/0!</v>
      </c>
      <c r="Q276" s="114" t="e">
        <f t="shared" si="79"/>
        <v>#DIV/0!</v>
      </c>
      <c r="R276" s="5" t="e">
        <f t="shared" si="80"/>
        <v>#DIV/0!</v>
      </c>
    </row>
    <row r="277" spans="1:18" s="4" customFormat="1" ht="15" hidden="1" customHeight="1">
      <c r="A277" s="64"/>
      <c r="B277" s="7">
        <f t="shared" si="75"/>
        <v>152</v>
      </c>
      <c r="C277" s="7"/>
      <c r="D277" s="7"/>
      <c r="E277" s="7"/>
      <c r="F277" s="7"/>
      <c r="G277" s="7"/>
      <c r="H277" s="7"/>
      <c r="I277" s="91"/>
      <c r="J277" s="115"/>
      <c r="K277" s="116"/>
      <c r="L277" s="116"/>
      <c r="M277" s="116"/>
      <c r="N277" s="129" t="e">
        <f t="shared" si="84"/>
        <v>#DIV/0!</v>
      </c>
      <c r="O277" s="129" t="e">
        <f t="shared" si="85"/>
        <v>#DIV/0!</v>
      </c>
      <c r="P277" s="129" t="e">
        <f t="shared" si="83"/>
        <v>#DIV/0!</v>
      </c>
      <c r="Q277" s="114" t="e">
        <f t="shared" si="79"/>
        <v>#DIV/0!</v>
      </c>
      <c r="R277" s="5" t="e">
        <f t="shared" si="80"/>
        <v>#DIV/0!</v>
      </c>
    </row>
    <row r="278" spans="1:18" s="4" customFormat="1" ht="15" hidden="1" customHeight="1">
      <c r="A278" s="64"/>
      <c r="B278" s="7">
        <f t="shared" si="75"/>
        <v>153</v>
      </c>
      <c r="C278" s="7"/>
      <c r="D278" s="7"/>
      <c r="E278" s="7"/>
      <c r="F278" s="7"/>
      <c r="G278" s="7"/>
      <c r="H278" s="7"/>
      <c r="I278" s="91"/>
      <c r="J278" s="115"/>
      <c r="K278" s="116"/>
      <c r="L278" s="116"/>
      <c r="M278" s="116"/>
      <c r="N278" s="129" t="e">
        <f t="shared" si="84"/>
        <v>#DIV/0!</v>
      </c>
      <c r="O278" s="129" t="e">
        <f t="shared" si="85"/>
        <v>#DIV/0!</v>
      </c>
      <c r="P278" s="129" t="e">
        <f t="shared" si="83"/>
        <v>#DIV/0!</v>
      </c>
      <c r="Q278" s="114" t="e">
        <f t="shared" si="79"/>
        <v>#DIV/0!</v>
      </c>
      <c r="R278" s="5" t="e">
        <f t="shared" si="80"/>
        <v>#DIV/0!</v>
      </c>
    </row>
    <row r="279" spans="1:18" s="4" customFormat="1" ht="15" customHeight="1">
      <c r="A279" s="64"/>
      <c r="B279" s="336" t="s">
        <v>22</v>
      </c>
      <c r="C279" s="337"/>
      <c r="D279" s="337"/>
      <c r="E279" s="338"/>
      <c r="F279" s="8">
        <f>+COUNTA(C126:C278)</f>
        <v>100</v>
      </c>
      <c r="G279" s="9"/>
      <c r="H279" s="7"/>
      <c r="I279" s="91"/>
      <c r="J279" s="91"/>
      <c r="K279" s="92"/>
      <c r="L279" s="92"/>
      <c r="M279" s="92"/>
      <c r="N279" s="129"/>
      <c r="O279" s="129"/>
      <c r="P279" s="129"/>
      <c r="Q279" s="114"/>
      <c r="R279" s="5" t="b">
        <f t="shared" si="80"/>
        <v>0</v>
      </c>
    </row>
    <row r="280" spans="1:18" s="4" customFormat="1" ht="15" customHeight="1">
      <c r="A280" s="64"/>
      <c r="B280" s="327" t="s">
        <v>654</v>
      </c>
      <c r="C280" s="328"/>
      <c r="D280" s="328"/>
      <c r="E280" s="328"/>
      <c r="F280" s="328"/>
      <c r="G280" s="328"/>
      <c r="H280" s="328"/>
      <c r="I280" s="328"/>
      <c r="J280" s="328"/>
      <c r="K280" s="328"/>
      <c r="L280" s="328"/>
      <c r="M280" s="328"/>
      <c r="N280" s="328"/>
      <c r="O280" s="328"/>
      <c r="P280" s="328"/>
      <c r="Q280" s="329"/>
      <c r="R280" s="5" t="b">
        <f t="shared" si="80"/>
        <v>0</v>
      </c>
    </row>
    <row r="281" spans="1:18" s="4" customFormat="1" ht="15" customHeight="1">
      <c r="A281" s="64"/>
      <c r="B281" s="7">
        <v>1</v>
      </c>
      <c r="C281" s="211" t="s">
        <v>10</v>
      </c>
      <c r="D281" s="211" t="s">
        <v>2133</v>
      </c>
      <c r="E281" s="211" t="s">
        <v>15</v>
      </c>
      <c r="F281" s="211" t="s">
        <v>30</v>
      </c>
      <c r="G281" s="211">
        <v>2019</v>
      </c>
      <c r="H281" s="211" t="s">
        <v>25</v>
      </c>
      <c r="I281" s="256" t="s">
        <v>26</v>
      </c>
      <c r="J281" s="240">
        <v>31241.61</v>
      </c>
      <c r="K281" s="239">
        <v>327.64</v>
      </c>
      <c r="L281" s="239">
        <v>9.3800000000000008</v>
      </c>
      <c r="M281" s="239">
        <v>382.98</v>
      </c>
      <c r="N281" s="129">
        <f t="shared" ref="N281" si="86">+K281/(K281+L281)</f>
        <v>0.9721678238680197</v>
      </c>
      <c r="O281" s="129">
        <f t="shared" ref="O281" si="87">+(K281+M281)/(K281+L281+M281)</f>
        <v>0.98697222222222225</v>
      </c>
      <c r="P281" s="129">
        <f t="shared" ref="P281:P304" si="88">+K281/(K281+M281)</f>
        <v>0.46106217106188957</v>
      </c>
      <c r="Q281" s="114">
        <f t="shared" ref="Q281:Q304" si="89">+J281/K281</f>
        <v>95.353467220119654</v>
      </c>
      <c r="R281" s="5" t="str">
        <f t="shared" si="80"/>
        <v>PAMA</v>
      </c>
    </row>
    <row r="282" spans="1:18" s="4" customFormat="1" ht="15" customHeight="1">
      <c r="A282" s="64"/>
      <c r="B282" s="7">
        <f>+B281+1</f>
        <v>2</v>
      </c>
      <c r="C282" s="211" t="s">
        <v>10</v>
      </c>
      <c r="D282" s="211" t="s">
        <v>36</v>
      </c>
      <c r="E282" s="211" t="s">
        <v>15</v>
      </c>
      <c r="F282" s="211" t="s">
        <v>30</v>
      </c>
      <c r="G282" s="211">
        <v>2008</v>
      </c>
      <c r="H282" s="211" t="s">
        <v>25</v>
      </c>
      <c r="I282" s="256" t="s">
        <v>26</v>
      </c>
      <c r="J282" s="240">
        <v>14333.94</v>
      </c>
      <c r="K282" s="239">
        <v>214.29</v>
      </c>
      <c r="L282" s="239">
        <v>135.1</v>
      </c>
      <c r="M282" s="239">
        <v>370.61</v>
      </c>
      <c r="N282" s="129">
        <f t="shared" ref="N282:N304" si="90">+K282/(K282+L282)</f>
        <v>0.61332608260110477</v>
      </c>
      <c r="O282" s="129">
        <f t="shared" ref="O282:O304" si="91">+(K282+M282)/(K282+L282+M282)</f>
        <v>0.81236111111111109</v>
      </c>
      <c r="P282" s="129">
        <f t="shared" si="88"/>
        <v>0.3663703197127714</v>
      </c>
      <c r="Q282" s="114">
        <f t="shared" si="89"/>
        <v>66.890382192356157</v>
      </c>
      <c r="R282" s="5" t="b">
        <f t="shared" si="80"/>
        <v>0</v>
      </c>
    </row>
    <row r="283" spans="1:18" s="4" customFormat="1" ht="15" customHeight="1">
      <c r="A283" s="64"/>
      <c r="B283" s="7">
        <f t="shared" ref="B283:B346" si="92">+B282+1</f>
        <v>3</v>
      </c>
      <c r="C283" s="211" t="s">
        <v>10</v>
      </c>
      <c r="D283" s="211" t="s">
        <v>42</v>
      </c>
      <c r="E283" s="211" t="s">
        <v>15</v>
      </c>
      <c r="F283" s="211" t="s">
        <v>30</v>
      </c>
      <c r="G283" s="211">
        <v>2008</v>
      </c>
      <c r="H283" s="211" t="s">
        <v>25</v>
      </c>
      <c r="I283" s="256" t="s">
        <v>26</v>
      </c>
      <c r="J283" s="240">
        <v>22233.24</v>
      </c>
      <c r="K283" s="239">
        <v>295.73</v>
      </c>
      <c r="L283" s="239">
        <v>52.1</v>
      </c>
      <c r="M283" s="239">
        <v>372.16999999999996</v>
      </c>
      <c r="N283" s="129">
        <f t="shared" si="90"/>
        <v>0.85021418509041768</v>
      </c>
      <c r="O283" s="129">
        <f t="shared" si="91"/>
        <v>0.9276388888888889</v>
      </c>
      <c r="P283" s="129">
        <f t="shared" si="88"/>
        <v>0.44277586465039681</v>
      </c>
      <c r="Q283" s="114">
        <f t="shared" si="89"/>
        <v>75.180874446285458</v>
      </c>
      <c r="R283" s="5" t="str">
        <f t="shared" si="80"/>
        <v>PAMA</v>
      </c>
    </row>
    <row r="284" spans="1:18" s="4" customFormat="1" ht="15" customHeight="1">
      <c r="A284" s="64"/>
      <c r="B284" s="7">
        <f t="shared" si="92"/>
        <v>4</v>
      </c>
      <c r="C284" s="211" t="s">
        <v>10</v>
      </c>
      <c r="D284" s="211" t="s">
        <v>50</v>
      </c>
      <c r="E284" s="211" t="s">
        <v>15</v>
      </c>
      <c r="F284" s="211" t="s">
        <v>30</v>
      </c>
      <c r="G284" s="211">
        <v>2009</v>
      </c>
      <c r="H284" s="211" t="s">
        <v>25</v>
      </c>
      <c r="I284" s="256" t="s">
        <v>26</v>
      </c>
      <c r="J284" s="240">
        <v>29480.7</v>
      </c>
      <c r="K284" s="239">
        <v>292.44</v>
      </c>
      <c r="L284" s="239">
        <v>54.05</v>
      </c>
      <c r="M284" s="239">
        <v>373.51000000000005</v>
      </c>
      <c r="N284" s="129">
        <f t="shared" si="90"/>
        <v>0.84400704205027555</v>
      </c>
      <c r="O284" s="129">
        <f t="shared" si="91"/>
        <v>0.92493055555555559</v>
      </c>
      <c r="P284" s="129">
        <f t="shared" si="88"/>
        <v>0.43913206697199486</v>
      </c>
      <c r="Q284" s="114">
        <f t="shared" si="89"/>
        <v>100.80939679934346</v>
      </c>
      <c r="R284" s="5" t="str">
        <f t="shared" si="80"/>
        <v>PAMA</v>
      </c>
    </row>
    <row r="285" spans="1:18" s="4" customFormat="1" ht="15" customHeight="1">
      <c r="A285" s="64"/>
      <c r="B285" s="7">
        <f t="shared" si="92"/>
        <v>5</v>
      </c>
      <c r="C285" s="211" t="s">
        <v>10</v>
      </c>
      <c r="D285" s="211" t="s">
        <v>535</v>
      </c>
      <c r="E285" s="211" t="s">
        <v>15</v>
      </c>
      <c r="F285" s="211" t="s">
        <v>30</v>
      </c>
      <c r="G285" s="211">
        <v>2009</v>
      </c>
      <c r="H285" s="211" t="s">
        <v>25</v>
      </c>
      <c r="I285" s="256" t="s">
        <v>26</v>
      </c>
      <c r="J285" s="240">
        <v>23287.13</v>
      </c>
      <c r="K285" s="239">
        <v>313.7</v>
      </c>
      <c r="L285" s="239">
        <v>15.1</v>
      </c>
      <c r="M285" s="239">
        <v>391.2</v>
      </c>
      <c r="N285" s="129">
        <f t="shared" si="90"/>
        <v>0.95407542579075422</v>
      </c>
      <c r="O285" s="129">
        <f t="shared" si="91"/>
        <v>0.97902777777777772</v>
      </c>
      <c r="P285" s="129">
        <f t="shared" si="88"/>
        <v>0.44502766349836859</v>
      </c>
      <c r="Q285" s="114">
        <f t="shared" si="89"/>
        <v>74.233758367867395</v>
      </c>
      <c r="R285" s="5" t="str">
        <f t="shared" si="80"/>
        <v>PAMA</v>
      </c>
    </row>
    <row r="286" spans="1:18" s="4" customFormat="1" ht="15" customHeight="1">
      <c r="A286" s="64"/>
      <c r="B286" s="7">
        <f t="shared" si="92"/>
        <v>6</v>
      </c>
      <c r="C286" s="211" t="s">
        <v>10</v>
      </c>
      <c r="D286" s="211" t="s">
        <v>536</v>
      </c>
      <c r="E286" s="211" t="s">
        <v>15</v>
      </c>
      <c r="F286" s="211" t="s">
        <v>30</v>
      </c>
      <c r="G286" s="211">
        <v>2009</v>
      </c>
      <c r="H286" s="211" t="s">
        <v>25</v>
      </c>
      <c r="I286" s="256" t="s">
        <v>26</v>
      </c>
      <c r="J286" s="240">
        <v>21071.49</v>
      </c>
      <c r="K286" s="239">
        <v>291.45999999999998</v>
      </c>
      <c r="L286" s="239">
        <v>11.39</v>
      </c>
      <c r="M286" s="239">
        <v>417.15000000000003</v>
      </c>
      <c r="N286" s="129">
        <f t="shared" si="90"/>
        <v>0.96239062242034012</v>
      </c>
      <c r="O286" s="129">
        <f t="shared" si="91"/>
        <v>0.98418055555555561</v>
      </c>
      <c r="P286" s="129">
        <f t="shared" si="88"/>
        <v>0.41131228743596615</v>
      </c>
      <c r="Q286" s="114">
        <f t="shared" si="89"/>
        <v>72.296335689288426</v>
      </c>
      <c r="R286" s="5" t="str">
        <f t="shared" si="80"/>
        <v>PAMA</v>
      </c>
    </row>
    <row r="287" spans="1:18" s="4" customFormat="1" ht="15" customHeight="1">
      <c r="A287" s="64"/>
      <c r="B287" s="7">
        <f t="shared" si="92"/>
        <v>7</v>
      </c>
      <c r="C287" s="211" t="s">
        <v>10</v>
      </c>
      <c r="D287" s="211" t="s">
        <v>76</v>
      </c>
      <c r="E287" s="211" t="s">
        <v>15</v>
      </c>
      <c r="F287" s="211" t="s">
        <v>30</v>
      </c>
      <c r="G287" s="211">
        <v>2012</v>
      </c>
      <c r="H287" s="211" t="s">
        <v>25</v>
      </c>
      <c r="I287" s="256" t="s">
        <v>26</v>
      </c>
      <c r="J287" s="240">
        <v>20400.95</v>
      </c>
      <c r="K287" s="239">
        <v>295.12</v>
      </c>
      <c r="L287" s="239">
        <v>31.03</v>
      </c>
      <c r="M287" s="239">
        <v>393.85</v>
      </c>
      <c r="N287" s="129">
        <f t="shared" si="90"/>
        <v>0.90485972711942364</v>
      </c>
      <c r="O287" s="129">
        <f t="shared" si="91"/>
        <v>0.95690277777777777</v>
      </c>
      <c r="P287" s="129">
        <f t="shared" si="88"/>
        <v>0.42834956529311868</v>
      </c>
      <c r="Q287" s="114">
        <f t="shared" si="89"/>
        <v>69.127642992680947</v>
      </c>
      <c r="R287" s="5" t="str">
        <f t="shared" si="80"/>
        <v>PAMA</v>
      </c>
    </row>
    <row r="288" spans="1:18" s="4" customFormat="1" ht="15" customHeight="1">
      <c r="A288" s="64"/>
      <c r="B288" s="7">
        <f t="shared" si="92"/>
        <v>8</v>
      </c>
      <c r="C288" s="211" t="s">
        <v>10</v>
      </c>
      <c r="D288" s="211" t="s">
        <v>81</v>
      </c>
      <c r="E288" s="211" t="s">
        <v>15</v>
      </c>
      <c r="F288" s="211" t="s">
        <v>30</v>
      </c>
      <c r="G288" s="211">
        <v>2012</v>
      </c>
      <c r="H288" s="211" t="s">
        <v>25</v>
      </c>
      <c r="I288" s="256" t="s">
        <v>26</v>
      </c>
      <c r="J288" s="240">
        <v>31389.040000000001</v>
      </c>
      <c r="K288" s="239">
        <v>293.64</v>
      </c>
      <c r="L288" s="239">
        <v>63.2</v>
      </c>
      <c r="M288" s="239">
        <v>363.15999999999997</v>
      </c>
      <c r="N288" s="129">
        <f t="shared" si="90"/>
        <v>0.8228898105593544</v>
      </c>
      <c r="O288" s="129">
        <f t="shared" si="91"/>
        <v>0.91222222222222216</v>
      </c>
      <c r="P288" s="129">
        <f t="shared" si="88"/>
        <v>0.44707673568818512</v>
      </c>
      <c r="Q288" s="114">
        <f t="shared" si="89"/>
        <v>106.89633564909414</v>
      </c>
      <c r="R288" s="5" t="str">
        <f t="shared" si="80"/>
        <v>PAMA</v>
      </c>
    </row>
    <row r="289" spans="1:18" s="4" customFormat="1" ht="15" customHeight="1">
      <c r="A289" s="64"/>
      <c r="B289" s="7">
        <f t="shared" si="92"/>
        <v>9</v>
      </c>
      <c r="C289" s="211" t="s">
        <v>10</v>
      </c>
      <c r="D289" s="211" t="s">
        <v>86</v>
      </c>
      <c r="E289" s="211" t="s">
        <v>15</v>
      </c>
      <c r="F289" s="211" t="s">
        <v>30</v>
      </c>
      <c r="G289" s="211">
        <v>2012</v>
      </c>
      <c r="H289" s="211" t="s">
        <v>25</v>
      </c>
      <c r="I289" s="256" t="s">
        <v>26</v>
      </c>
      <c r="J289" s="240">
        <v>19716.68</v>
      </c>
      <c r="K289" s="239">
        <v>290.79000000000002</v>
      </c>
      <c r="L289" s="239">
        <v>111.34</v>
      </c>
      <c r="M289" s="239">
        <v>317.86999999999995</v>
      </c>
      <c r="N289" s="129">
        <f t="shared" si="90"/>
        <v>0.72312436276825909</v>
      </c>
      <c r="O289" s="129">
        <f t="shared" si="91"/>
        <v>0.84536111111111112</v>
      </c>
      <c r="P289" s="129">
        <f t="shared" si="88"/>
        <v>0.47775441132980651</v>
      </c>
      <c r="Q289" s="114">
        <f t="shared" si="89"/>
        <v>67.803844698923612</v>
      </c>
      <c r="R289" s="5" t="b">
        <f t="shared" si="80"/>
        <v>0</v>
      </c>
    </row>
    <row r="290" spans="1:18" s="4" customFormat="1" ht="15" customHeight="1">
      <c r="A290" s="64"/>
      <c r="B290" s="7">
        <f t="shared" si="92"/>
        <v>10</v>
      </c>
      <c r="C290" s="211" t="s">
        <v>10</v>
      </c>
      <c r="D290" s="211" t="s">
        <v>498</v>
      </c>
      <c r="E290" s="211" t="s">
        <v>15</v>
      </c>
      <c r="F290" s="211" t="s">
        <v>30</v>
      </c>
      <c r="G290" s="211">
        <v>2010</v>
      </c>
      <c r="H290" s="211" t="s">
        <v>25</v>
      </c>
      <c r="I290" s="256" t="s">
        <v>26</v>
      </c>
      <c r="J290" s="240">
        <v>14796.76</v>
      </c>
      <c r="K290" s="239">
        <v>164.84</v>
      </c>
      <c r="L290" s="239">
        <v>7.15</v>
      </c>
      <c r="M290" s="239">
        <v>548.01</v>
      </c>
      <c r="N290" s="129">
        <f t="shared" si="90"/>
        <v>0.95842781557067269</v>
      </c>
      <c r="O290" s="129">
        <f t="shared" si="91"/>
        <v>0.99006944444444445</v>
      </c>
      <c r="P290" s="129">
        <f t="shared" si="88"/>
        <v>0.23124079399593181</v>
      </c>
      <c r="Q290" s="114">
        <f t="shared" si="89"/>
        <v>89.764377578257708</v>
      </c>
      <c r="R290" s="5" t="str">
        <f t="shared" si="80"/>
        <v>PAMA</v>
      </c>
    </row>
    <row r="291" spans="1:18" s="4" customFormat="1" ht="15" customHeight="1">
      <c r="A291" s="64"/>
      <c r="B291" s="7">
        <f t="shared" si="92"/>
        <v>11</v>
      </c>
      <c r="C291" s="211" t="s">
        <v>10</v>
      </c>
      <c r="D291" s="211" t="s">
        <v>300</v>
      </c>
      <c r="E291" s="211" t="s">
        <v>15</v>
      </c>
      <c r="F291" s="211" t="s">
        <v>30</v>
      </c>
      <c r="G291" s="211">
        <v>2011</v>
      </c>
      <c r="H291" s="211" t="s">
        <v>25</v>
      </c>
      <c r="I291" s="256" t="s">
        <v>26</v>
      </c>
      <c r="J291" s="240">
        <v>21160.25</v>
      </c>
      <c r="K291" s="239">
        <v>325.67</v>
      </c>
      <c r="L291" s="239">
        <v>20.77</v>
      </c>
      <c r="M291" s="239">
        <v>373.56</v>
      </c>
      <c r="N291" s="129">
        <f t="shared" si="90"/>
        <v>0.94004733864449841</v>
      </c>
      <c r="O291" s="129">
        <f t="shared" si="91"/>
        <v>0.97115277777777775</v>
      </c>
      <c r="P291" s="129">
        <f t="shared" si="88"/>
        <v>0.4657551878494916</v>
      </c>
      <c r="Q291" s="114">
        <f t="shared" si="89"/>
        <v>64.974514078668591</v>
      </c>
      <c r="R291" s="5" t="str">
        <f t="shared" si="80"/>
        <v>PAMA</v>
      </c>
    </row>
    <row r="292" spans="1:18" s="4" customFormat="1" ht="15" customHeight="1">
      <c r="A292" s="64"/>
      <c r="B292" s="7">
        <f t="shared" si="92"/>
        <v>12</v>
      </c>
      <c r="C292" s="211" t="s">
        <v>10</v>
      </c>
      <c r="D292" s="211" t="s">
        <v>301</v>
      </c>
      <c r="E292" s="211" t="s">
        <v>15</v>
      </c>
      <c r="F292" s="211" t="s">
        <v>30</v>
      </c>
      <c r="G292" s="211">
        <v>2011</v>
      </c>
      <c r="H292" s="211" t="s">
        <v>25</v>
      </c>
      <c r="I292" s="256" t="s">
        <v>26</v>
      </c>
      <c r="J292" s="240">
        <v>27459.14</v>
      </c>
      <c r="K292" s="239">
        <v>352.9</v>
      </c>
      <c r="L292" s="239">
        <v>15.43</v>
      </c>
      <c r="M292" s="239">
        <v>351.67000000000007</v>
      </c>
      <c r="N292" s="129">
        <f t="shared" si="90"/>
        <v>0.95810821817392011</v>
      </c>
      <c r="O292" s="129">
        <f t="shared" si="91"/>
        <v>0.97856944444444449</v>
      </c>
      <c r="P292" s="129">
        <f t="shared" si="88"/>
        <v>0.50087287281604376</v>
      </c>
      <c r="Q292" s="114">
        <f t="shared" si="89"/>
        <v>77.809974497024655</v>
      </c>
      <c r="R292" s="5" t="str">
        <f t="shared" si="80"/>
        <v>PAMA</v>
      </c>
    </row>
    <row r="293" spans="1:18" s="4" customFormat="1" ht="15" customHeight="1">
      <c r="A293" s="64"/>
      <c r="B293" s="7">
        <f t="shared" si="92"/>
        <v>13</v>
      </c>
      <c r="C293" s="211" t="s">
        <v>10</v>
      </c>
      <c r="D293" s="211" t="s">
        <v>503</v>
      </c>
      <c r="E293" s="211" t="s">
        <v>15</v>
      </c>
      <c r="F293" s="211" t="s">
        <v>30</v>
      </c>
      <c r="G293" s="211">
        <v>2011</v>
      </c>
      <c r="H293" s="211" t="s">
        <v>25</v>
      </c>
      <c r="I293" s="256" t="s">
        <v>26</v>
      </c>
      <c r="J293" s="240">
        <v>22457.439999999999</v>
      </c>
      <c r="K293" s="239">
        <v>308.93</v>
      </c>
      <c r="L293" s="239">
        <v>41.03</v>
      </c>
      <c r="M293" s="239">
        <v>370.04</v>
      </c>
      <c r="N293" s="129">
        <f t="shared" si="90"/>
        <v>0.88275802948908444</v>
      </c>
      <c r="O293" s="129">
        <f t="shared" si="91"/>
        <v>0.94301388888888893</v>
      </c>
      <c r="P293" s="129">
        <f t="shared" si="88"/>
        <v>0.4549980116941838</v>
      </c>
      <c r="Q293" s="114">
        <f t="shared" si="89"/>
        <v>72.694267309746536</v>
      </c>
      <c r="R293" s="5" t="str">
        <f t="shared" si="80"/>
        <v>PAMA</v>
      </c>
    </row>
    <row r="294" spans="1:18" s="4" customFormat="1" ht="15" customHeight="1">
      <c r="A294" s="64"/>
      <c r="B294" s="7">
        <f t="shared" si="92"/>
        <v>14</v>
      </c>
      <c r="C294" s="211" t="s">
        <v>10</v>
      </c>
      <c r="D294" s="211" t="s">
        <v>2239</v>
      </c>
      <c r="E294" s="211" t="s">
        <v>15</v>
      </c>
      <c r="F294" s="211" t="s">
        <v>30</v>
      </c>
      <c r="G294" s="211">
        <v>2011</v>
      </c>
      <c r="H294" s="211" t="s">
        <v>25</v>
      </c>
      <c r="I294" s="256" t="s">
        <v>26</v>
      </c>
      <c r="J294" s="240">
        <v>30045.19</v>
      </c>
      <c r="K294" s="239">
        <v>336.29</v>
      </c>
      <c r="L294" s="239">
        <v>8.2799999999999994</v>
      </c>
      <c r="M294" s="239">
        <v>375.43</v>
      </c>
      <c r="N294" s="129">
        <f t="shared" si="90"/>
        <v>0.97597004962707146</v>
      </c>
      <c r="O294" s="129">
        <f t="shared" si="91"/>
        <v>0.98850000000000005</v>
      </c>
      <c r="P294" s="129">
        <f t="shared" si="88"/>
        <v>0.47250323160793573</v>
      </c>
      <c r="Q294" s="114">
        <f t="shared" si="89"/>
        <v>89.343096731987259</v>
      </c>
      <c r="R294" s="5" t="str">
        <f t="shared" si="80"/>
        <v>PAMA</v>
      </c>
    </row>
    <row r="295" spans="1:18" s="4" customFormat="1" ht="15" customHeight="1">
      <c r="A295" s="64"/>
      <c r="B295" s="7">
        <f t="shared" si="92"/>
        <v>15</v>
      </c>
      <c r="C295" s="211" t="s">
        <v>10</v>
      </c>
      <c r="D295" s="211" t="s">
        <v>2135</v>
      </c>
      <c r="E295" s="211" t="s">
        <v>15</v>
      </c>
      <c r="F295" s="211" t="s">
        <v>30</v>
      </c>
      <c r="G295" s="211">
        <v>2017</v>
      </c>
      <c r="H295" s="211" t="s">
        <v>25</v>
      </c>
      <c r="I295" s="256" t="s">
        <v>26</v>
      </c>
      <c r="J295" s="240">
        <v>21622.92</v>
      </c>
      <c r="K295" s="239">
        <v>280.13</v>
      </c>
      <c r="L295" s="239">
        <v>11.2</v>
      </c>
      <c r="M295" s="239">
        <v>428.66999999999996</v>
      </c>
      <c r="N295" s="129">
        <f t="shared" si="90"/>
        <v>0.96155562420622664</v>
      </c>
      <c r="O295" s="129">
        <f t="shared" si="91"/>
        <v>0.98444444444444434</v>
      </c>
      <c r="P295" s="129">
        <f t="shared" si="88"/>
        <v>0.39521726862302486</v>
      </c>
      <c r="Q295" s="114">
        <f t="shared" si="89"/>
        <v>77.188876593010377</v>
      </c>
      <c r="R295" s="5" t="str">
        <f t="shared" si="80"/>
        <v>PAMA</v>
      </c>
    </row>
    <row r="296" spans="1:18" s="4" customFormat="1" ht="15" customHeight="1">
      <c r="A296" s="64"/>
      <c r="B296" s="7">
        <f t="shared" si="92"/>
        <v>16</v>
      </c>
      <c r="C296" s="211" t="s">
        <v>10</v>
      </c>
      <c r="D296" s="211" t="s">
        <v>303</v>
      </c>
      <c r="E296" s="211" t="s">
        <v>15</v>
      </c>
      <c r="F296" s="211" t="s">
        <v>30</v>
      </c>
      <c r="G296" s="211">
        <v>2011</v>
      </c>
      <c r="H296" s="211" t="s">
        <v>25</v>
      </c>
      <c r="I296" s="256" t="s">
        <v>26</v>
      </c>
      <c r="J296" s="240">
        <v>27101.55</v>
      </c>
      <c r="K296" s="239">
        <v>336.59</v>
      </c>
      <c r="L296" s="239">
        <v>17.420000000000002</v>
      </c>
      <c r="M296" s="239">
        <v>365.99000000000007</v>
      </c>
      <c r="N296" s="129">
        <f t="shared" si="90"/>
        <v>0.95079235049857347</v>
      </c>
      <c r="O296" s="129">
        <f t="shared" si="91"/>
        <v>0.97580555555555559</v>
      </c>
      <c r="P296" s="129">
        <f t="shared" si="88"/>
        <v>0.47907711577329265</v>
      </c>
      <c r="Q296" s="114">
        <f t="shared" si="89"/>
        <v>80.517989245075611</v>
      </c>
      <c r="R296" s="5" t="str">
        <f t="shared" si="80"/>
        <v>PAMA</v>
      </c>
    </row>
    <row r="297" spans="1:18" s="4" customFormat="1" ht="15" customHeight="1">
      <c r="A297" s="64"/>
      <c r="B297" s="7">
        <f t="shared" si="92"/>
        <v>17</v>
      </c>
      <c r="C297" s="211" t="s">
        <v>10</v>
      </c>
      <c r="D297" s="211" t="s">
        <v>507</v>
      </c>
      <c r="E297" s="211" t="s">
        <v>15</v>
      </c>
      <c r="F297" s="211" t="s">
        <v>30</v>
      </c>
      <c r="G297" s="211">
        <v>2017</v>
      </c>
      <c r="H297" s="211" t="s">
        <v>25</v>
      </c>
      <c r="I297" s="256" t="s">
        <v>26</v>
      </c>
      <c r="J297" s="240">
        <v>25501.97</v>
      </c>
      <c r="K297" s="239">
        <v>311.95</v>
      </c>
      <c r="L297" s="239">
        <v>13.27</v>
      </c>
      <c r="M297" s="239">
        <v>394.78000000000003</v>
      </c>
      <c r="N297" s="129">
        <f t="shared" si="90"/>
        <v>0.95919685136215493</v>
      </c>
      <c r="O297" s="129">
        <f t="shared" si="91"/>
        <v>0.98156944444444449</v>
      </c>
      <c r="P297" s="129">
        <f t="shared" si="88"/>
        <v>0.44139911989019848</v>
      </c>
      <c r="Q297" s="114">
        <f t="shared" si="89"/>
        <v>81.750184324410966</v>
      </c>
      <c r="R297" s="5" t="str">
        <f t="shared" si="80"/>
        <v>PAMA</v>
      </c>
    </row>
    <row r="298" spans="1:18" s="4" customFormat="1" ht="15" customHeight="1">
      <c r="A298" s="64"/>
      <c r="B298" s="7">
        <f t="shared" si="92"/>
        <v>18</v>
      </c>
      <c r="C298" s="211" t="s">
        <v>10</v>
      </c>
      <c r="D298" s="211" t="s">
        <v>449</v>
      </c>
      <c r="E298" s="211" t="s">
        <v>15</v>
      </c>
      <c r="F298" s="211" t="s">
        <v>30</v>
      </c>
      <c r="G298" s="211">
        <v>2019</v>
      </c>
      <c r="H298" s="211" t="s">
        <v>25</v>
      </c>
      <c r="I298" s="256" t="s">
        <v>26</v>
      </c>
      <c r="J298" s="240">
        <v>51811.77</v>
      </c>
      <c r="K298" s="239">
        <v>348.94</v>
      </c>
      <c r="L298" s="239">
        <v>46</v>
      </c>
      <c r="M298" s="239">
        <v>325.06</v>
      </c>
      <c r="N298" s="129">
        <f t="shared" si="90"/>
        <v>0.88352661163721069</v>
      </c>
      <c r="O298" s="129">
        <f t="shared" si="91"/>
        <v>0.93611111111111112</v>
      </c>
      <c r="P298" s="129">
        <f t="shared" si="88"/>
        <v>0.51771513353115728</v>
      </c>
      <c r="Q298" s="114">
        <f t="shared" si="89"/>
        <v>148.48332091477045</v>
      </c>
      <c r="R298" s="5" t="str">
        <f t="shared" si="80"/>
        <v>PAMA</v>
      </c>
    </row>
    <row r="299" spans="1:18" s="4" customFormat="1" ht="15" customHeight="1">
      <c r="A299" s="64"/>
      <c r="B299" s="7">
        <f t="shared" si="92"/>
        <v>19</v>
      </c>
      <c r="C299" s="211" t="s">
        <v>10</v>
      </c>
      <c r="D299" s="211" t="s">
        <v>2101</v>
      </c>
      <c r="E299" s="211" t="s">
        <v>15</v>
      </c>
      <c r="F299" s="211" t="s">
        <v>30</v>
      </c>
      <c r="G299" s="211">
        <v>2019</v>
      </c>
      <c r="H299" s="211" t="s">
        <v>25</v>
      </c>
      <c r="I299" s="256" t="s">
        <v>26</v>
      </c>
      <c r="J299" s="240">
        <v>35870.01</v>
      </c>
      <c r="K299" s="239">
        <v>279.72000000000003</v>
      </c>
      <c r="L299" s="239">
        <v>19.09</v>
      </c>
      <c r="M299" s="239">
        <v>421.18999999999994</v>
      </c>
      <c r="N299" s="129">
        <f t="shared" si="90"/>
        <v>0.93611324922191363</v>
      </c>
      <c r="O299" s="129">
        <f t="shared" si="91"/>
        <v>0.97348611111111105</v>
      </c>
      <c r="P299" s="129">
        <f t="shared" si="88"/>
        <v>0.39908119444721868</v>
      </c>
      <c r="Q299" s="114">
        <f t="shared" si="89"/>
        <v>128.23541398541397</v>
      </c>
      <c r="R299" s="5" t="str">
        <f t="shared" si="80"/>
        <v>PAMA</v>
      </c>
    </row>
    <row r="300" spans="1:18" s="4" customFormat="1" ht="15" customHeight="1">
      <c r="A300" s="64"/>
      <c r="B300" s="7">
        <f t="shared" si="92"/>
        <v>20</v>
      </c>
      <c r="C300" s="211" t="s">
        <v>10</v>
      </c>
      <c r="D300" s="211" t="s">
        <v>2099</v>
      </c>
      <c r="E300" s="211" t="s">
        <v>15</v>
      </c>
      <c r="F300" s="211" t="s">
        <v>30</v>
      </c>
      <c r="G300" s="211">
        <v>2019</v>
      </c>
      <c r="H300" s="211" t="s">
        <v>25</v>
      </c>
      <c r="I300" s="256" t="s">
        <v>26</v>
      </c>
      <c r="J300" s="240">
        <v>23330.16</v>
      </c>
      <c r="K300" s="239">
        <v>292.14999999999998</v>
      </c>
      <c r="L300" s="239">
        <v>19.260000000000002</v>
      </c>
      <c r="M300" s="239">
        <v>408.59000000000003</v>
      </c>
      <c r="N300" s="129">
        <f t="shared" si="90"/>
        <v>0.93815227513567323</v>
      </c>
      <c r="O300" s="129">
        <f t="shared" si="91"/>
        <v>0.97325000000000006</v>
      </c>
      <c r="P300" s="129">
        <f t="shared" si="88"/>
        <v>0.41691640266004504</v>
      </c>
      <c r="Q300" s="114">
        <f t="shared" si="89"/>
        <v>79.856785897655314</v>
      </c>
      <c r="R300" s="5" t="str">
        <f t="shared" si="80"/>
        <v>PAMA</v>
      </c>
    </row>
    <row r="301" spans="1:18" s="4" customFormat="1" ht="15" hidden="1" customHeight="1">
      <c r="A301" s="64"/>
      <c r="B301" s="7">
        <f t="shared" si="92"/>
        <v>21</v>
      </c>
      <c r="C301" s="211"/>
      <c r="D301" s="211"/>
      <c r="E301" s="211"/>
      <c r="F301" s="211"/>
      <c r="G301" s="211"/>
      <c r="H301" s="211"/>
      <c r="I301" s="256"/>
      <c r="J301" s="240"/>
      <c r="K301" s="239"/>
      <c r="L301" s="239"/>
      <c r="M301" s="239"/>
      <c r="N301" s="129" t="e">
        <f t="shared" si="90"/>
        <v>#DIV/0!</v>
      </c>
      <c r="O301" s="129" t="e">
        <f t="shared" si="91"/>
        <v>#DIV/0!</v>
      </c>
      <c r="P301" s="129" t="e">
        <f t="shared" si="88"/>
        <v>#DIV/0!</v>
      </c>
      <c r="Q301" s="114" t="e">
        <f t="shared" si="89"/>
        <v>#DIV/0!</v>
      </c>
      <c r="R301" s="5" t="e">
        <f t="shared" si="80"/>
        <v>#DIV/0!</v>
      </c>
    </row>
    <row r="302" spans="1:18" s="4" customFormat="1" ht="15" hidden="1" customHeight="1">
      <c r="A302" s="64"/>
      <c r="B302" s="7">
        <f t="shared" si="92"/>
        <v>22</v>
      </c>
      <c r="C302" s="211"/>
      <c r="D302" s="211"/>
      <c r="E302" s="211"/>
      <c r="F302" s="211"/>
      <c r="G302" s="211"/>
      <c r="H302" s="211"/>
      <c r="I302" s="256"/>
      <c r="J302" s="240"/>
      <c r="K302" s="239"/>
      <c r="L302" s="239"/>
      <c r="M302" s="239"/>
      <c r="N302" s="129" t="e">
        <f t="shared" si="90"/>
        <v>#DIV/0!</v>
      </c>
      <c r="O302" s="129" t="e">
        <f t="shared" si="91"/>
        <v>#DIV/0!</v>
      </c>
      <c r="P302" s="129" t="e">
        <f t="shared" si="88"/>
        <v>#DIV/0!</v>
      </c>
      <c r="Q302" s="114" t="e">
        <f t="shared" si="89"/>
        <v>#DIV/0!</v>
      </c>
      <c r="R302" s="5" t="e">
        <f t="shared" si="80"/>
        <v>#DIV/0!</v>
      </c>
    </row>
    <row r="303" spans="1:18" s="4" customFormat="1" ht="15" hidden="1" customHeight="1">
      <c r="A303" s="64"/>
      <c r="B303" s="7">
        <f t="shared" si="92"/>
        <v>23</v>
      </c>
      <c r="C303" s="211"/>
      <c r="D303" s="211"/>
      <c r="E303" s="211"/>
      <c r="F303" s="211"/>
      <c r="G303" s="211"/>
      <c r="H303" s="211"/>
      <c r="I303" s="256"/>
      <c r="J303" s="240"/>
      <c r="K303" s="239"/>
      <c r="L303" s="239"/>
      <c r="M303" s="239"/>
      <c r="N303" s="129" t="e">
        <f t="shared" si="90"/>
        <v>#DIV/0!</v>
      </c>
      <c r="O303" s="129" t="e">
        <f t="shared" si="91"/>
        <v>#DIV/0!</v>
      </c>
      <c r="P303" s="129" t="e">
        <f t="shared" si="88"/>
        <v>#DIV/0!</v>
      </c>
      <c r="Q303" s="114" t="e">
        <f t="shared" si="89"/>
        <v>#DIV/0!</v>
      </c>
      <c r="R303" s="5" t="e">
        <f t="shared" si="80"/>
        <v>#DIV/0!</v>
      </c>
    </row>
    <row r="304" spans="1:18" s="4" customFormat="1" ht="15" hidden="1" customHeight="1">
      <c r="A304" s="64"/>
      <c r="B304" s="7">
        <f t="shared" si="92"/>
        <v>24</v>
      </c>
      <c r="C304" s="211"/>
      <c r="D304" s="211"/>
      <c r="E304" s="211"/>
      <c r="F304" s="211"/>
      <c r="G304" s="211"/>
      <c r="H304" s="211"/>
      <c r="I304" s="256"/>
      <c r="J304" s="240"/>
      <c r="K304" s="239"/>
      <c r="L304" s="239"/>
      <c r="M304" s="239"/>
      <c r="N304" s="129" t="e">
        <f t="shared" si="90"/>
        <v>#DIV/0!</v>
      </c>
      <c r="O304" s="129" t="e">
        <f t="shared" si="91"/>
        <v>#DIV/0!</v>
      </c>
      <c r="P304" s="129" t="e">
        <f t="shared" si="88"/>
        <v>#DIV/0!</v>
      </c>
      <c r="Q304" s="114" t="e">
        <f t="shared" si="89"/>
        <v>#DIV/0!</v>
      </c>
      <c r="R304" s="5" t="e">
        <f t="shared" si="80"/>
        <v>#DIV/0!</v>
      </c>
    </row>
    <row r="305" spans="1:18" s="4" customFormat="1" ht="15" hidden="1" customHeight="1">
      <c r="A305" s="64"/>
      <c r="B305" s="7">
        <f t="shared" si="92"/>
        <v>25</v>
      </c>
      <c r="C305" s="211"/>
      <c r="D305" s="211"/>
      <c r="E305" s="211"/>
      <c r="F305" s="211"/>
      <c r="G305" s="211"/>
      <c r="H305" s="211"/>
      <c r="I305" s="256"/>
      <c r="J305" s="240"/>
      <c r="K305" s="239"/>
      <c r="L305" s="239"/>
      <c r="M305" s="239"/>
      <c r="N305" s="129"/>
      <c r="O305" s="129"/>
      <c r="P305" s="129"/>
      <c r="Q305" s="114"/>
      <c r="R305" s="5" t="b">
        <f t="shared" si="80"/>
        <v>0</v>
      </c>
    </row>
    <row r="306" spans="1:18" s="4" customFormat="1" ht="15" hidden="1" customHeight="1">
      <c r="A306" s="64"/>
      <c r="B306" s="7">
        <f t="shared" si="92"/>
        <v>26</v>
      </c>
      <c r="C306" s="211"/>
      <c r="D306" s="211"/>
      <c r="E306" s="211"/>
      <c r="F306" s="211"/>
      <c r="G306" s="211"/>
      <c r="H306" s="211"/>
      <c r="I306" s="256"/>
      <c r="J306" s="240"/>
      <c r="K306" s="239"/>
      <c r="L306" s="239"/>
      <c r="M306" s="239"/>
      <c r="N306" s="129"/>
      <c r="O306" s="129"/>
      <c r="P306" s="129"/>
      <c r="Q306" s="114"/>
      <c r="R306" s="5" t="b">
        <f t="shared" si="80"/>
        <v>0</v>
      </c>
    </row>
    <row r="307" spans="1:18" s="4" customFormat="1" ht="15" hidden="1" customHeight="1">
      <c r="A307" s="64"/>
      <c r="B307" s="7">
        <f t="shared" si="92"/>
        <v>27</v>
      </c>
      <c r="C307" s="211"/>
      <c r="D307" s="211"/>
      <c r="E307" s="211"/>
      <c r="F307" s="211"/>
      <c r="G307" s="211"/>
      <c r="H307" s="211"/>
      <c r="I307" s="256"/>
      <c r="J307" s="240"/>
      <c r="K307" s="239"/>
      <c r="L307" s="239"/>
      <c r="M307" s="239"/>
      <c r="N307" s="129"/>
      <c r="O307" s="129"/>
      <c r="P307" s="129"/>
      <c r="Q307" s="114"/>
      <c r="R307" s="5" t="b">
        <f t="shared" si="80"/>
        <v>0</v>
      </c>
    </row>
    <row r="308" spans="1:18" s="4" customFormat="1" ht="15" hidden="1" customHeight="1">
      <c r="A308" s="64"/>
      <c r="B308" s="7">
        <f t="shared" si="92"/>
        <v>28</v>
      </c>
      <c r="C308" s="211"/>
      <c r="D308" s="211"/>
      <c r="E308" s="211"/>
      <c r="F308" s="211"/>
      <c r="G308" s="211"/>
      <c r="H308" s="211"/>
      <c r="I308" s="256"/>
      <c r="J308" s="240"/>
      <c r="K308" s="239"/>
      <c r="L308" s="239"/>
      <c r="M308" s="239"/>
      <c r="N308" s="129"/>
      <c r="O308" s="129"/>
      <c r="P308" s="129"/>
      <c r="Q308" s="114"/>
      <c r="R308" s="5" t="b">
        <f t="shared" si="80"/>
        <v>0</v>
      </c>
    </row>
    <row r="309" spans="1:18" s="4" customFormat="1" ht="15" hidden="1" customHeight="1">
      <c r="A309" s="64"/>
      <c r="B309" s="7">
        <f t="shared" si="92"/>
        <v>29</v>
      </c>
      <c r="C309" s="211"/>
      <c r="D309" s="211"/>
      <c r="E309" s="211"/>
      <c r="F309" s="211"/>
      <c r="G309" s="211"/>
      <c r="H309" s="211"/>
      <c r="I309" s="256"/>
      <c r="J309" s="240"/>
      <c r="K309" s="239"/>
      <c r="L309" s="239"/>
      <c r="M309" s="239"/>
      <c r="N309" s="129"/>
      <c r="O309" s="129"/>
      <c r="P309" s="129"/>
      <c r="Q309" s="114"/>
      <c r="R309" s="5" t="b">
        <f t="shared" si="80"/>
        <v>0</v>
      </c>
    </row>
    <row r="310" spans="1:18" s="4" customFormat="1" ht="15" hidden="1" customHeight="1">
      <c r="A310" s="64"/>
      <c r="B310" s="7">
        <f t="shared" si="92"/>
        <v>30</v>
      </c>
      <c r="C310" s="211"/>
      <c r="D310" s="211"/>
      <c r="E310" s="211"/>
      <c r="F310" s="211"/>
      <c r="G310" s="211"/>
      <c r="H310" s="211"/>
      <c r="I310" s="256"/>
      <c r="J310" s="240"/>
      <c r="K310" s="239"/>
      <c r="L310" s="239"/>
      <c r="M310" s="239"/>
      <c r="N310" s="129"/>
      <c r="O310" s="129"/>
      <c r="P310" s="129"/>
      <c r="Q310" s="114"/>
      <c r="R310" s="5" t="b">
        <f t="shared" si="80"/>
        <v>0</v>
      </c>
    </row>
    <row r="311" spans="1:18" s="4" customFormat="1" ht="15" hidden="1" customHeight="1">
      <c r="A311" s="64"/>
      <c r="B311" s="7">
        <f>+B310+1</f>
        <v>31</v>
      </c>
      <c r="C311" s="211"/>
      <c r="D311" s="211"/>
      <c r="E311" s="211"/>
      <c r="F311" s="211"/>
      <c r="G311" s="211"/>
      <c r="H311" s="211"/>
      <c r="I311" s="256"/>
      <c r="J311" s="240"/>
      <c r="K311" s="239"/>
      <c r="L311" s="239"/>
      <c r="M311" s="239"/>
      <c r="N311" s="129"/>
      <c r="O311" s="129"/>
      <c r="P311" s="129"/>
      <c r="Q311" s="114"/>
      <c r="R311" s="5" t="b">
        <f t="shared" si="80"/>
        <v>0</v>
      </c>
    </row>
    <row r="312" spans="1:18" s="4" customFormat="1" ht="15" hidden="1" customHeight="1">
      <c r="A312" s="64"/>
      <c r="B312" s="7">
        <f t="shared" si="92"/>
        <v>32</v>
      </c>
      <c r="C312" s="211"/>
      <c r="D312" s="211"/>
      <c r="E312" s="211"/>
      <c r="F312" s="211"/>
      <c r="G312" s="211"/>
      <c r="H312" s="211"/>
      <c r="I312" s="256"/>
      <c r="J312" s="240"/>
      <c r="K312" s="239"/>
      <c r="L312" s="239"/>
      <c r="M312" s="239"/>
      <c r="N312" s="129"/>
      <c r="O312" s="129"/>
      <c r="P312" s="129"/>
      <c r="Q312" s="114"/>
      <c r="R312" s="5" t="b">
        <f t="shared" si="80"/>
        <v>0</v>
      </c>
    </row>
    <row r="313" spans="1:18" s="4" customFormat="1" ht="15" hidden="1" customHeight="1">
      <c r="A313" s="64"/>
      <c r="B313" s="7">
        <f t="shared" si="92"/>
        <v>33</v>
      </c>
      <c r="C313" s="211"/>
      <c r="D313" s="211"/>
      <c r="E313" s="211"/>
      <c r="F313" s="211"/>
      <c r="G313" s="211"/>
      <c r="H313" s="211"/>
      <c r="I313" s="256"/>
      <c r="J313" s="240"/>
      <c r="K313" s="239"/>
      <c r="L313" s="239"/>
      <c r="M313" s="239"/>
      <c r="N313" s="129"/>
      <c r="O313" s="129"/>
      <c r="P313" s="129"/>
      <c r="Q313" s="114"/>
      <c r="R313" s="5" t="b">
        <f t="shared" ref="R313:R376" si="93">IF(O313&gt;89.9999999999999%,"PAMA")</f>
        <v>0</v>
      </c>
    </row>
    <row r="314" spans="1:18" s="4" customFormat="1" ht="15" hidden="1" customHeight="1">
      <c r="A314" s="64"/>
      <c r="B314" s="7">
        <f t="shared" si="92"/>
        <v>34</v>
      </c>
      <c r="C314" s="211"/>
      <c r="D314" s="211"/>
      <c r="E314" s="211"/>
      <c r="F314" s="211"/>
      <c r="G314" s="211"/>
      <c r="H314" s="211"/>
      <c r="I314" s="256"/>
      <c r="J314" s="240"/>
      <c r="K314" s="239"/>
      <c r="L314" s="239"/>
      <c r="M314" s="239"/>
      <c r="N314" s="129"/>
      <c r="O314" s="129"/>
      <c r="P314" s="129"/>
      <c r="Q314" s="114"/>
      <c r="R314" s="5" t="b">
        <f t="shared" si="93"/>
        <v>0</v>
      </c>
    </row>
    <row r="315" spans="1:18" s="4" customFormat="1" ht="15" hidden="1" customHeight="1">
      <c r="A315" s="64"/>
      <c r="B315" s="7">
        <f t="shared" si="92"/>
        <v>35</v>
      </c>
      <c r="C315" s="211"/>
      <c r="D315" s="211"/>
      <c r="E315" s="211"/>
      <c r="F315" s="211"/>
      <c r="G315" s="211"/>
      <c r="H315" s="211"/>
      <c r="I315" s="256"/>
      <c r="J315" s="240"/>
      <c r="K315" s="239"/>
      <c r="L315" s="239"/>
      <c r="M315" s="239"/>
      <c r="N315" s="129"/>
      <c r="O315" s="129"/>
      <c r="P315" s="129"/>
      <c r="Q315" s="114"/>
      <c r="R315" s="5" t="b">
        <f t="shared" si="93"/>
        <v>0</v>
      </c>
    </row>
    <row r="316" spans="1:18" s="4" customFormat="1" ht="15" hidden="1" customHeight="1">
      <c r="A316" s="64"/>
      <c r="B316" s="7">
        <f t="shared" si="92"/>
        <v>36</v>
      </c>
      <c r="C316" s="211"/>
      <c r="D316" s="211"/>
      <c r="E316" s="211"/>
      <c r="F316" s="211"/>
      <c r="G316" s="211"/>
      <c r="H316" s="211"/>
      <c r="I316" s="256"/>
      <c r="J316" s="240"/>
      <c r="K316" s="239"/>
      <c r="L316" s="239"/>
      <c r="M316" s="239"/>
      <c r="N316" s="129"/>
      <c r="O316" s="129"/>
      <c r="P316" s="129"/>
      <c r="Q316" s="114"/>
      <c r="R316" s="5" t="b">
        <f t="shared" si="93"/>
        <v>0</v>
      </c>
    </row>
    <row r="317" spans="1:18" s="4" customFormat="1" ht="15" hidden="1" customHeight="1">
      <c r="A317" s="64"/>
      <c r="B317" s="7">
        <f t="shared" si="92"/>
        <v>37</v>
      </c>
      <c r="C317" s="211"/>
      <c r="D317" s="211"/>
      <c r="E317" s="211"/>
      <c r="F317" s="211"/>
      <c r="G317" s="211"/>
      <c r="H317" s="211"/>
      <c r="I317" s="256"/>
      <c r="J317" s="240"/>
      <c r="K317" s="239"/>
      <c r="L317" s="239"/>
      <c r="M317" s="239"/>
      <c r="N317" s="129"/>
      <c r="O317" s="129"/>
      <c r="P317" s="129"/>
      <c r="Q317" s="114"/>
      <c r="R317" s="5" t="b">
        <f t="shared" si="93"/>
        <v>0</v>
      </c>
    </row>
    <row r="318" spans="1:18" s="4" customFormat="1" ht="15" hidden="1" customHeight="1">
      <c r="A318" s="64"/>
      <c r="B318" s="7">
        <f t="shared" si="92"/>
        <v>38</v>
      </c>
      <c r="C318" s="7"/>
      <c r="D318" s="7"/>
      <c r="E318" s="7"/>
      <c r="F318" s="7"/>
      <c r="G318" s="7"/>
      <c r="H318" s="91"/>
      <c r="I318" s="115"/>
      <c r="J318" s="116"/>
      <c r="K318" s="116"/>
      <c r="L318" s="116"/>
      <c r="M318" s="258"/>
      <c r="N318" s="129"/>
      <c r="O318" s="129"/>
      <c r="P318" s="129"/>
      <c r="Q318" s="114"/>
      <c r="R318" s="5" t="b">
        <f t="shared" si="93"/>
        <v>0</v>
      </c>
    </row>
    <row r="319" spans="1:18" s="4" customFormat="1" ht="15" hidden="1" customHeight="1">
      <c r="A319" s="64"/>
      <c r="B319" s="7">
        <f t="shared" si="92"/>
        <v>39</v>
      </c>
      <c r="C319" s="7"/>
      <c r="D319" s="7"/>
      <c r="E319" s="7"/>
      <c r="F319" s="7"/>
      <c r="G319" s="7"/>
      <c r="H319" s="91"/>
      <c r="I319" s="115"/>
      <c r="J319" s="116"/>
      <c r="K319" s="116"/>
      <c r="L319" s="116"/>
      <c r="M319" s="258"/>
      <c r="N319" s="129"/>
      <c r="O319" s="129"/>
      <c r="P319" s="129"/>
      <c r="Q319" s="114"/>
      <c r="R319" s="5" t="b">
        <f t="shared" si="93"/>
        <v>0</v>
      </c>
    </row>
    <row r="320" spans="1:18" s="4" customFormat="1" ht="15" hidden="1" customHeight="1">
      <c r="A320" s="64"/>
      <c r="B320" s="7">
        <f t="shared" si="92"/>
        <v>40</v>
      </c>
      <c r="C320" s="7"/>
      <c r="D320" s="7"/>
      <c r="E320" s="7"/>
      <c r="F320" s="7"/>
      <c r="G320" s="7"/>
      <c r="H320" s="91"/>
      <c r="I320" s="115"/>
      <c r="J320" s="116"/>
      <c r="K320" s="116"/>
      <c r="L320" s="116"/>
      <c r="M320" s="129"/>
      <c r="N320" s="129" t="e">
        <f t="shared" ref="N320:N330" si="94">+K320/(K320+L320)</f>
        <v>#DIV/0!</v>
      </c>
      <c r="O320" s="129" t="e">
        <f t="shared" ref="O320:O330" si="95">+(K320+M320)/(K320+L320+M320)</f>
        <v>#DIV/0!</v>
      </c>
      <c r="P320" s="114" t="e">
        <f t="shared" ref="P320:P330" si="96">+K320/(K320+M320)</f>
        <v>#DIV/0!</v>
      </c>
      <c r="Q320" s="7" t="e">
        <f t="shared" ref="Q320:Q330" si="97">+J320/K320</f>
        <v>#DIV/0!</v>
      </c>
      <c r="R320" s="5" t="e">
        <f t="shared" si="93"/>
        <v>#DIV/0!</v>
      </c>
    </row>
    <row r="321" spans="1:18" s="4" customFormat="1" ht="15" hidden="1" customHeight="1">
      <c r="A321" s="64"/>
      <c r="B321" s="7">
        <f t="shared" si="92"/>
        <v>41</v>
      </c>
      <c r="C321" s="7"/>
      <c r="D321" s="7"/>
      <c r="E321" s="7"/>
      <c r="F321" s="7"/>
      <c r="G321" s="7"/>
      <c r="H321" s="91"/>
      <c r="I321" s="115"/>
      <c r="J321" s="116"/>
      <c r="K321" s="116"/>
      <c r="L321" s="116"/>
      <c r="M321" s="129"/>
      <c r="N321" s="129" t="e">
        <f t="shared" si="94"/>
        <v>#DIV/0!</v>
      </c>
      <c r="O321" s="129" t="e">
        <f t="shared" si="95"/>
        <v>#DIV/0!</v>
      </c>
      <c r="P321" s="114" t="e">
        <f t="shared" si="96"/>
        <v>#DIV/0!</v>
      </c>
      <c r="Q321" s="7" t="e">
        <f t="shared" si="97"/>
        <v>#DIV/0!</v>
      </c>
      <c r="R321" s="5" t="e">
        <f t="shared" si="93"/>
        <v>#DIV/0!</v>
      </c>
    </row>
    <row r="322" spans="1:18" s="4" customFormat="1" ht="15" hidden="1" customHeight="1">
      <c r="A322" s="64"/>
      <c r="B322" s="7">
        <f t="shared" si="92"/>
        <v>42</v>
      </c>
      <c r="C322" s="7"/>
      <c r="D322" s="7"/>
      <c r="E322" s="7"/>
      <c r="F322" s="7"/>
      <c r="G322" s="7"/>
      <c r="H322" s="91"/>
      <c r="I322" s="115"/>
      <c r="J322" s="116"/>
      <c r="K322" s="116"/>
      <c r="L322" s="116"/>
      <c r="M322" s="129"/>
      <c r="N322" s="129" t="e">
        <f t="shared" si="94"/>
        <v>#DIV/0!</v>
      </c>
      <c r="O322" s="129" t="e">
        <f t="shared" si="95"/>
        <v>#DIV/0!</v>
      </c>
      <c r="P322" s="114" t="e">
        <f t="shared" si="96"/>
        <v>#DIV/0!</v>
      </c>
      <c r="Q322" s="7" t="e">
        <f t="shared" si="97"/>
        <v>#DIV/0!</v>
      </c>
      <c r="R322" s="5" t="e">
        <f t="shared" si="93"/>
        <v>#DIV/0!</v>
      </c>
    </row>
    <row r="323" spans="1:18" s="4" customFormat="1" ht="15" hidden="1" customHeight="1">
      <c r="A323" s="64"/>
      <c r="B323" s="7">
        <f t="shared" si="92"/>
        <v>43</v>
      </c>
      <c r="C323" s="7"/>
      <c r="D323" s="7"/>
      <c r="E323" s="7"/>
      <c r="F323" s="7"/>
      <c r="G323" s="7"/>
      <c r="H323" s="91"/>
      <c r="I323" s="115"/>
      <c r="J323" s="116"/>
      <c r="K323" s="116"/>
      <c r="L323" s="116"/>
      <c r="M323" s="129"/>
      <c r="N323" s="129" t="e">
        <f t="shared" si="94"/>
        <v>#DIV/0!</v>
      </c>
      <c r="O323" s="129" t="e">
        <f t="shared" si="95"/>
        <v>#DIV/0!</v>
      </c>
      <c r="P323" s="114" t="e">
        <f t="shared" si="96"/>
        <v>#DIV/0!</v>
      </c>
      <c r="Q323" s="7" t="e">
        <f t="shared" si="97"/>
        <v>#DIV/0!</v>
      </c>
      <c r="R323" s="5" t="e">
        <f t="shared" si="93"/>
        <v>#DIV/0!</v>
      </c>
    </row>
    <row r="324" spans="1:18" s="4" customFormat="1" ht="15" hidden="1" customHeight="1">
      <c r="A324" s="64"/>
      <c r="B324" s="7">
        <f t="shared" si="92"/>
        <v>44</v>
      </c>
      <c r="C324" s="7"/>
      <c r="D324" s="7"/>
      <c r="E324" s="7"/>
      <c r="F324" s="7"/>
      <c r="G324" s="7"/>
      <c r="H324" s="91"/>
      <c r="I324" s="115"/>
      <c r="J324" s="116"/>
      <c r="K324" s="116"/>
      <c r="L324" s="116"/>
      <c r="M324" s="129"/>
      <c r="N324" s="129" t="e">
        <f t="shared" si="94"/>
        <v>#DIV/0!</v>
      </c>
      <c r="O324" s="129" t="e">
        <f t="shared" si="95"/>
        <v>#DIV/0!</v>
      </c>
      <c r="P324" s="114" t="e">
        <f t="shared" si="96"/>
        <v>#DIV/0!</v>
      </c>
      <c r="Q324" s="7" t="e">
        <f t="shared" si="97"/>
        <v>#DIV/0!</v>
      </c>
      <c r="R324" s="5" t="e">
        <f t="shared" si="93"/>
        <v>#DIV/0!</v>
      </c>
    </row>
    <row r="325" spans="1:18" s="4" customFormat="1" ht="15" hidden="1" customHeight="1">
      <c r="A325" s="64"/>
      <c r="B325" s="7">
        <f t="shared" si="92"/>
        <v>45</v>
      </c>
      <c r="C325" s="7"/>
      <c r="D325" s="7"/>
      <c r="E325" s="7"/>
      <c r="F325" s="7"/>
      <c r="G325" s="7"/>
      <c r="H325" s="91"/>
      <c r="I325" s="115"/>
      <c r="J325" s="116"/>
      <c r="K325" s="116"/>
      <c r="L325" s="116"/>
      <c r="M325" s="129"/>
      <c r="N325" s="129" t="e">
        <f t="shared" si="94"/>
        <v>#DIV/0!</v>
      </c>
      <c r="O325" s="129" t="e">
        <f t="shared" si="95"/>
        <v>#DIV/0!</v>
      </c>
      <c r="P325" s="114" t="e">
        <f t="shared" si="96"/>
        <v>#DIV/0!</v>
      </c>
      <c r="Q325" s="7" t="e">
        <f t="shared" si="97"/>
        <v>#DIV/0!</v>
      </c>
      <c r="R325" s="5" t="e">
        <f t="shared" si="93"/>
        <v>#DIV/0!</v>
      </c>
    </row>
    <row r="326" spans="1:18" s="4" customFormat="1" ht="15" hidden="1" customHeight="1">
      <c r="A326" s="64"/>
      <c r="B326" s="7">
        <f t="shared" si="92"/>
        <v>46</v>
      </c>
      <c r="C326" s="7"/>
      <c r="D326" s="7"/>
      <c r="E326" s="7"/>
      <c r="F326" s="7"/>
      <c r="G326" s="7"/>
      <c r="H326" s="91"/>
      <c r="I326" s="115"/>
      <c r="J326" s="116"/>
      <c r="K326" s="116"/>
      <c r="L326" s="116"/>
      <c r="M326" s="129"/>
      <c r="N326" s="129" t="e">
        <f t="shared" si="94"/>
        <v>#DIV/0!</v>
      </c>
      <c r="O326" s="129" t="e">
        <f t="shared" si="95"/>
        <v>#DIV/0!</v>
      </c>
      <c r="P326" s="114" t="e">
        <f t="shared" si="96"/>
        <v>#DIV/0!</v>
      </c>
      <c r="Q326" s="7" t="e">
        <f t="shared" si="97"/>
        <v>#DIV/0!</v>
      </c>
      <c r="R326" s="5" t="e">
        <f t="shared" si="93"/>
        <v>#DIV/0!</v>
      </c>
    </row>
    <row r="327" spans="1:18" s="4" customFormat="1" ht="15" hidden="1" customHeight="1">
      <c r="A327" s="64"/>
      <c r="B327" s="7">
        <f t="shared" si="92"/>
        <v>47</v>
      </c>
      <c r="C327" s="7"/>
      <c r="D327" s="7"/>
      <c r="E327" s="7"/>
      <c r="F327" s="7"/>
      <c r="G327" s="7"/>
      <c r="H327" s="91"/>
      <c r="I327" s="115"/>
      <c r="J327" s="116"/>
      <c r="K327" s="116"/>
      <c r="L327" s="116"/>
      <c r="M327" s="129"/>
      <c r="N327" s="129" t="e">
        <f t="shared" si="94"/>
        <v>#DIV/0!</v>
      </c>
      <c r="O327" s="129" t="e">
        <f t="shared" si="95"/>
        <v>#DIV/0!</v>
      </c>
      <c r="P327" s="114" t="e">
        <f t="shared" si="96"/>
        <v>#DIV/0!</v>
      </c>
      <c r="Q327" s="7" t="e">
        <f t="shared" si="97"/>
        <v>#DIV/0!</v>
      </c>
      <c r="R327" s="5" t="e">
        <f t="shared" si="93"/>
        <v>#DIV/0!</v>
      </c>
    </row>
    <row r="328" spans="1:18" s="4" customFormat="1" ht="15" hidden="1" customHeight="1">
      <c r="A328" s="64"/>
      <c r="B328" s="7">
        <f t="shared" si="92"/>
        <v>48</v>
      </c>
      <c r="C328" s="7"/>
      <c r="D328" s="7"/>
      <c r="E328" s="7"/>
      <c r="F328" s="7"/>
      <c r="G328" s="7"/>
      <c r="H328" s="91"/>
      <c r="I328" s="115"/>
      <c r="J328" s="116"/>
      <c r="K328" s="116"/>
      <c r="L328" s="116"/>
      <c r="M328" s="129"/>
      <c r="N328" s="129" t="e">
        <f t="shared" si="94"/>
        <v>#DIV/0!</v>
      </c>
      <c r="O328" s="129" t="e">
        <f t="shared" si="95"/>
        <v>#DIV/0!</v>
      </c>
      <c r="P328" s="114" t="e">
        <f t="shared" si="96"/>
        <v>#DIV/0!</v>
      </c>
      <c r="Q328" s="7" t="e">
        <f t="shared" si="97"/>
        <v>#DIV/0!</v>
      </c>
      <c r="R328" s="5" t="e">
        <f t="shared" si="93"/>
        <v>#DIV/0!</v>
      </c>
    </row>
    <row r="329" spans="1:18" s="4" customFormat="1" ht="15" hidden="1" customHeight="1">
      <c r="A329" s="64"/>
      <c r="B329" s="7">
        <f t="shared" si="92"/>
        <v>49</v>
      </c>
      <c r="C329" s="7"/>
      <c r="D329" s="7"/>
      <c r="E329" s="7"/>
      <c r="F329" s="7"/>
      <c r="G329" s="7"/>
      <c r="H329" s="91"/>
      <c r="I329" s="115"/>
      <c r="J329" s="116"/>
      <c r="K329" s="116"/>
      <c r="L329" s="116"/>
      <c r="M329" s="129"/>
      <c r="N329" s="129" t="e">
        <f t="shared" si="94"/>
        <v>#DIV/0!</v>
      </c>
      <c r="O329" s="129" t="e">
        <f t="shared" si="95"/>
        <v>#DIV/0!</v>
      </c>
      <c r="P329" s="114" t="e">
        <f t="shared" si="96"/>
        <v>#DIV/0!</v>
      </c>
      <c r="Q329" s="7" t="e">
        <f t="shared" si="97"/>
        <v>#DIV/0!</v>
      </c>
      <c r="R329" s="5" t="e">
        <f t="shared" si="93"/>
        <v>#DIV/0!</v>
      </c>
    </row>
    <row r="330" spans="1:18" s="4" customFormat="1" ht="15" hidden="1" customHeight="1">
      <c r="A330" s="64"/>
      <c r="B330" s="7">
        <f t="shared" si="92"/>
        <v>50</v>
      </c>
      <c r="C330" s="7"/>
      <c r="D330" s="7"/>
      <c r="E330" s="7"/>
      <c r="F330" s="7"/>
      <c r="G330" s="7"/>
      <c r="H330" s="91"/>
      <c r="I330" s="115"/>
      <c r="J330" s="116"/>
      <c r="K330" s="116"/>
      <c r="L330" s="116"/>
      <c r="M330" s="129"/>
      <c r="N330" s="129" t="e">
        <f t="shared" si="94"/>
        <v>#DIV/0!</v>
      </c>
      <c r="O330" s="129" t="e">
        <f t="shared" si="95"/>
        <v>#DIV/0!</v>
      </c>
      <c r="P330" s="114" t="e">
        <f t="shared" si="96"/>
        <v>#DIV/0!</v>
      </c>
      <c r="Q330" s="7" t="e">
        <f t="shared" si="97"/>
        <v>#DIV/0!</v>
      </c>
      <c r="R330" s="5" t="e">
        <f t="shared" si="93"/>
        <v>#DIV/0!</v>
      </c>
    </row>
    <row r="331" spans="1:18" s="4" customFormat="1" ht="15" hidden="1" customHeight="1">
      <c r="A331" s="64"/>
      <c r="B331" s="7">
        <f t="shared" si="92"/>
        <v>51</v>
      </c>
      <c r="C331" s="7"/>
      <c r="D331" s="7"/>
      <c r="E331" s="7"/>
      <c r="F331" s="7"/>
      <c r="G331" s="7"/>
      <c r="H331" s="91"/>
      <c r="I331" s="115"/>
      <c r="J331" s="116"/>
      <c r="K331" s="116"/>
      <c r="L331" s="116"/>
      <c r="M331" s="129"/>
      <c r="N331" s="129"/>
      <c r="O331" s="129"/>
      <c r="P331" s="114"/>
      <c r="Q331" s="7"/>
      <c r="R331" s="5" t="b">
        <f t="shared" si="93"/>
        <v>0</v>
      </c>
    </row>
    <row r="332" spans="1:18" s="4" customFormat="1" ht="15" hidden="1" customHeight="1">
      <c r="A332" s="64"/>
      <c r="B332" s="7">
        <f t="shared" si="92"/>
        <v>52</v>
      </c>
      <c r="C332" s="7"/>
      <c r="D332" s="7"/>
      <c r="E332" s="7"/>
      <c r="F332" s="7"/>
      <c r="G332" s="7"/>
      <c r="H332" s="91"/>
      <c r="I332" s="115"/>
      <c r="J332" s="116"/>
      <c r="K332" s="116"/>
      <c r="L332" s="116"/>
      <c r="M332" s="129"/>
      <c r="N332" s="129"/>
      <c r="O332" s="129"/>
      <c r="P332" s="114"/>
      <c r="Q332" s="7"/>
      <c r="R332" s="5" t="b">
        <f t="shared" si="93"/>
        <v>0</v>
      </c>
    </row>
    <row r="333" spans="1:18" s="4" customFormat="1" ht="15" hidden="1" customHeight="1">
      <c r="A333" s="64"/>
      <c r="B333" s="7">
        <f t="shared" si="92"/>
        <v>53</v>
      </c>
      <c r="C333" s="7"/>
      <c r="D333" s="7"/>
      <c r="E333" s="7"/>
      <c r="F333" s="7"/>
      <c r="G333" s="7"/>
      <c r="H333" s="91"/>
      <c r="I333" s="115"/>
      <c r="J333" s="116"/>
      <c r="K333" s="116"/>
      <c r="L333" s="116"/>
      <c r="M333" s="129"/>
      <c r="N333" s="129"/>
      <c r="O333" s="129"/>
      <c r="P333" s="114"/>
      <c r="Q333" s="7"/>
      <c r="R333" s="5" t="b">
        <f t="shared" si="93"/>
        <v>0</v>
      </c>
    </row>
    <row r="334" spans="1:18" s="4" customFormat="1" ht="15" hidden="1" customHeight="1">
      <c r="A334" s="64"/>
      <c r="B334" s="7">
        <f t="shared" si="92"/>
        <v>54</v>
      </c>
      <c r="C334" s="7"/>
      <c r="D334" s="7"/>
      <c r="E334" s="7"/>
      <c r="F334" s="7"/>
      <c r="G334" s="7"/>
      <c r="H334" s="91"/>
      <c r="I334" s="115"/>
      <c r="J334" s="116"/>
      <c r="K334" s="116"/>
      <c r="L334" s="116"/>
      <c r="M334" s="129"/>
      <c r="N334" s="129"/>
      <c r="O334" s="129"/>
      <c r="P334" s="114"/>
      <c r="Q334" s="7"/>
      <c r="R334" s="5" t="b">
        <f t="shared" si="93"/>
        <v>0</v>
      </c>
    </row>
    <row r="335" spans="1:18" s="4" customFormat="1" ht="15" hidden="1" customHeight="1">
      <c r="A335" s="64"/>
      <c r="B335" s="7">
        <f t="shared" si="92"/>
        <v>55</v>
      </c>
      <c r="C335" s="7"/>
      <c r="D335" s="7"/>
      <c r="E335" s="7"/>
      <c r="F335" s="7"/>
      <c r="G335" s="7"/>
      <c r="H335" s="91"/>
      <c r="I335" s="115"/>
      <c r="J335" s="116"/>
      <c r="K335" s="116"/>
      <c r="L335" s="116"/>
      <c r="M335" s="129"/>
      <c r="N335" s="129" t="e">
        <f t="shared" ref="N335" si="98">+K335/(K335+L335)</f>
        <v>#DIV/0!</v>
      </c>
      <c r="O335" s="129" t="e">
        <f t="shared" ref="O335" si="99">+(K335+M335)/(K335+L335+M335)</f>
        <v>#DIV/0!</v>
      </c>
      <c r="P335" s="114" t="e">
        <f>+K335/(K335+M335)</f>
        <v>#DIV/0!</v>
      </c>
      <c r="Q335" s="7" t="e">
        <f>+J335/K335</f>
        <v>#DIV/0!</v>
      </c>
      <c r="R335" s="5" t="e">
        <f t="shared" si="93"/>
        <v>#DIV/0!</v>
      </c>
    </row>
    <row r="336" spans="1:18" s="4" customFormat="1" ht="15" hidden="1" customHeight="1">
      <c r="A336" s="64"/>
      <c r="B336" s="7">
        <f t="shared" si="92"/>
        <v>56</v>
      </c>
      <c r="C336" s="7"/>
      <c r="D336" s="7"/>
      <c r="E336" s="7"/>
      <c r="F336" s="7"/>
      <c r="G336" s="7"/>
      <c r="H336" s="91"/>
      <c r="I336" s="115"/>
      <c r="J336" s="116"/>
      <c r="K336" s="116"/>
      <c r="L336" s="116"/>
      <c r="M336" s="129"/>
      <c r="N336" s="129"/>
      <c r="O336" s="129"/>
      <c r="P336" s="114"/>
      <c r="Q336" s="7"/>
      <c r="R336" s="5" t="b">
        <f t="shared" si="93"/>
        <v>0</v>
      </c>
    </row>
    <row r="337" spans="1:18" s="4" customFormat="1" ht="15" hidden="1" customHeight="1">
      <c r="A337" s="64"/>
      <c r="B337" s="7">
        <f t="shared" si="92"/>
        <v>57</v>
      </c>
      <c r="C337" s="7"/>
      <c r="D337" s="7"/>
      <c r="E337" s="7"/>
      <c r="F337" s="7"/>
      <c r="G337" s="7"/>
      <c r="H337" s="91"/>
      <c r="I337" s="115"/>
      <c r="J337" s="116"/>
      <c r="K337" s="116"/>
      <c r="L337" s="116"/>
      <c r="M337" s="129"/>
      <c r="N337" s="129"/>
      <c r="O337" s="129"/>
      <c r="P337" s="114"/>
      <c r="Q337" s="7"/>
      <c r="R337" s="5" t="b">
        <f t="shared" si="93"/>
        <v>0</v>
      </c>
    </row>
    <row r="338" spans="1:18" s="4" customFormat="1" ht="15" hidden="1" customHeight="1">
      <c r="A338" s="64"/>
      <c r="B338" s="7">
        <f t="shared" si="92"/>
        <v>58</v>
      </c>
      <c r="C338" s="7"/>
      <c r="D338" s="7"/>
      <c r="E338" s="7"/>
      <c r="F338" s="7"/>
      <c r="G338" s="7"/>
      <c r="H338" s="91"/>
      <c r="I338" s="115"/>
      <c r="J338" s="116"/>
      <c r="K338" s="116"/>
      <c r="L338" s="116"/>
      <c r="M338" s="129"/>
      <c r="N338" s="129" t="e">
        <f t="shared" ref="N338" si="100">+K338/(K338+L338)</f>
        <v>#DIV/0!</v>
      </c>
      <c r="O338" s="129" t="e">
        <f t="shared" ref="O338" si="101">+(K338+M338)/(K338+L338+M338)</f>
        <v>#DIV/0!</v>
      </c>
      <c r="P338" s="114" t="e">
        <f>+K338/(K338+M338)</f>
        <v>#DIV/0!</v>
      </c>
      <c r="Q338" s="7" t="e">
        <f>+J338/K338</f>
        <v>#DIV/0!</v>
      </c>
      <c r="R338" s="5" t="e">
        <f t="shared" si="93"/>
        <v>#DIV/0!</v>
      </c>
    </row>
    <row r="339" spans="1:18" s="4" customFormat="1" ht="15" hidden="1" customHeight="1">
      <c r="A339" s="64"/>
      <c r="B339" s="7">
        <f t="shared" si="92"/>
        <v>59</v>
      </c>
      <c r="C339" s="7"/>
      <c r="D339" s="7"/>
      <c r="E339" s="7"/>
      <c r="F339" s="7"/>
      <c r="G339" s="7"/>
      <c r="H339" s="91"/>
      <c r="I339" s="115"/>
      <c r="J339" s="116"/>
      <c r="K339" s="116"/>
      <c r="L339" s="116"/>
      <c r="M339" s="129"/>
      <c r="N339" s="129"/>
      <c r="O339" s="129"/>
      <c r="P339" s="114"/>
      <c r="Q339" s="7"/>
      <c r="R339" s="5" t="b">
        <f t="shared" si="93"/>
        <v>0</v>
      </c>
    </row>
    <row r="340" spans="1:18" s="4" customFormat="1" ht="15" hidden="1" customHeight="1">
      <c r="A340" s="64"/>
      <c r="B340" s="7">
        <f t="shared" si="92"/>
        <v>60</v>
      </c>
      <c r="C340" s="7"/>
      <c r="D340" s="7"/>
      <c r="E340" s="7"/>
      <c r="F340" s="7"/>
      <c r="G340" s="7"/>
      <c r="H340" s="91"/>
      <c r="I340" s="115"/>
      <c r="J340" s="116"/>
      <c r="K340" s="116"/>
      <c r="L340" s="116"/>
      <c r="M340" s="129"/>
      <c r="N340" s="129"/>
      <c r="O340" s="129"/>
      <c r="P340" s="114"/>
      <c r="Q340" s="7"/>
      <c r="R340" s="5" t="b">
        <f t="shared" si="93"/>
        <v>0</v>
      </c>
    </row>
    <row r="341" spans="1:18" s="4" customFormat="1" ht="15" hidden="1" customHeight="1">
      <c r="A341" s="64"/>
      <c r="B341" s="7">
        <f t="shared" si="92"/>
        <v>61</v>
      </c>
      <c r="C341" s="7"/>
      <c r="D341" s="7"/>
      <c r="E341" s="7"/>
      <c r="F341" s="7"/>
      <c r="G341" s="7"/>
      <c r="H341" s="91"/>
      <c r="I341" s="115"/>
      <c r="J341" s="116"/>
      <c r="K341" s="116"/>
      <c r="L341" s="116"/>
      <c r="M341" s="129"/>
      <c r="N341" s="129" t="e">
        <f t="shared" ref="N341" si="102">+K341/(K341+L341)</f>
        <v>#DIV/0!</v>
      </c>
      <c r="O341" s="129" t="e">
        <f t="shared" ref="O341" si="103">+(K341+M341)/(K341+L341+M341)</f>
        <v>#DIV/0!</v>
      </c>
      <c r="P341" s="114" t="e">
        <f>+K341/(K341+M341)</f>
        <v>#DIV/0!</v>
      </c>
      <c r="Q341" s="7" t="e">
        <f>+J341/K341</f>
        <v>#DIV/0!</v>
      </c>
      <c r="R341" s="5" t="e">
        <f t="shared" si="93"/>
        <v>#DIV/0!</v>
      </c>
    </row>
    <row r="342" spans="1:18" s="4" customFormat="1" ht="15" hidden="1" customHeight="1">
      <c r="A342" s="64"/>
      <c r="B342" s="7">
        <f t="shared" si="92"/>
        <v>62</v>
      </c>
      <c r="C342" s="7"/>
      <c r="D342" s="7"/>
      <c r="E342" s="7"/>
      <c r="F342" s="7"/>
      <c r="G342" s="7"/>
      <c r="H342" s="91"/>
      <c r="I342" s="115"/>
      <c r="J342" s="116"/>
      <c r="K342" s="116"/>
      <c r="L342" s="116"/>
      <c r="M342" s="129"/>
      <c r="N342" s="129"/>
      <c r="O342" s="129"/>
      <c r="P342" s="114"/>
      <c r="Q342" s="7"/>
      <c r="R342" s="5" t="b">
        <f t="shared" si="93"/>
        <v>0</v>
      </c>
    </row>
    <row r="343" spans="1:18" s="4" customFormat="1" ht="15" hidden="1" customHeight="1">
      <c r="A343" s="64"/>
      <c r="B343" s="7">
        <f t="shared" si="92"/>
        <v>63</v>
      </c>
      <c r="C343" s="7"/>
      <c r="D343" s="7"/>
      <c r="E343" s="7"/>
      <c r="F343" s="7"/>
      <c r="G343" s="7"/>
      <c r="H343" s="91"/>
      <c r="I343" s="115"/>
      <c r="J343" s="116"/>
      <c r="K343" s="116"/>
      <c r="L343" s="116"/>
      <c r="M343" s="129"/>
      <c r="N343" s="129" t="e">
        <f t="shared" ref="N343:N369" si="104">+K343/(K343+L343)</f>
        <v>#DIV/0!</v>
      </c>
      <c r="O343" s="129" t="e">
        <f t="shared" ref="O343:O369" si="105">+(K343+M343)/(K343+L343+M343)</f>
        <v>#DIV/0!</v>
      </c>
      <c r="P343" s="114" t="e">
        <f t="shared" ref="P343:P369" si="106">+K343/(K343+M343)</f>
        <v>#DIV/0!</v>
      </c>
      <c r="Q343" s="7" t="e">
        <f t="shared" ref="Q343:Q369" si="107">+J343/K343</f>
        <v>#DIV/0!</v>
      </c>
      <c r="R343" s="5" t="e">
        <f t="shared" si="93"/>
        <v>#DIV/0!</v>
      </c>
    </row>
    <row r="344" spans="1:18" s="4" customFormat="1" ht="15" hidden="1" customHeight="1">
      <c r="A344" s="64"/>
      <c r="B344" s="7">
        <f t="shared" si="92"/>
        <v>64</v>
      </c>
      <c r="C344" s="7"/>
      <c r="D344" s="7"/>
      <c r="E344" s="7"/>
      <c r="F344" s="7"/>
      <c r="G344" s="7"/>
      <c r="H344" s="91"/>
      <c r="I344" s="115"/>
      <c r="J344" s="116"/>
      <c r="K344" s="116"/>
      <c r="L344" s="116"/>
      <c r="M344" s="129"/>
      <c r="N344" s="129" t="e">
        <f t="shared" si="104"/>
        <v>#DIV/0!</v>
      </c>
      <c r="O344" s="129" t="e">
        <f t="shared" si="105"/>
        <v>#DIV/0!</v>
      </c>
      <c r="P344" s="114" t="e">
        <f t="shared" si="106"/>
        <v>#DIV/0!</v>
      </c>
      <c r="Q344" s="7" t="e">
        <f t="shared" si="107"/>
        <v>#DIV/0!</v>
      </c>
      <c r="R344" s="5" t="e">
        <f t="shared" si="93"/>
        <v>#DIV/0!</v>
      </c>
    </row>
    <row r="345" spans="1:18" s="4" customFormat="1" ht="15" hidden="1" customHeight="1">
      <c r="A345" s="64"/>
      <c r="B345" s="7">
        <f t="shared" si="92"/>
        <v>65</v>
      </c>
      <c r="C345" s="7"/>
      <c r="D345" s="7"/>
      <c r="E345" s="7"/>
      <c r="F345" s="7"/>
      <c r="G345" s="7"/>
      <c r="H345" s="91"/>
      <c r="I345" s="115"/>
      <c r="J345" s="116"/>
      <c r="K345" s="116"/>
      <c r="L345" s="116"/>
      <c r="M345" s="129"/>
      <c r="N345" s="129" t="e">
        <f t="shared" si="104"/>
        <v>#DIV/0!</v>
      </c>
      <c r="O345" s="129" t="e">
        <f t="shared" si="105"/>
        <v>#DIV/0!</v>
      </c>
      <c r="P345" s="114" t="e">
        <f t="shared" si="106"/>
        <v>#DIV/0!</v>
      </c>
      <c r="Q345" s="7" t="e">
        <f t="shared" si="107"/>
        <v>#DIV/0!</v>
      </c>
      <c r="R345" s="5" t="e">
        <f t="shared" si="93"/>
        <v>#DIV/0!</v>
      </c>
    </row>
    <row r="346" spans="1:18" s="4" customFormat="1" ht="15" hidden="1" customHeight="1">
      <c r="A346" s="64"/>
      <c r="B346" s="7">
        <f t="shared" si="92"/>
        <v>66</v>
      </c>
      <c r="C346" s="7"/>
      <c r="D346" s="7"/>
      <c r="E346" s="7"/>
      <c r="F346" s="7"/>
      <c r="G346" s="7"/>
      <c r="H346" s="91"/>
      <c r="I346" s="115"/>
      <c r="J346" s="116"/>
      <c r="K346" s="116"/>
      <c r="L346" s="116"/>
      <c r="M346" s="129"/>
      <c r="N346" s="129" t="e">
        <f t="shared" si="104"/>
        <v>#DIV/0!</v>
      </c>
      <c r="O346" s="129" t="e">
        <f t="shared" si="105"/>
        <v>#DIV/0!</v>
      </c>
      <c r="P346" s="114" t="e">
        <f t="shared" si="106"/>
        <v>#DIV/0!</v>
      </c>
      <c r="Q346" s="7" t="e">
        <f t="shared" si="107"/>
        <v>#DIV/0!</v>
      </c>
      <c r="R346" s="5" t="e">
        <f t="shared" si="93"/>
        <v>#DIV/0!</v>
      </c>
    </row>
    <row r="347" spans="1:18" s="4" customFormat="1" ht="15" hidden="1" customHeight="1">
      <c r="A347" s="64"/>
      <c r="B347" s="7">
        <f t="shared" ref="B347:B410" si="108">+B346+1</f>
        <v>67</v>
      </c>
      <c r="C347" s="7"/>
      <c r="D347" s="7"/>
      <c r="E347" s="7"/>
      <c r="F347" s="7"/>
      <c r="G347" s="7"/>
      <c r="H347" s="91"/>
      <c r="I347" s="115"/>
      <c r="J347" s="116"/>
      <c r="K347" s="116"/>
      <c r="L347" s="116"/>
      <c r="M347" s="129"/>
      <c r="N347" s="129" t="e">
        <f t="shared" si="104"/>
        <v>#DIV/0!</v>
      </c>
      <c r="O347" s="129" t="e">
        <f t="shared" si="105"/>
        <v>#DIV/0!</v>
      </c>
      <c r="P347" s="114" t="e">
        <f t="shared" si="106"/>
        <v>#DIV/0!</v>
      </c>
      <c r="Q347" s="7" t="e">
        <f t="shared" si="107"/>
        <v>#DIV/0!</v>
      </c>
      <c r="R347" s="5" t="e">
        <f t="shared" si="93"/>
        <v>#DIV/0!</v>
      </c>
    </row>
    <row r="348" spans="1:18" s="4" customFormat="1" ht="15" hidden="1" customHeight="1">
      <c r="A348" s="64"/>
      <c r="B348" s="7">
        <f t="shared" si="108"/>
        <v>68</v>
      </c>
      <c r="C348" s="7"/>
      <c r="D348" s="7"/>
      <c r="E348" s="7"/>
      <c r="F348" s="7"/>
      <c r="G348" s="7"/>
      <c r="H348" s="91"/>
      <c r="I348" s="115"/>
      <c r="J348" s="116"/>
      <c r="K348" s="116"/>
      <c r="L348" s="116"/>
      <c r="M348" s="129"/>
      <c r="N348" s="129" t="e">
        <f t="shared" si="104"/>
        <v>#DIV/0!</v>
      </c>
      <c r="O348" s="129" t="e">
        <f t="shared" si="105"/>
        <v>#DIV/0!</v>
      </c>
      <c r="P348" s="114" t="e">
        <f t="shared" si="106"/>
        <v>#DIV/0!</v>
      </c>
      <c r="Q348" s="7" t="e">
        <f t="shared" si="107"/>
        <v>#DIV/0!</v>
      </c>
      <c r="R348" s="5" t="e">
        <f t="shared" si="93"/>
        <v>#DIV/0!</v>
      </c>
    </row>
    <row r="349" spans="1:18" s="4" customFormat="1" ht="15" hidden="1" customHeight="1">
      <c r="A349" s="64"/>
      <c r="B349" s="7">
        <f t="shared" si="108"/>
        <v>69</v>
      </c>
      <c r="C349" s="7"/>
      <c r="D349" s="7"/>
      <c r="E349" s="7"/>
      <c r="F349" s="7"/>
      <c r="G349" s="7"/>
      <c r="H349" s="91"/>
      <c r="I349" s="115"/>
      <c r="J349" s="116"/>
      <c r="K349" s="116"/>
      <c r="L349" s="116"/>
      <c r="M349" s="129"/>
      <c r="N349" s="129" t="e">
        <f t="shared" si="104"/>
        <v>#DIV/0!</v>
      </c>
      <c r="O349" s="129" t="e">
        <f t="shared" si="105"/>
        <v>#DIV/0!</v>
      </c>
      <c r="P349" s="114" t="e">
        <f t="shared" si="106"/>
        <v>#DIV/0!</v>
      </c>
      <c r="Q349" s="7" t="e">
        <f t="shared" si="107"/>
        <v>#DIV/0!</v>
      </c>
      <c r="R349" s="5" t="e">
        <f t="shared" si="93"/>
        <v>#DIV/0!</v>
      </c>
    </row>
    <row r="350" spans="1:18" s="4" customFormat="1" ht="15" hidden="1" customHeight="1">
      <c r="A350" s="64"/>
      <c r="B350" s="7">
        <f t="shared" si="108"/>
        <v>70</v>
      </c>
      <c r="C350" s="7"/>
      <c r="D350" s="7"/>
      <c r="E350" s="7"/>
      <c r="F350" s="7"/>
      <c r="G350" s="7"/>
      <c r="H350" s="91"/>
      <c r="I350" s="115"/>
      <c r="J350" s="116"/>
      <c r="K350" s="116"/>
      <c r="L350" s="116"/>
      <c r="M350" s="129"/>
      <c r="N350" s="129" t="e">
        <f t="shared" si="104"/>
        <v>#DIV/0!</v>
      </c>
      <c r="O350" s="129" t="e">
        <f t="shared" si="105"/>
        <v>#DIV/0!</v>
      </c>
      <c r="P350" s="114" t="e">
        <f t="shared" si="106"/>
        <v>#DIV/0!</v>
      </c>
      <c r="Q350" s="7" t="e">
        <f t="shared" si="107"/>
        <v>#DIV/0!</v>
      </c>
      <c r="R350" s="5" t="e">
        <f t="shared" si="93"/>
        <v>#DIV/0!</v>
      </c>
    </row>
    <row r="351" spans="1:18" s="4" customFormat="1" ht="15" hidden="1" customHeight="1">
      <c r="A351" s="64"/>
      <c r="B351" s="7">
        <f t="shared" si="108"/>
        <v>71</v>
      </c>
      <c r="C351" s="7"/>
      <c r="D351" s="7"/>
      <c r="E351" s="7"/>
      <c r="F351" s="7"/>
      <c r="G351" s="7"/>
      <c r="H351" s="91"/>
      <c r="I351" s="115"/>
      <c r="J351" s="116"/>
      <c r="K351" s="116"/>
      <c r="L351" s="116"/>
      <c r="M351" s="129"/>
      <c r="N351" s="129" t="e">
        <f t="shared" si="104"/>
        <v>#DIV/0!</v>
      </c>
      <c r="O351" s="129" t="e">
        <f t="shared" si="105"/>
        <v>#DIV/0!</v>
      </c>
      <c r="P351" s="114" t="e">
        <f t="shared" si="106"/>
        <v>#DIV/0!</v>
      </c>
      <c r="Q351" s="7" t="e">
        <f t="shared" si="107"/>
        <v>#DIV/0!</v>
      </c>
      <c r="R351" s="5" t="e">
        <f t="shared" si="93"/>
        <v>#DIV/0!</v>
      </c>
    </row>
    <row r="352" spans="1:18" s="4" customFormat="1" ht="15" hidden="1" customHeight="1">
      <c r="A352" s="64"/>
      <c r="B352" s="7">
        <f t="shared" si="108"/>
        <v>72</v>
      </c>
      <c r="C352" s="7"/>
      <c r="D352" s="7"/>
      <c r="E352" s="7"/>
      <c r="F352" s="7"/>
      <c r="G352" s="7"/>
      <c r="H352" s="91"/>
      <c r="I352" s="115"/>
      <c r="J352" s="116"/>
      <c r="K352" s="116"/>
      <c r="L352" s="116"/>
      <c r="M352" s="129"/>
      <c r="N352" s="129" t="e">
        <f t="shared" si="104"/>
        <v>#DIV/0!</v>
      </c>
      <c r="O352" s="129" t="e">
        <f t="shared" si="105"/>
        <v>#DIV/0!</v>
      </c>
      <c r="P352" s="114" t="e">
        <f t="shared" si="106"/>
        <v>#DIV/0!</v>
      </c>
      <c r="Q352" s="7" t="e">
        <f t="shared" si="107"/>
        <v>#DIV/0!</v>
      </c>
      <c r="R352" s="5" t="e">
        <f t="shared" si="93"/>
        <v>#DIV/0!</v>
      </c>
    </row>
    <row r="353" spans="1:18" s="4" customFormat="1" ht="15" hidden="1" customHeight="1">
      <c r="A353" s="64"/>
      <c r="B353" s="7">
        <f t="shared" si="108"/>
        <v>73</v>
      </c>
      <c r="C353" s="7"/>
      <c r="D353" s="7"/>
      <c r="E353" s="7"/>
      <c r="F353" s="7"/>
      <c r="G353" s="7"/>
      <c r="H353" s="91"/>
      <c r="I353" s="115"/>
      <c r="J353" s="116"/>
      <c r="K353" s="116"/>
      <c r="L353" s="116"/>
      <c r="M353" s="129"/>
      <c r="N353" s="129" t="e">
        <f t="shared" si="104"/>
        <v>#DIV/0!</v>
      </c>
      <c r="O353" s="129" t="e">
        <f t="shared" si="105"/>
        <v>#DIV/0!</v>
      </c>
      <c r="P353" s="114" t="e">
        <f t="shared" si="106"/>
        <v>#DIV/0!</v>
      </c>
      <c r="Q353" s="7" t="e">
        <f t="shared" si="107"/>
        <v>#DIV/0!</v>
      </c>
      <c r="R353" s="5" t="e">
        <f t="shared" si="93"/>
        <v>#DIV/0!</v>
      </c>
    </row>
    <row r="354" spans="1:18" s="4" customFormat="1" ht="15" hidden="1" customHeight="1">
      <c r="A354" s="64"/>
      <c r="B354" s="7">
        <f t="shared" si="108"/>
        <v>74</v>
      </c>
      <c r="C354" s="7"/>
      <c r="D354" s="7"/>
      <c r="E354" s="7"/>
      <c r="F354" s="7"/>
      <c r="G354" s="7"/>
      <c r="H354" s="91"/>
      <c r="I354" s="115"/>
      <c r="J354" s="116"/>
      <c r="K354" s="116"/>
      <c r="L354" s="116"/>
      <c r="M354" s="129"/>
      <c r="N354" s="129" t="e">
        <f t="shared" si="104"/>
        <v>#DIV/0!</v>
      </c>
      <c r="O354" s="129" t="e">
        <f t="shared" si="105"/>
        <v>#DIV/0!</v>
      </c>
      <c r="P354" s="114" t="e">
        <f t="shared" si="106"/>
        <v>#DIV/0!</v>
      </c>
      <c r="Q354" s="7" t="e">
        <f t="shared" si="107"/>
        <v>#DIV/0!</v>
      </c>
      <c r="R354" s="5" t="e">
        <f t="shared" si="93"/>
        <v>#DIV/0!</v>
      </c>
    </row>
    <row r="355" spans="1:18" s="4" customFormat="1" ht="15" hidden="1" customHeight="1">
      <c r="A355" s="64"/>
      <c r="B355" s="7">
        <f t="shared" si="108"/>
        <v>75</v>
      </c>
      <c r="C355" s="7"/>
      <c r="D355" s="7"/>
      <c r="E355" s="7"/>
      <c r="F355" s="7"/>
      <c r="G355" s="7"/>
      <c r="H355" s="91"/>
      <c r="I355" s="115"/>
      <c r="J355" s="116"/>
      <c r="K355" s="116"/>
      <c r="L355" s="116"/>
      <c r="M355" s="129"/>
      <c r="N355" s="129" t="e">
        <f t="shared" si="104"/>
        <v>#DIV/0!</v>
      </c>
      <c r="O355" s="129" t="e">
        <f t="shared" si="105"/>
        <v>#DIV/0!</v>
      </c>
      <c r="P355" s="114" t="e">
        <f t="shared" si="106"/>
        <v>#DIV/0!</v>
      </c>
      <c r="Q355" s="7" t="e">
        <f t="shared" si="107"/>
        <v>#DIV/0!</v>
      </c>
      <c r="R355" s="5" t="e">
        <f t="shared" si="93"/>
        <v>#DIV/0!</v>
      </c>
    </row>
    <row r="356" spans="1:18" s="4" customFormat="1" ht="15" hidden="1" customHeight="1">
      <c r="A356" s="64"/>
      <c r="B356" s="7">
        <f t="shared" si="108"/>
        <v>76</v>
      </c>
      <c r="C356" s="7"/>
      <c r="D356" s="7"/>
      <c r="E356" s="7"/>
      <c r="F356" s="7"/>
      <c r="G356" s="7"/>
      <c r="H356" s="91"/>
      <c r="I356" s="115"/>
      <c r="J356" s="116"/>
      <c r="K356" s="116"/>
      <c r="L356" s="116"/>
      <c r="M356" s="129"/>
      <c r="N356" s="129" t="e">
        <f t="shared" si="104"/>
        <v>#DIV/0!</v>
      </c>
      <c r="O356" s="129" t="e">
        <f t="shared" si="105"/>
        <v>#DIV/0!</v>
      </c>
      <c r="P356" s="114" t="e">
        <f t="shared" si="106"/>
        <v>#DIV/0!</v>
      </c>
      <c r="Q356" s="7" t="e">
        <f t="shared" si="107"/>
        <v>#DIV/0!</v>
      </c>
      <c r="R356" s="5" t="e">
        <f t="shared" si="93"/>
        <v>#DIV/0!</v>
      </c>
    </row>
    <row r="357" spans="1:18" s="4" customFormat="1" ht="15" hidden="1" customHeight="1">
      <c r="A357" s="64"/>
      <c r="B357" s="7">
        <f t="shared" si="108"/>
        <v>77</v>
      </c>
      <c r="C357" s="7"/>
      <c r="D357" s="7"/>
      <c r="E357" s="7"/>
      <c r="F357" s="7"/>
      <c r="G357" s="7"/>
      <c r="H357" s="91"/>
      <c r="I357" s="115"/>
      <c r="J357" s="116"/>
      <c r="K357" s="116"/>
      <c r="L357" s="116"/>
      <c r="M357" s="129"/>
      <c r="N357" s="129" t="e">
        <f t="shared" si="104"/>
        <v>#DIV/0!</v>
      </c>
      <c r="O357" s="129" t="e">
        <f t="shared" si="105"/>
        <v>#DIV/0!</v>
      </c>
      <c r="P357" s="114" t="e">
        <f t="shared" si="106"/>
        <v>#DIV/0!</v>
      </c>
      <c r="Q357" s="7" t="e">
        <f t="shared" si="107"/>
        <v>#DIV/0!</v>
      </c>
      <c r="R357" s="5" t="e">
        <f t="shared" si="93"/>
        <v>#DIV/0!</v>
      </c>
    </row>
    <row r="358" spans="1:18" s="4" customFormat="1" ht="15" hidden="1" customHeight="1">
      <c r="A358" s="64"/>
      <c r="B358" s="7">
        <f t="shared" si="108"/>
        <v>78</v>
      </c>
      <c r="C358" s="7"/>
      <c r="D358" s="7"/>
      <c r="E358" s="7"/>
      <c r="F358" s="7"/>
      <c r="G358" s="7"/>
      <c r="H358" s="91"/>
      <c r="I358" s="115"/>
      <c r="J358" s="116"/>
      <c r="K358" s="116"/>
      <c r="L358" s="116"/>
      <c r="M358" s="129"/>
      <c r="N358" s="129" t="e">
        <f t="shared" si="104"/>
        <v>#DIV/0!</v>
      </c>
      <c r="O358" s="129" t="e">
        <f t="shared" si="105"/>
        <v>#DIV/0!</v>
      </c>
      <c r="P358" s="114" t="e">
        <f t="shared" si="106"/>
        <v>#DIV/0!</v>
      </c>
      <c r="Q358" s="7" t="e">
        <f t="shared" si="107"/>
        <v>#DIV/0!</v>
      </c>
      <c r="R358" s="5" t="e">
        <f t="shared" si="93"/>
        <v>#DIV/0!</v>
      </c>
    </row>
    <row r="359" spans="1:18" s="4" customFormat="1" ht="15" hidden="1" customHeight="1">
      <c r="A359" s="64"/>
      <c r="B359" s="7">
        <f t="shared" si="108"/>
        <v>79</v>
      </c>
      <c r="C359" s="7"/>
      <c r="D359" s="7"/>
      <c r="E359" s="7"/>
      <c r="F359" s="7"/>
      <c r="G359" s="7"/>
      <c r="H359" s="91"/>
      <c r="I359" s="115"/>
      <c r="J359" s="116"/>
      <c r="K359" s="116"/>
      <c r="L359" s="116"/>
      <c r="M359" s="129"/>
      <c r="N359" s="129" t="e">
        <f t="shared" si="104"/>
        <v>#DIV/0!</v>
      </c>
      <c r="O359" s="129" t="e">
        <f t="shared" si="105"/>
        <v>#DIV/0!</v>
      </c>
      <c r="P359" s="114" t="e">
        <f t="shared" si="106"/>
        <v>#DIV/0!</v>
      </c>
      <c r="Q359" s="7" t="e">
        <f t="shared" si="107"/>
        <v>#DIV/0!</v>
      </c>
      <c r="R359" s="5" t="e">
        <f t="shared" si="93"/>
        <v>#DIV/0!</v>
      </c>
    </row>
    <row r="360" spans="1:18" s="4" customFormat="1" ht="15" hidden="1" customHeight="1">
      <c r="A360" s="64"/>
      <c r="B360" s="7">
        <f t="shared" si="108"/>
        <v>80</v>
      </c>
      <c r="C360" s="7"/>
      <c r="D360" s="7"/>
      <c r="E360" s="7"/>
      <c r="F360" s="7"/>
      <c r="G360" s="7"/>
      <c r="H360" s="91"/>
      <c r="I360" s="115"/>
      <c r="J360" s="116"/>
      <c r="K360" s="116"/>
      <c r="L360" s="116"/>
      <c r="M360" s="129"/>
      <c r="N360" s="129" t="e">
        <f t="shared" si="104"/>
        <v>#DIV/0!</v>
      </c>
      <c r="O360" s="129" t="e">
        <f t="shared" si="105"/>
        <v>#DIV/0!</v>
      </c>
      <c r="P360" s="114" t="e">
        <f t="shared" si="106"/>
        <v>#DIV/0!</v>
      </c>
      <c r="Q360" s="7" t="e">
        <f t="shared" si="107"/>
        <v>#DIV/0!</v>
      </c>
      <c r="R360" s="5" t="e">
        <f t="shared" si="93"/>
        <v>#DIV/0!</v>
      </c>
    </row>
    <row r="361" spans="1:18" s="4" customFormat="1" ht="15" hidden="1" customHeight="1">
      <c r="A361" s="64"/>
      <c r="B361" s="7">
        <f t="shared" si="108"/>
        <v>81</v>
      </c>
      <c r="C361" s="7"/>
      <c r="D361" s="7"/>
      <c r="E361" s="7"/>
      <c r="F361" s="7"/>
      <c r="G361" s="7"/>
      <c r="H361" s="91"/>
      <c r="I361" s="115"/>
      <c r="J361" s="116"/>
      <c r="K361" s="116"/>
      <c r="L361" s="116"/>
      <c r="M361" s="129"/>
      <c r="N361" s="129" t="e">
        <f t="shared" si="104"/>
        <v>#DIV/0!</v>
      </c>
      <c r="O361" s="129" t="e">
        <f t="shared" si="105"/>
        <v>#DIV/0!</v>
      </c>
      <c r="P361" s="114" t="e">
        <f t="shared" si="106"/>
        <v>#DIV/0!</v>
      </c>
      <c r="Q361" s="7" t="e">
        <f t="shared" si="107"/>
        <v>#DIV/0!</v>
      </c>
      <c r="R361" s="5" t="e">
        <f t="shared" si="93"/>
        <v>#DIV/0!</v>
      </c>
    </row>
    <row r="362" spans="1:18" s="4" customFormat="1" ht="15" hidden="1" customHeight="1">
      <c r="A362" s="64"/>
      <c r="B362" s="7">
        <f t="shared" si="108"/>
        <v>82</v>
      </c>
      <c r="C362" s="7"/>
      <c r="D362" s="7"/>
      <c r="E362" s="7"/>
      <c r="F362" s="7"/>
      <c r="G362" s="7"/>
      <c r="H362" s="91"/>
      <c r="I362" s="115"/>
      <c r="J362" s="116"/>
      <c r="K362" s="116"/>
      <c r="L362" s="116"/>
      <c r="M362" s="129"/>
      <c r="N362" s="129" t="e">
        <f t="shared" si="104"/>
        <v>#DIV/0!</v>
      </c>
      <c r="O362" s="129" t="e">
        <f t="shared" si="105"/>
        <v>#DIV/0!</v>
      </c>
      <c r="P362" s="114" t="e">
        <f t="shared" si="106"/>
        <v>#DIV/0!</v>
      </c>
      <c r="Q362" s="7" t="e">
        <f t="shared" si="107"/>
        <v>#DIV/0!</v>
      </c>
      <c r="R362" s="5" t="e">
        <f t="shared" si="93"/>
        <v>#DIV/0!</v>
      </c>
    </row>
    <row r="363" spans="1:18" s="4" customFormat="1" ht="15" hidden="1" customHeight="1">
      <c r="A363" s="64"/>
      <c r="B363" s="7">
        <f t="shared" si="108"/>
        <v>83</v>
      </c>
      <c r="C363" s="7"/>
      <c r="D363" s="7"/>
      <c r="E363" s="7"/>
      <c r="F363" s="7"/>
      <c r="G363" s="7"/>
      <c r="H363" s="91"/>
      <c r="I363" s="115"/>
      <c r="J363" s="116"/>
      <c r="K363" s="116"/>
      <c r="L363" s="116"/>
      <c r="M363" s="129"/>
      <c r="N363" s="129" t="e">
        <f t="shared" si="104"/>
        <v>#DIV/0!</v>
      </c>
      <c r="O363" s="129" t="e">
        <f t="shared" si="105"/>
        <v>#DIV/0!</v>
      </c>
      <c r="P363" s="114" t="e">
        <f t="shared" si="106"/>
        <v>#DIV/0!</v>
      </c>
      <c r="Q363" s="7" t="e">
        <f t="shared" si="107"/>
        <v>#DIV/0!</v>
      </c>
      <c r="R363" s="5" t="e">
        <f t="shared" si="93"/>
        <v>#DIV/0!</v>
      </c>
    </row>
    <row r="364" spans="1:18" s="4" customFormat="1" ht="15" hidden="1" customHeight="1">
      <c r="A364" s="64"/>
      <c r="B364" s="7">
        <f t="shared" si="108"/>
        <v>84</v>
      </c>
      <c r="C364" s="7"/>
      <c r="D364" s="7"/>
      <c r="E364" s="7"/>
      <c r="F364" s="7"/>
      <c r="G364" s="7"/>
      <c r="H364" s="91"/>
      <c r="I364" s="115"/>
      <c r="J364" s="116"/>
      <c r="K364" s="116"/>
      <c r="L364" s="116"/>
      <c r="M364" s="129"/>
      <c r="N364" s="129" t="e">
        <f t="shared" si="104"/>
        <v>#DIV/0!</v>
      </c>
      <c r="O364" s="129" t="e">
        <f t="shared" si="105"/>
        <v>#DIV/0!</v>
      </c>
      <c r="P364" s="114" t="e">
        <f t="shared" si="106"/>
        <v>#DIV/0!</v>
      </c>
      <c r="Q364" s="7" t="e">
        <f t="shared" si="107"/>
        <v>#DIV/0!</v>
      </c>
      <c r="R364" s="5" t="e">
        <f t="shared" si="93"/>
        <v>#DIV/0!</v>
      </c>
    </row>
    <row r="365" spans="1:18" s="4" customFormat="1" ht="15" hidden="1" customHeight="1">
      <c r="A365" s="64"/>
      <c r="B365" s="7">
        <f t="shared" si="108"/>
        <v>85</v>
      </c>
      <c r="C365" s="7"/>
      <c r="D365" s="7"/>
      <c r="E365" s="7"/>
      <c r="F365" s="7"/>
      <c r="G365" s="7"/>
      <c r="H365" s="91"/>
      <c r="I365" s="115"/>
      <c r="J365" s="116"/>
      <c r="K365" s="116"/>
      <c r="L365" s="116"/>
      <c r="M365" s="129"/>
      <c r="N365" s="129" t="e">
        <f t="shared" si="104"/>
        <v>#DIV/0!</v>
      </c>
      <c r="O365" s="129" t="e">
        <f t="shared" si="105"/>
        <v>#DIV/0!</v>
      </c>
      <c r="P365" s="114" t="e">
        <f t="shared" si="106"/>
        <v>#DIV/0!</v>
      </c>
      <c r="Q365" s="7" t="e">
        <f t="shared" si="107"/>
        <v>#DIV/0!</v>
      </c>
      <c r="R365" s="5" t="e">
        <f t="shared" si="93"/>
        <v>#DIV/0!</v>
      </c>
    </row>
    <row r="366" spans="1:18" s="4" customFormat="1" ht="15" hidden="1" customHeight="1">
      <c r="A366" s="64"/>
      <c r="B366" s="7">
        <f t="shared" si="108"/>
        <v>86</v>
      </c>
      <c r="C366" s="7"/>
      <c r="D366" s="7"/>
      <c r="E366" s="7"/>
      <c r="F366" s="7"/>
      <c r="G366" s="7"/>
      <c r="H366" s="91"/>
      <c r="I366" s="115"/>
      <c r="J366" s="116"/>
      <c r="K366" s="116"/>
      <c r="L366" s="116"/>
      <c r="M366" s="129"/>
      <c r="N366" s="129" t="e">
        <f t="shared" si="104"/>
        <v>#DIV/0!</v>
      </c>
      <c r="O366" s="129" t="e">
        <f t="shared" si="105"/>
        <v>#DIV/0!</v>
      </c>
      <c r="P366" s="114" t="e">
        <f t="shared" si="106"/>
        <v>#DIV/0!</v>
      </c>
      <c r="Q366" s="7" t="e">
        <f t="shared" si="107"/>
        <v>#DIV/0!</v>
      </c>
      <c r="R366" s="5" t="e">
        <f t="shared" si="93"/>
        <v>#DIV/0!</v>
      </c>
    </row>
    <row r="367" spans="1:18" s="4" customFormat="1" ht="15" hidden="1" customHeight="1">
      <c r="A367" s="64"/>
      <c r="B367" s="7">
        <f t="shared" si="108"/>
        <v>87</v>
      </c>
      <c r="C367" s="7"/>
      <c r="D367" s="7"/>
      <c r="E367" s="7"/>
      <c r="F367" s="7"/>
      <c r="G367" s="7"/>
      <c r="H367" s="91"/>
      <c r="I367" s="115"/>
      <c r="J367" s="116"/>
      <c r="K367" s="116"/>
      <c r="L367" s="116"/>
      <c r="M367" s="129"/>
      <c r="N367" s="129" t="e">
        <f t="shared" si="104"/>
        <v>#DIV/0!</v>
      </c>
      <c r="O367" s="129" t="e">
        <f t="shared" si="105"/>
        <v>#DIV/0!</v>
      </c>
      <c r="P367" s="114" t="e">
        <f t="shared" si="106"/>
        <v>#DIV/0!</v>
      </c>
      <c r="Q367" s="7" t="e">
        <f t="shared" si="107"/>
        <v>#DIV/0!</v>
      </c>
      <c r="R367" s="5" t="e">
        <f t="shared" si="93"/>
        <v>#DIV/0!</v>
      </c>
    </row>
    <row r="368" spans="1:18" s="4" customFormat="1" ht="15" hidden="1" customHeight="1">
      <c r="A368" s="64"/>
      <c r="B368" s="7">
        <f t="shared" si="108"/>
        <v>88</v>
      </c>
      <c r="C368" s="7"/>
      <c r="D368" s="7"/>
      <c r="E368" s="7"/>
      <c r="F368" s="7"/>
      <c r="G368" s="7"/>
      <c r="H368" s="91"/>
      <c r="I368" s="115"/>
      <c r="J368" s="116"/>
      <c r="K368" s="116"/>
      <c r="L368" s="116"/>
      <c r="M368" s="129"/>
      <c r="N368" s="129" t="e">
        <f t="shared" si="104"/>
        <v>#DIV/0!</v>
      </c>
      <c r="O368" s="129" t="e">
        <f t="shared" si="105"/>
        <v>#DIV/0!</v>
      </c>
      <c r="P368" s="114" t="e">
        <f t="shared" si="106"/>
        <v>#DIV/0!</v>
      </c>
      <c r="Q368" s="7" t="e">
        <f t="shared" si="107"/>
        <v>#DIV/0!</v>
      </c>
      <c r="R368" s="5" t="e">
        <f t="shared" si="93"/>
        <v>#DIV/0!</v>
      </c>
    </row>
    <row r="369" spans="1:18" s="4" customFormat="1" ht="15" hidden="1" customHeight="1">
      <c r="A369" s="64"/>
      <c r="B369" s="7">
        <f t="shared" si="108"/>
        <v>89</v>
      </c>
      <c r="C369" s="7"/>
      <c r="D369" s="7"/>
      <c r="E369" s="7"/>
      <c r="F369" s="7"/>
      <c r="G369" s="7"/>
      <c r="H369" s="91"/>
      <c r="I369" s="115"/>
      <c r="J369" s="116"/>
      <c r="K369" s="116"/>
      <c r="L369" s="116"/>
      <c r="M369" s="129"/>
      <c r="N369" s="129" t="e">
        <f t="shared" si="104"/>
        <v>#DIV/0!</v>
      </c>
      <c r="O369" s="129" t="e">
        <f t="shared" si="105"/>
        <v>#DIV/0!</v>
      </c>
      <c r="P369" s="114" t="e">
        <f t="shared" si="106"/>
        <v>#DIV/0!</v>
      </c>
      <c r="Q369" s="7" t="e">
        <f t="shared" si="107"/>
        <v>#DIV/0!</v>
      </c>
      <c r="R369" s="5" t="e">
        <f t="shared" si="93"/>
        <v>#DIV/0!</v>
      </c>
    </row>
    <row r="370" spans="1:18" s="4" customFormat="1" ht="15" hidden="1" customHeight="1">
      <c r="A370" s="64"/>
      <c r="B370" s="7">
        <f t="shared" si="108"/>
        <v>90</v>
      </c>
      <c r="C370" s="7"/>
      <c r="D370" s="7"/>
      <c r="E370" s="7"/>
      <c r="F370" s="7"/>
      <c r="G370" s="7"/>
      <c r="H370" s="91"/>
      <c r="I370" s="115"/>
      <c r="J370" s="116"/>
      <c r="K370" s="116"/>
      <c r="L370" s="116"/>
      <c r="M370" s="129"/>
      <c r="N370" s="129"/>
      <c r="O370" s="129"/>
      <c r="P370" s="114"/>
      <c r="Q370" s="7"/>
      <c r="R370" s="5" t="b">
        <f t="shared" si="93"/>
        <v>0</v>
      </c>
    </row>
    <row r="371" spans="1:18" s="4" customFormat="1" ht="15" hidden="1" customHeight="1">
      <c r="A371" s="64"/>
      <c r="B371" s="7">
        <f t="shared" si="108"/>
        <v>91</v>
      </c>
      <c r="C371" s="7"/>
      <c r="D371" s="7"/>
      <c r="E371" s="7"/>
      <c r="F371" s="7"/>
      <c r="G371" s="7"/>
      <c r="H371" s="91"/>
      <c r="I371" s="115"/>
      <c r="J371" s="116"/>
      <c r="K371" s="116"/>
      <c r="L371" s="116"/>
      <c r="M371" s="129"/>
      <c r="N371" s="129"/>
      <c r="O371" s="129"/>
      <c r="P371" s="114"/>
      <c r="Q371" s="7"/>
      <c r="R371" s="5" t="b">
        <f t="shared" si="93"/>
        <v>0</v>
      </c>
    </row>
    <row r="372" spans="1:18" s="4" customFormat="1" ht="15" hidden="1" customHeight="1">
      <c r="A372" s="64"/>
      <c r="B372" s="7">
        <f t="shared" si="108"/>
        <v>92</v>
      </c>
      <c r="C372" s="7"/>
      <c r="D372" s="7"/>
      <c r="E372" s="7"/>
      <c r="F372" s="7"/>
      <c r="G372" s="7"/>
      <c r="H372" s="91"/>
      <c r="I372" s="115"/>
      <c r="J372" s="116"/>
      <c r="K372" s="116"/>
      <c r="L372" s="116"/>
      <c r="M372" s="129"/>
      <c r="N372" s="129" t="e">
        <f t="shared" ref="N372:N433" si="109">+K372/(K372+L372)</f>
        <v>#DIV/0!</v>
      </c>
      <c r="O372" s="129" t="e">
        <f t="shared" ref="O372:O433" si="110">+(K372+M372)/(K372+L372+M372)</f>
        <v>#DIV/0!</v>
      </c>
      <c r="P372" s="114" t="e">
        <f t="shared" ref="P372:P403" si="111">+K372/(K372+M372)</f>
        <v>#DIV/0!</v>
      </c>
      <c r="Q372" s="7" t="e">
        <f t="shared" ref="Q372:Q403" si="112">+J372/K372</f>
        <v>#DIV/0!</v>
      </c>
      <c r="R372" s="5" t="e">
        <f t="shared" si="93"/>
        <v>#DIV/0!</v>
      </c>
    </row>
    <row r="373" spans="1:18" s="4" customFormat="1" ht="15" hidden="1" customHeight="1">
      <c r="A373" s="64"/>
      <c r="B373" s="7">
        <f t="shared" si="108"/>
        <v>93</v>
      </c>
      <c r="C373" s="7"/>
      <c r="D373" s="7"/>
      <c r="E373" s="7"/>
      <c r="F373" s="7"/>
      <c r="G373" s="7"/>
      <c r="H373" s="91"/>
      <c r="I373" s="115"/>
      <c r="J373" s="116"/>
      <c r="K373" s="116"/>
      <c r="L373" s="116"/>
      <c r="M373" s="129"/>
      <c r="N373" s="129" t="e">
        <f t="shared" si="109"/>
        <v>#DIV/0!</v>
      </c>
      <c r="O373" s="129" t="e">
        <f t="shared" si="110"/>
        <v>#DIV/0!</v>
      </c>
      <c r="P373" s="114" t="e">
        <f t="shared" si="111"/>
        <v>#DIV/0!</v>
      </c>
      <c r="Q373" s="7" t="e">
        <f t="shared" si="112"/>
        <v>#DIV/0!</v>
      </c>
      <c r="R373" s="5" t="e">
        <f t="shared" si="93"/>
        <v>#DIV/0!</v>
      </c>
    </row>
    <row r="374" spans="1:18" s="4" customFormat="1" ht="15" hidden="1" customHeight="1">
      <c r="A374" s="64"/>
      <c r="B374" s="7">
        <f t="shared" si="108"/>
        <v>94</v>
      </c>
      <c r="C374" s="7"/>
      <c r="D374" s="7"/>
      <c r="E374" s="7"/>
      <c r="F374" s="7"/>
      <c r="G374" s="7"/>
      <c r="H374" s="91"/>
      <c r="I374" s="115"/>
      <c r="J374" s="116"/>
      <c r="K374" s="116"/>
      <c r="L374" s="116"/>
      <c r="M374" s="129"/>
      <c r="N374" s="129" t="e">
        <f t="shared" si="109"/>
        <v>#DIV/0!</v>
      </c>
      <c r="O374" s="129" t="e">
        <f t="shared" si="110"/>
        <v>#DIV/0!</v>
      </c>
      <c r="P374" s="114" t="e">
        <f t="shared" si="111"/>
        <v>#DIV/0!</v>
      </c>
      <c r="Q374" s="7" t="e">
        <f t="shared" si="112"/>
        <v>#DIV/0!</v>
      </c>
      <c r="R374" s="5" t="e">
        <f t="shared" si="93"/>
        <v>#DIV/0!</v>
      </c>
    </row>
    <row r="375" spans="1:18" s="4" customFormat="1" ht="15" hidden="1" customHeight="1">
      <c r="A375" s="64"/>
      <c r="B375" s="7">
        <f t="shared" si="108"/>
        <v>95</v>
      </c>
      <c r="C375" s="7"/>
      <c r="D375" s="7"/>
      <c r="E375" s="7"/>
      <c r="F375" s="7"/>
      <c r="G375" s="7"/>
      <c r="H375" s="91"/>
      <c r="I375" s="115"/>
      <c r="J375" s="116"/>
      <c r="K375" s="116"/>
      <c r="L375" s="116"/>
      <c r="M375" s="129"/>
      <c r="N375" s="129" t="e">
        <f t="shared" si="109"/>
        <v>#DIV/0!</v>
      </c>
      <c r="O375" s="129" t="e">
        <f t="shared" si="110"/>
        <v>#DIV/0!</v>
      </c>
      <c r="P375" s="114" t="e">
        <f t="shared" si="111"/>
        <v>#DIV/0!</v>
      </c>
      <c r="Q375" s="7" t="e">
        <f t="shared" si="112"/>
        <v>#DIV/0!</v>
      </c>
      <c r="R375" s="5" t="e">
        <f t="shared" si="93"/>
        <v>#DIV/0!</v>
      </c>
    </row>
    <row r="376" spans="1:18" s="4" customFormat="1" ht="15" hidden="1" customHeight="1">
      <c r="A376" s="64"/>
      <c r="B376" s="7">
        <f t="shared" si="108"/>
        <v>96</v>
      </c>
      <c r="C376" s="7"/>
      <c r="D376" s="7"/>
      <c r="E376" s="7"/>
      <c r="F376" s="7"/>
      <c r="G376" s="7"/>
      <c r="H376" s="91"/>
      <c r="I376" s="115"/>
      <c r="J376" s="116"/>
      <c r="K376" s="116"/>
      <c r="L376" s="116"/>
      <c r="M376" s="129"/>
      <c r="N376" s="129" t="e">
        <f t="shared" si="109"/>
        <v>#DIV/0!</v>
      </c>
      <c r="O376" s="129" t="e">
        <f t="shared" si="110"/>
        <v>#DIV/0!</v>
      </c>
      <c r="P376" s="114" t="e">
        <f t="shared" si="111"/>
        <v>#DIV/0!</v>
      </c>
      <c r="Q376" s="7" t="e">
        <f t="shared" si="112"/>
        <v>#DIV/0!</v>
      </c>
      <c r="R376" s="5" t="e">
        <f t="shared" si="93"/>
        <v>#DIV/0!</v>
      </c>
    </row>
    <row r="377" spans="1:18" s="4" customFormat="1" ht="15" hidden="1" customHeight="1">
      <c r="A377" s="64"/>
      <c r="B377" s="7">
        <f t="shared" si="108"/>
        <v>97</v>
      </c>
      <c r="C377" s="7"/>
      <c r="D377" s="7"/>
      <c r="E377" s="7"/>
      <c r="F377" s="7"/>
      <c r="G377" s="7"/>
      <c r="H377" s="91"/>
      <c r="I377" s="115"/>
      <c r="J377" s="116"/>
      <c r="K377" s="116"/>
      <c r="L377" s="116"/>
      <c r="M377" s="129"/>
      <c r="N377" s="129" t="e">
        <f t="shared" si="109"/>
        <v>#DIV/0!</v>
      </c>
      <c r="O377" s="129" t="e">
        <f t="shared" si="110"/>
        <v>#DIV/0!</v>
      </c>
      <c r="P377" s="114" t="e">
        <f t="shared" si="111"/>
        <v>#DIV/0!</v>
      </c>
      <c r="Q377" s="7" t="e">
        <f t="shared" si="112"/>
        <v>#DIV/0!</v>
      </c>
      <c r="R377" s="5" t="e">
        <f t="shared" ref="R377:R750" si="113">IF(O377&gt;89.9999999999999%,"PAMA")</f>
        <v>#DIV/0!</v>
      </c>
    </row>
    <row r="378" spans="1:18" s="4" customFormat="1" ht="15" hidden="1" customHeight="1">
      <c r="A378" s="64"/>
      <c r="B378" s="7">
        <f t="shared" si="108"/>
        <v>98</v>
      </c>
      <c r="C378" s="7"/>
      <c r="D378" s="7"/>
      <c r="E378" s="7"/>
      <c r="F378" s="7"/>
      <c r="G378" s="7"/>
      <c r="H378" s="91"/>
      <c r="I378" s="115"/>
      <c r="J378" s="116"/>
      <c r="K378" s="116"/>
      <c r="L378" s="116"/>
      <c r="M378" s="129"/>
      <c r="N378" s="129" t="e">
        <f t="shared" si="109"/>
        <v>#DIV/0!</v>
      </c>
      <c r="O378" s="129" t="e">
        <f t="shared" si="110"/>
        <v>#DIV/0!</v>
      </c>
      <c r="P378" s="114" t="e">
        <f t="shared" si="111"/>
        <v>#DIV/0!</v>
      </c>
      <c r="Q378" s="7" t="e">
        <f t="shared" si="112"/>
        <v>#DIV/0!</v>
      </c>
      <c r="R378" s="5" t="e">
        <f t="shared" si="113"/>
        <v>#DIV/0!</v>
      </c>
    </row>
    <row r="379" spans="1:18" s="4" customFormat="1" ht="15" hidden="1" customHeight="1">
      <c r="A379" s="64"/>
      <c r="B379" s="7">
        <f t="shared" si="108"/>
        <v>99</v>
      </c>
      <c r="C379" s="7"/>
      <c r="D379" s="7"/>
      <c r="E379" s="7"/>
      <c r="F379" s="7"/>
      <c r="G379" s="7"/>
      <c r="H379" s="91"/>
      <c r="I379" s="115"/>
      <c r="J379" s="116"/>
      <c r="K379" s="116"/>
      <c r="L379" s="116"/>
      <c r="M379" s="129"/>
      <c r="N379" s="129" t="e">
        <f t="shared" si="109"/>
        <v>#DIV/0!</v>
      </c>
      <c r="O379" s="129" t="e">
        <f t="shared" si="110"/>
        <v>#DIV/0!</v>
      </c>
      <c r="P379" s="114" t="e">
        <f t="shared" si="111"/>
        <v>#DIV/0!</v>
      </c>
      <c r="Q379" s="7" t="e">
        <f t="shared" si="112"/>
        <v>#DIV/0!</v>
      </c>
      <c r="R379" s="5" t="e">
        <f t="shared" si="113"/>
        <v>#DIV/0!</v>
      </c>
    </row>
    <row r="380" spans="1:18" s="4" customFormat="1" ht="15" hidden="1" customHeight="1">
      <c r="A380" s="64"/>
      <c r="B380" s="7">
        <f t="shared" si="108"/>
        <v>100</v>
      </c>
      <c r="C380" s="7"/>
      <c r="D380" s="7"/>
      <c r="E380" s="7"/>
      <c r="F380" s="7"/>
      <c r="G380" s="7"/>
      <c r="H380" s="91"/>
      <c r="I380" s="115"/>
      <c r="J380" s="116"/>
      <c r="K380" s="116"/>
      <c r="L380" s="116"/>
      <c r="M380" s="129"/>
      <c r="N380" s="129" t="e">
        <f t="shared" si="109"/>
        <v>#DIV/0!</v>
      </c>
      <c r="O380" s="129" t="e">
        <f t="shared" si="110"/>
        <v>#DIV/0!</v>
      </c>
      <c r="P380" s="114" t="e">
        <f t="shared" si="111"/>
        <v>#DIV/0!</v>
      </c>
      <c r="Q380" s="7" t="e">
        <f t="shared" si="112"/>
        <v>#DIV/0!</v>
      </c>
      <c r="R380" s="5" t="e">
        <f t="shared" si="113"/>
        <v>#DIV/0!</v>
      </c>
    </row>
    <row r="381" spans="1:18" s="4" customFormat="1" ht="15" hidden="1" customHeight="1">
      <c r="A381" s="64"/>
      <c r="B381" s="7">
        <f t="shared" si="108"/>
        <v>101</v>
      </c>
      <c r="C381" s="7"/>
      <c r="D381" s="7"/>
      <c r="E381" s="7"/>
      <c r="F381" s="7"/>
      <c r="G381" s="7"/>
      <c r="H381" s="91"/>
      <c r="I381" s="115"/>
      <c r="J381" s="116"/>
      <c r="K381" s="116"/>
      <c r="L381" s="116"/>
      <c r="M381" s="129"/>
      <c r="N381" s="129" t="e">
        <f t="shared" si="109"/>
        <v>#DIV/0!</v>
      </c>
      <c r="O381" s="129" t="e">
        <f t="shared" si="110"/>
        <v>#DIV/0!</v>
      </c>
      <c r="P381" s="114" t="e">
        <f t="shared" si="111"/>
        <v>#DIV/0!</v>
      </c>
      <c r="Q381" s="7" t="e">
        <f t="shared" si="112"/>
        <v>#DIV/0!</v>
      </c>
      <c r="R381" s="5" t="e">
        <f t="shared" si="113"/>
        <v>#DIV/0!</v>
      </c>
    </row>
    <row r="382" spans="1:18" s="4" customFormat="1" ht="15" hidden="1" customHeight="1">
      <c r="A382" s="64"/>
      <c r="B382" s="7">
        <f t="shared" si="108"/>
        <v>102</v>
      </c>
      <c r="C382" s="7"/>
      <c r="D382" s="7"/>
      <c r="E382" s="7"/>
      <c r="F382" s="7"/>
      <c r="G382" s="7"/>
      <c r="H382" s="91"/>
      <c r="I382" s="115"/>
      <c r="J382" s="116"/>
      <c r="K382" s="116"/>
      <c r="L382" s="116"/>
      <c r="M382" s="129"/>
      <c r="N382" s="129" t="e">
        <f t="shared" si="109"/>
        <v>#DIV/0!</v>
      </c>
      <c r="O382" s="129" t="e">
        <f t="shared" si="110"/>
        <v>#DIV/0!</v>
      </c>
      <c r="P382" s="114" t="e">
        <f t="shared" si="111"/>
        <v>#DIV/0!</v>
      </c>
      <c r="Q382" s="7" t="e">
        <f t="shared" si="112"/>
        <v>#DIV/0!</v>
      </c>
      <c r="R382" s="5" t="e">
        <f t="shared" si="113"/>
        <v>#DIV/0!</v>
      </c>
    </row>
    <row r="383" spans="1:18" s="4" customFormat="1" ht="15" hidden="1" customHeight="1">
      <c r="A383" s="64"/>
      <c r="B383" s="7">
        <f t="shared" si="108"/>
        <v>103</v>
      </c>
      <c r="C383" s="7"/>
      <c r="D383" s="7"/>
      <c r="E383" s="7"/>
      <c r="F383" s="7"/>
      <c r="G383" s="7"/>
      <c r="H383" s="91"/>
      <c r="I383" s="115"/>
      <c r="J383" s="116"/>
      <c r="K383" s="116"/>
      <c r="L383" s="116"/>
      <c r="M383" s="129"/>
      <c r="N383" s="129" t="e">
        <f t="shared" si="109"/>
        <v>#DIV/0!</v>
      </c>
      <c r="O383" s="129" t="e">
        <f t="shared" si="110"/>
        <v>#DIV/0!</v>
      </c>
      <c r="P383" s="114" t="e">
        <f t="shared" si="111"/>
        <v>#DIV/0!</v>
      </c>
      <c r="Q383" s="7" t="e">
        <f t="shared" si="112"/>
        <v>#DIV/0!</v>
      </c>
      <c r="R383" s="5" t="e">
        <f t="shared" si="113"/>
        <v>#DIV/0!</v>
      </c>
    </row>
    <row r="384" spans="1:18" s="4" customFormat="1" ht="15" hidden="1" customHeight="1">
      <c r="A384" s="64"/>
      <c r="B384" s="7">
        <f t="shared" si="108"/>
        <v>104</v>
      </c>
      <c r="C384" s="7"/>
      <c r="D384" s="7"/>
      <c r="E384" s="7"/>
      <c r="F384" s="7"/>
      <c r="G384" s="7"/>
      <c r="H384" s="91"/>
      <c r="I384" s="115"/>
      <c r="J384" s="116"/>
      <c r="K384" s="116"/>
      <c r="L384" s="116"/>
      <c r="M384" s="129"/>
      <c r="N384" s="129" t="e">
        <f t="shared" si="109"/>
        <v>#DIV/0!</v>
      </c>
      <c r="O384" s="129" t="e">
        <f t="shared" si="110"/>
        <v>#DIV/0!</v>
      </c>
      <c r="P384" s="114" t="e">
        <f t="shared" si="111"/>
        <v>#DIV/0!</v>
      </c>
      <c r="Q384" s="7" t="e">
        <f t="shared" si="112"/>
        <v>#DIV/0!</v>
      </c>
      <c r="R384" s="5" t="e">
        <f t="shared" si="113"/>
        <v>#DIV/0!</v>
      </c>
    </row>
    <row r="385" spans="1:18" s="4" customFormat="1" ht="15" hidden="1" customHeight="1">
      <c r="A385" s="64"/>
      <c r="B385" s="7">
        <f t="shared" si="108"/>
        <v>105</v>
      </c>
      <c r="C385" s="7"/>
      <c r="D385" s="7"/>
      <c r="E385" s="7"/>
      <c r="F385" s="7"/>
      <c r="G385" s="7"/>
      <c r="H385" s="91"/>
      <c r="I385" s="115"/>
      <c r="J385" s="116"/>
      <c r="K385" s="116"/>
      <c r="L385" s="116"/>
      <c r="M385" s="129"/>
      <c r="N385" s="129" t="e">
        <f t="shared" si="109"/>
        <v>#DIV/0!</v>
      </c>
      <c r="O385" s="129" t="e">
        <f t="shared" si="110"/>
        <v>#DIV/0!</v>
      </c>
      <c r="P385" s="114" t="e">
        <f t="shared" si="111"/>
        <v>#DIV/0!</v>
      </c>
      <c r="Q385" s="7" t="e">
        <f t="shared" si="112"/>
        <v>#DIV/0!</v>
      </c>
      <c r="R385" s="5" t="e">
        <f t="shared" si="113"/>
        <v>#DIV/0!</v>
      </c>
    </row>
    <row r="386" spans="1:18" s="4" customFormat="1" ht="15" hidden="1" customHeight="1">
      <c r="A386" s="64"/>
      <c r="B386" s="7">
        <f t="shared" si="108"/>
        <v>106</v>
      </c>
      <c r="C386" s="7"/>
      <c r="D386" s="7"/>
      <c r="E386" s="7"/>
      <c r="F386" s="7"/>
      <c r="G386" s="7"/>
      <c r="H386" s="91"/>
      <c r="I386" s="115"/>
      <c r="J386" s="116"/>
      <c r="K386" s="116"/>
      <c r="L386" s="116"/>
      <c r="M386" s="129"/>
      <c r="N386" s="129" t="e">
        <f t="shared" si="109"/>
        <v>#DIV/0!</v>
      </c>
      <c r="O386" s="129" t="e">
        <f t="shared" si="110"/>
        <v>#DIV/0!</v>
      </c>
      <c r="P386" s="114" t="e">
        <f t="shared" si="111"/>
        <v>#DIV/0!</v>
      </c>
      <c r="Q386" s="7" t="e">
        <f t="shared" si="112"/>
        <v>#DIV/0!</v>
      </c>
      <c r="R386" s="5" t="e">
        <f t="shared" si="113"/>
        <v>#DIV/0!</v>
      </c>
    </row>
    <row r="387" spans="1:18" s="4" customFormat="1" ht="15" hidden="1" customHeight="1">
      <c r="A387" s="64"/>
      <c r="B387" s="7">
        <f t="shared" si="108"/>
        <v>107</v>
      </c>
      <c r="C387" s="7"/>
      <c r="D387" s="7"/>
      <c r="E387" s="7"/>
      <c r="F387" s="7"/>
      <c r="G387" s="7"/>
      <c r="H387" s="91"/>
      <c r="I387" s="115"/>
      <c r="J387" s="116"/>
      <c r="K387" s="116"/>
      <c r="L387" s="116"/>
      <c r="M387" s="129"/>
      <c r="N387" s="129" t="e">
        <f t="shared" si="109"/>
        <v>#DIV/0!</v>
      </c>
      <c r="O387" s="129" t="e">
        <f t="shared" si="110"/>
        <v>#DIV/0!</v>
      </c>
      <c r="P387" s="114" t="e">
        <f t="shared" si="111"/>
        <v>#DIV/0!</v>
      </c>
      <c r="Q387" s="7" t="e">
        <f t="shared" si="112"/>
        <v>#DIV/0!</v>
      </c>
      <c r="R387" s="5" t="e">
        <f t="shared" si="113"/>
        <v>#DIV/0!</v>
      </c>
    </row>
    <row r="388" spans="1:18" s="4" customFormat="1" ht="15" hidden="1" customHeight="1">
      <c r="A388" s="64"/>
      <c r="B388" s="7">
        <f t="shared" si="108"/>
        <v>108</v>
      </c>
      <c r="C388" s="7"/>
      <c r="D388" s="7"/>
      <c r="E388" s="7"/>
      <c r="F388" s="7"/>
      <c r="G388" s="7"/>
      <c r="H388" s="91"/>
      <c r="I388" s="115"/>
      <c r="J388" s="116"/>
      <c r="K388" s="116"/>
      <c r="L388" s="116"/>
      <c r="M388" s="129"/>
      <c r="N388" s="129" t="e">
        <f t="shared" si="109"/>
        <v>#DIV/0!</v>
      </c>
      <c r="O388" s="129" t="e">
        <f t="shared" si="110"/>
        <v>#DIV/0!</v>
      </c>
      <c r="P388" s="114" t="e">
        <f t="shared" si="111"/>
        <v>#DIV/0!</v>
      </c>
      <c r="Q388" s="7" t="e">
        <f t="shared" si="112"/>
        <v>#DIV/0!</v>
      </c>
      <c r="R388" s="5" t="e">
        <f t="shared" si="113"/>
        <v>#DIV/0!</v>
      </c>
    </row>
    <row r="389" spans="1:18" s="4" customFormat="1" ht="15" hidden="1" customHeight="1">
      <c r="A389" s="64"/>
      <c r="B389" s="7">
        <f t="shared" si="108"/>
        <v>109</v>
      </c>
      <c r="C389" s="7"/>
      <c r="D389" s="7"/>
      <c r="E389" s="7"/>
      <c r="F389" s="7"/>
      <c r="G389" s="7"/>
      <c r="H389" s="91"/>
      <c r="I389" s="115"/>
      <c r="J389" s="116"/>
      <c r="K389" s="116"/>
      <c r="L389" s="116"/>
      <c r="M389" s="129"/>
      <c r="N389" s="129" t="e">
        <f t="shared" si="109"/>
        <v>#DIV/0!</v>
      </c>
      <c r="O389" s="129" t="e">
        <f t="shared" si="110"/>
        <v>#DIV/0!</v>
      </c>
      <c r="P389" s="114" t="e">
        <f t="shared" si="111"/>
        <v>#DIV/0!</v>
      </c>
      <c r="Q389" s="7" t="e">
        <f t="shared" si="112"/>
        <v>#DIV/0!</v>
      </c>
      <c r="R389" s="5" t="e">
        <f t="shared" si="113"/>
        <v>#DIV/0!</v>
      </c>
    </row>
    <row r="390" spans="1:18" s="4" customFormat="1" ht="15" hidden="1" customHeight="1">
      <c r="A390" s="64"/>
      <c r="B390" s="7">
        <f t="shared" si="108"/>
        <v>110</v>
      </c>
      <c r="C390" s="7"/>
      <c r="D390" s="7"/>
      <c r="E390" s="7"/>
      <c r="F390" s="7"/>
      <c r="G390" s="7"/>
      <c r="H390" s="91"/>
      <c r="I390" s="115"/>
      <c r="J390" s="116"/>
      <c r="K390" s="116"/>
      <c r="L390" s="116"/>
      <c r="M390" s="129"/>
      <c r="N390" s="129" t="e">
        <f t="shared" si="109"/>
        <v>#DIV/0!</v>
      </c>
      <c r="O390" s="129" t="e">
        <f t="shared" si="110"/>
        <v>#DIV/0!</v>
      </c>
      <c r="P390" s="114" t="e">
        <f t="shared" si="111"/>
        <v>#DIV/0!</v>
      </c>
      <c r="Q390" s="7" t="e">
        <f t="shared" si="112"/>
        <v>#DIV/0!</v>
      </c>
      <c r="R390" s="5" t="e">
        <f t="shared" si="113"/>
        <v>#DIV/0!</v>
      </c>
    </row>
    <row r="391" spans="1:18" s="4" customFormat="1" ht="15" hidden="1" customHeight="1">
      <c r="A391" s="64"/>
      <c r="B391" s="7">
        <f t="shared" si="108"/>
        <v>111</v>
      </c>
      <c r="C391" s="7"/>
      <c r="D391" s="7"/>
      <c r="E391" s="7"/>
      <c r="F391" s="7"/>
      <c r="G391" s="7"/>
      <c r="H391" s="91"/>
      <c r="I391" s="115"/>
      <c r="J391" s="116"/>
      <c r="K391" s="116"/>
      <c r="L391" s="116"/>
      <c r="M391" s="129"/>
      <c r="N391" s="129" t="e">
        <f t="shared" si="109"/>
        <v>#DIV/0!</v>
      </c>
      <c r="O391" s="129" t="e">
        <f t="shared" si="110"/>
        <v>#DIV/0!</v>
      </c>
      <c r="P391" s="114" t="e">
        <f t="shared" si="111"/>
        <v>#DIV/0!</v>
      </c>
      <c r="Q391" s="7" t="e">
        <f t="shared" si="112"/>
        <v>#DIV/0!</v>
      </c>
      <c r="R391" s="5" t="e">
        <f t="shared" si="113"/>
        <v>#DIV/0!</v>
      </c>
    </row>
    <row r="392" spans="1:18" s="4" customFormat="1" ht="15" hidden="1" customHeight="1">
      <c r="A392" s="64"/>
      <c r="B392" s="7">
        <f t="shared" si="108"/>
        <v>112</v>
      </c>
      <c r="C392" s="7"/>
      <c r="D392" s="7"/>
      <c r="E392" s="7"/>
      <c r="F392" s="7"/>
      <c r="G392" s="7"/>
      <c r="H392" s="91"/>
      <c r="I392" s="115"/>
      <c r="J392" s="116"/>
      <c r="K392" s="116"/>
      <c r="L392" s="116"/>
      <c r="M392" s="129"/>
      <c r="N392" s="129" t="e">
        <f t="shared" si="109"/>
        <v>#DIV/0!</v>
      </c>
      <c r="O392" s="129" t="e">
        <f t="shared" si="110"/>
        <v>#DIV/0!</v>
      </c>
      <c r="P392" s="114" t="e">
        <f t="shared" si="111"/>
        <v>#DIV/0!</v>
      </c>
      <c r="Q392" s="7" t="e">
        <f t="shared" si="112"/>
        <v>#DIV/0!</v>
      </c>
      <c r="R392" s="5" t="e">
        <f t="shared" si="113"/>
        <v>#DIV/0!</v>
      </c>
    </row>
    <row r="393" spans="1:18" s="4" customFormat="1" ht="15" hidden="1" customHeight="1">
      <c r="A393" s="64"/>
      <c r="B393" s="7">
        <f t="shared" si="108"/>
        <v>113</v>
      </c>
      <c r="C393" s="7"/>
      <c r="D393" s="7"/>
      <c r="E393" s="7"/>
      <c r="F393" s="7"/>
      <c r="G393" s="7"/>
      <c r="H393" s="91"/>
      <c r="I393" s="115"/>
      <c r="J393" s="116"/>
      <c r="K393" s="116"/>
      <c r="L393" s="116"/>
      <c r="M393" s="129"/>
      <c r="N393" s="129" t="e">
        <f t="shared" si="109"/>
        <v>#DIV/0!</v>
      </c>
      <c r="O393" s="129" t="e">
        <f t="shared" si="110"/>
        <v>#DIV/0!</v>
      </c>
      <c r="P393" s="114" t="e">
        <f t="shared" si="111"/>
        <v>#DIV/0!</v>
      </c>
      <c r="Q393" s="7" t="e">
        <f t="shared" si="112"/>
        <v>#DIV/0!</v>
      </c>
      <c r="R393" s="5" t="e">
        <f t="shared" si="113"/>
        <v>#DIV/0!</v>
      </c>
    </row>
    <row r="394" spans="1:18" s="4" customFormat="1" ht="15" hidden="1" customHeight="1">
      <c r="A394" s="64"/>
      <c r="B394" s="7">
        <f t="shared" si="108"/>
        <v>114</v>
      </c>
      <c r="C394" s="7"/>
      <c r="D394" s="7"/>
      <c r="E394" s="7"/>
      <c r="F394" s="7"/>
      <c r="G394" s="7"/>
      <c r="H394" s="91"/>
      <c r="I394" s="115"/>
      <c r="J394" s="116"/>
      <c r="K394" s="116"/>
      <c r="L394" s="116"/>
      <c r="M394" s="129"/>
      <c r="N394" s="129" t="e">
        <f t="shared" si="109"/>
        <v>#DIV/0!</v>
      </c>
      <c r="O394" s="129" t="e">
        <f t="shared" si="110"/>
        <v>#DIV/0!</v>
      </c>
      <c r="P394" s="114" t="e">
        <f t="shared" si="111"/>
        <v>#DIV/0!</v>
      </c>
      <c r="Q394" s="7" t="e">
        <f t="shared" si="112"/>
        <v>#DIV/0!</v>
      </c>
      <c r="R394" s="5" t="e">
        <f t="shared" si="113"/>
        <v>#DIV/0!</v>
      </c>
    </row>
    <row r="395" spans="1:18" s="4" customFormat="1" ht="15" hidden="1" customHeight="1">
      <c r="A395" s="64"/>
      <c r="B395" s="7">
        <f t="shared" si="108"/>
        <v>115</v>
      </c>
      <c r="C395" s="7"/>
      <c r="D395" s="7"/>
      <c r="E395" s="7"/>
      <c r="F395" s="7"/>
      <c r="G395" s="7"/>
      <c r="H395" s="91"/>
      <c r="I395" s="115"/>
      <c r="J395" s="116"/>
      <c r="K395" s="116"/>
      <c r="L395" s="116"/>
      <c r="M395" s="129"/>
      <c r="N395" s="129" t="e">
        <f t="shared" si="109"/>
        <v>#DIV/0!</v>
      </c>
      <c r="O395" s="129" t="e">
        <f t="shared" si="110"/>
        <v>#DIV/0!</v>
      </c>
      <c r="P395" s="114" t="e">
        <f t="shared" si="111"/>
        <v>#DIV/0!</v>
      </c>
      <c r="Q395" s="7" t="e">
        <f t="shared" si="112"/>
        <v>#DIV/0!</v>
      </c>
      <c r="R395" s="5" t="e">
        <f t="shared" si="113"/>
        <v>#DIV/0!</v>
      </c>
    </row>
    <row r="396" spans="1:18" s="4" customFormat="1" ht="15" hidden="1" customHeight="1">
      <c r="A396" s="64"/>
      <c r="B396" s="7">
        <f t="shared" si="108"/>
        <v>116</v>
      </c>
      <c r="C396" s="7"/>
      <c r="D396" s="7"/>
      <c r="E396" s="7"/>
      <c r="F396" s="7"/>
      <c r="G396" s="7"/>
      <c r="H396" s="91"/>
      <c r="I396" s="115"/>
      <c r="J396" s="116"/>
      <c r="K396" s="116"/>
      <c r="L396" s="116"/>
      <c r="M396" s="129"/>
      <c r="N396" s="129" t="e">
        <f t="shared" si="109"/>
        <v>#DIV/0!</v>
      </c>
      <c r="O396" s="129" t="e">
        <f t="shared" si="110"/>
        <v>#DIV/0!</v>
      </c>
      <c r="P396" s="114" t="e">
        <f t="shared" si="111"/>
        <v>#DIV/0!</v>
      </c>
      <c r="Q396" s="7" t="e">
        <f t="shared" si="112"/>
        <v>#DIV/0!</v>
      </c>
      <c r="R396" s="5" t="e">
        <f t="shared" si="113"/>
        <v>#DIV/0!</v>
      </c>
    </row>
    <row r="397" spans="1:18" s="4" customFormat="1" ht="15" hidden="1" customHeight="1">
      <c r="A397" s="64"/>
      <c r="B397" s="7">
        <f t="shared" si="108"/>
        <v>117</v>
      </c>
      <c r="C397" s="7"/>
      <c r="D397" s="7"/>
      <c r="E397" s="7"/>
      <c r="F397" s="7"/>
      <c r="G397" s="7"/>
      <c r="H397" s="91"/>
      <c r="I397" s="115"/>
      <c r="J397" s="116"/>
      <c r="K397" s="116"/>
      <c r="L397" s="116"/>
      <c r="M397" s="129"/>
      <c r="N397" s="129" t="e">
        <f t="shared" si="109"/>
        <v>#DIV/0!</v>
      </c>
      <c r="O397" s="129" t="e">
        <f t="shared" si="110"/>
        <v>#DIV/0!</v>
      </c>
      <c r="P397" s="114" t="e">
        <f t="shared" si="111"/>
        <v>#DIV/0!</v>
      </c>
      <c r="Q397" s="7" t="e">
        <f t="shared" si="112"/>
        <v>#DIV/0!</v>
      </c>
      <c r="R397" s="5" t="e">
        <f t="shared" si="113"/>
        <v>#DIV/0!</v>
      </c>
    </row>
    <row r="398" spans="1:18" s="4" customFormat="1" ht="15" hidden="1" customHeight="1">
      <c r="A398" s="64"/>
      <c r="B398" s="7">
        <f t="shared" si="108"/>
        <v>118</v>
      </c>
      <c r="C398" s="7"/>
      <c r="D398" s="7"/>
      <c r="E398" s="7"/>
      <c r="F398" s="7"/>
      <c r="G398" s="7"/>
      <c r="H398" s="91"/>
      <c r="I398" s="115"/>
      <c r="J398" s="116"/>
      <c r="K398" s="116"/>
      <c r="L398" s="116"/>
      <c r="M398" s="129"/>
      <c r="N398" s="129" t="e">
        <f t="shared" si="109"/>
        <v>#DIV/0!</v>
      </c>
      <c r="O398" s="129" t="e">
        <f t="shared" si="110"/>
        <v>#DIV/0!</v>
      </c>
      <c r="P398" s="114" t="e">
        <f t="shared" si="111"/>
        <v>#DIV/0!</v>
      </c>
      <c r="Q398" s="7" t="e">
        <f t="shared" si="112"/>
        <v>#DIV/0!</v>
      </c>
      <c r="R398" s="5" t="e">
        <f t="shared" si="113"/>
        <v>#DIV/0!</v>
      </c>
    </row>
    <row r="399" spans="1:18" s="4" customFormat="1" ht="15" hidden="1" customHeight="1">
      <c r="A399" s="64"/>
      <c r="B399" s="7">
        <f t="shared" si="108"/>
        <v>119</v>
      </c>
      <c r="C399" s="7"/>
      <c r="D399" s="7"/>
      <c r="E399" s="7"/>
      <c r="F399" s="7"/>
      <c r="G399" s="7"/>
      <c r="H399" s="91"/>
      <c r="I399" s="115"/>
      <c r="J399" s="116"/>
      <c r="K399" s="116"/>
      <c r="L399" s="116"/>
      <c r="M399" s="129"/>
      <c r="N399" s="129" t="e">
        <f t="shared" si="109"/>
        <v>#DIV/0!</v>
      </c>
      <c r="O399" s="129" t="e">
        <f t="shared" si="110"/>
        <v>#DIV/0!</v>
      </c>
      <c r="P399" s="114" t="e">
        <f t="shared" si="111"/>
        <v>#DIV/0!</v>
      </c>
      <c r="Q399" s="7" t="e">
        <f t="shared" si="112"/>
        <v>#DIV/0!</v>
      </c>
      <c r="R399" s="5" t="e">
        <f t="shared" si="113"/>
        <v>#DIV/0!</v>
      </c>
    </row>
    <row r="400" spans="1:18" s="4" customFormat="1" ht="15" hidden="1" customHeight="1">
      <c r="A400" s="64"/>
      <c r="B400" s="7">
        <f t="shared" si="108"/>
        <v>120</v>
      </c>
      <c r="C400" s="7"/>
      <c r="D400" s="7"/>
      <c r="E400" s="7"/>
      <c r="F400" s="7"/>
      <c r="G400" s="7"/>
      <c r="H400" s="91"/>
      <c r="I400" s="115"/>
      <c r="J400" s="116"/>
      <c r="K400" s="116"/>
      <c r="L400" s="116"/>
      <c r="M400" s="129"/>
      <c r="N400" s="129" t="e">
        <f t="shared" si="109"/>
        <v>#DIV/0!</v>
      </c>
      <c r="O400" s="129" t="e">
        <f t="shared" si="110"/>
        <v>#DIV/0!</v>
      </c>
      <c r="P400" s="114" t="e">
        <f t="shared" si="111"/>
        <v>#DIV/0!</v>
      </c>
      <c r="Q400" s="7" t="e">
        <f t="shared" si="112"/>
        <v>#DIV/0!</v>
      </c>
      <c r="R400" s="5" t="e">
        <f t="shared" si="113"/>
        <v>#DIV/0!</v>
      </c>
    </row>
    <row r="401" spans="1:18" s="4" customFormat="1" ht="15" hidden="1" customHeight="1">
      <c r="A401" s="64"/>
      <c r="B401" s="7">
        <f t="shared" si="108"/>
        <v>121</v>
      </c>
      <c r="C401" s="7"/>
      <c r="D401" s="7"/>
      <c r="E401" s="7"/>
      <c r="F401" s="7"/>
      <c r="G401" s="7"/>
      <c r="H401" s="91"/>
      <c r="I401" s="115"/>
      <c r="J401" s="116"/>
      <c r="K401" s="116"/>
      <c r="L401" s="116"/>
      <c r="M401" s="129"/>
      <c r="N401" s="129" t="e">
        <f t="shared" si="109"/>
        <v>#DIV/0!</v>
      </c>
      <c r="O401" s="129" t="e">
        <f t="shared" si="110"/>
        <v>#DIV/0!</v>
      </c>
      <c r="P401" s="114" t="e">
        <f t="shared" si="111"/>
        <v>#DIV/0!</v>
      </c>
      <c r="Q401" s="7" t="e">
        <f t="shared" si="112"/>
        <v>#DIV/0!</v>
      </c>
      <c r="R401" s="5" t="e">
        <f t="shared" si="113"/>
        <v>#DIV/0!</v>
      </c>
    </row>
    <row r="402" spans="1:18" s="4" customFormat="1" ht="15" hidden="1" customHeight="1">
      <c r="A402" s="64"/>
      <c r="B402" s="7">
        <f t="shared" si="108"/>
        <v>122</v>
      </c>
      <c r="C402" s="7"/>
      <c r="D402" s="7"/>
      <c r="E402" s="7"/>
      <c r="F402" s="7"/>
      <c r="G402" s="7"/>
      <c r="H402" s="91"/>
      <c r="I402" s="115"/>
      <c r="J402" s="116"/>
      <c r="K402" s="116"/>
      <c r="L402" s="116"/>
      <c r="M402" s="129"/>
      <c r="N402" s="129" t="e">
        <f t="shared" si="109"/>
        <v>#DIV/0!</v>
      </c>
      <c r="O402" s="129" t="e">
        <f t="shared" si="110"/>
        <v>#DIV/0!</v>
      </c>
      <c r="P402" s="114" t="e">
        <f t="shared" si="111"/>
        <v>#DIV/0!</v>
      </c>
      <c r="Q402" s="7" t="e">
        <f t="shared" si="112"/>
        <v>#DIV/0!</v>
      </c>
      <c r="R402" s="5" t="e">
        <f t="shared" si="113"/>
        <v>#DIV/0!</v>
      </c>
    </row>
    <row r="403" spans="1:18" s="4" customFormat="1" ht="15" hidden="1" customHeight="1">
      <c r="A403" s="64"/>
      <c r="B403" s="7">
        <f t="shared" si="108"/>
        <v>123</v>
      </c>
      <c r="C403" s="7"/>
      <c r="D403" s="7"/>
      <c r="E403" s="7"/>
      <c r="F403" s="7"/>
      <c r="G403" s="7"/>
      <c r="H403" s="91"/>
      <c r="I403" s="115"/>
      <c r="J403" s="116"/>
      <c r="K403" s="116"/>
      <c r="L403" s="116"/>
      <c r="M403" s="129"/>
      <c r="N403" s="129" t="e">
        <f t="shared" si="109"/>
        <v>#DIV/0!</v>
      </c>
      <c r="O403" s="129" t="e">
        <f t="shared" si="110"/>
        <v>#DIV/0!</v>
      </c>
      <c r="P403" s="114" t="e">
        <f t="shared" si="111"/>
        <v>#DIV/0!</v>
      </c>
      <c r="Q403" s="7" t="e">
        <f t="shared" si="112"/>
        <v>#DIV/0!</v>
      </c>
      <c r="R403" s="5" t="e">
        <f t="shared" si="113"/>
        <v>#DIV/0!</v>
      </c>
    </row>
    <row r="404" spans="1:18" s="4" customFormat="1" ht="15" hidden="1" customHeight="1">
      <c r="A404" s="64"/>
      <c r="B404" s="7">
        <f t="shared" si="108"/>
        <v>124</v>
      </c>
      <c r="C404" s="7"/>
      <c r="D404" s="7"/>
      <c r="E404" s="7"/>
      <c r="F404" s="7"/>
      <c r="G404" s="7"/>
      <c r="H404" s="91"/>
      <c r="I404" s="115"/>
      <c r="J404" s="116"/>
      <c r="K404" s="116"/>
      <c r="L404" s="116"/>
      <c r="M404" s="129"/>
      <c r="N404" s="129" t="e">
        <f t="shared" si="109"/>
        <v>#DIV/0!</v>
      </c>
      <c r="O404" s="129" t="e">
        <f t="shared" si="110"/>
        <v>#DIV/0!</v>
      </c>
      <c r="P404" s="114" t="e">
        <f t="shared" ref="P404:P433" si="114">+K404/(K404+M404)</f>
        <v>#DIV/0!</v>
      </c>
      <c r="Q404" s="7" t="e">
        <f t="shared" ref="Q404:Q433" si="115">+J404/K404</f>
        <v>#DIV/0!</v>
      </c>
      <c r="R404" s="5" t="e">
        <f t="shared" si="113"/>
        <v>#DIV/0!</v>
      </c>
    </row>
    <row r="405" spans="1:18" s="4" customFormat="1" ht="15" hidden="1" customHeight="1">
      <c r="A405" s="64"/>
      <c r="B405" s="7">
        <f t="shared" si="108"/>
        <v>125</v>
      </c>
      <c r="C405" s="7"/>
      <c r="D405" s="7"/>
      <c r="E405" s="7"/>
      <c r="F405" s="7"/>
      <c r="G405" s="7"/>
      <c r="H405" s="91"/>
      <c r="I405" s="115"/>
      <c r="J405" s="116"/>
      <c r="K405" s="116"/>
      <c r="L405" s="116"/>
      <c r="M405" s="129"/>
      <c r="N405" s="129" t="e">
        <f t="shared" si="109"/>
        <v>#DIV/0!</v>
      </c>
      <c r="O405" s="129" t="e">
        <f t="shared" si="110"/>
        <v>#DIV/0!</v>
      </c>
      <c r="P405" s="114" t="e">
        <f t="shared" si="114"/>
        <v>#DIV/0!</v>
      </c>
      <c r="Q405" s="7" t="e">
        <f t="shared" si="115"/>
        <v>#DIV/0!</v>
      </c>
      <c r="R405" s="5" t="e">
        <f t="shared" si="113"/>
        <v>#DIV/0!</v>
      </c>
    </row>
    <row r="406" spans="1:18" s="4" customFormat="1" ht="15" hidden="1" customHeight="1">
      <c r="A406" s="64"/>
      <c r="B406" s="7">
        <f t="shared" si="108"/>
        <v>126</v>
      </c>
      <c r="C406" s="7"/>
      <c r="D406" s="7"/>
      <c r="E406" s="7"/>
      <c r="F406" s="7"/>
      <c r="G406" s="7"/>
      <c r="H406" s="91"/>
      <c r="I406" s="115"/>
      <c r="J406" s="116"/>
      <c r="K406" s="116"/>
      <c r="L406" s="116"/>
      <c r="M406" s="129"/>
      <c r="N406" s="129" t="e">
        <f t="shared" si="109"/>
        <v>#DIV/0!</v>
      </c>
      <c r="O406" s="129" t="e">
        <f t="shared" si="110"/>
        <v>#DIV/0!</v>
      </c>
      <c r="P406" s="114" t="e">
        <f t="shared" si="114"/>
        <v>#DIV/0!</v>
      </c>
      <c r="Q406" s="7" t="e">
        <f t="shared" si="115"/>
        <v>#DIV/0!</v>
      </c>
      <c r="R406" s="5" t="e">
        <f t="shared" si="113"/>
        <v>#DIV/0!</v>
      </c>
    </row>
    <row r="407" spans="1:18" s="4" customFormat="1" ht="15" hidden="1" customHeight="1">
      <c r="A407" s="64"/>
      <c r="B407" s="7">
        <f t="shared" si="108"/>
        <v>127</v>
      </c>
      <c r="C407" s="7"/>
      <c r="D407" s="7"/>
      <c r="E407" s="7"/>
      <c r="F407" s="7"/>
      <c r="G407" s="7"/>
      <c r="H407" s="91"/>
      <c r="I407" s="115"/>
      <c r="J407" s="116"/>
      <c r="K407" s="116"/>
      <c r="L407" s="116"/>
      <c r="M407" s="129"/>
      <c r="N407" s="129" t="e">
        <f t="shared" si="109"/>
        <v>#DIV/0!</v>
      </c>
      <c r="O407" s="129" t="e">
        <f t="shared" si="110"/>
        <v>#DIV/0!</v>
      </c>
      <c r="P407" s="114" t="e">
        <f t="shared" si="114"/>
        <v>#DIV/0!</v>
      </c>
      <c r="Q407" s="7" t="e">
        <f t="shared" si="115"/>
        <v>#DIV/0!</v>
      </c>
      <c r="R407" s="5" t="e">
        <f t="shared" si="113"/>
        <v>#DIV/0!</v>
      </c>
    </row>
    <row r="408" spans="1:18" s="4" customFormat="1" ht="15" hidden="1" customHeight="1">
      <c r="A408" s="64"/>
      <c r="B408" s="7">
        <f t="shared" si="108"/>
        <v>128</v>
      </c>
      <c r="C408" s="7"/>
      <c r="D408" s="7"/>
      <c r="E408" s="7"/>
      <c r="F408" s="7"/>
      <c r="G408" s="7"/>
      <c r="H408" s="91"/>
      <c r="I408" s="115"/>
      <c r="J408" s="116"/>
      <c r="K408" s="116"/>
      <c r="L408" s="116"/>
      <c r="M408" s="129"/>
      <c r="N408" s="129" t="e">
        <f t="shared" si="109"/>
        <v>#DIV/0!</v>
      </c>
      <c r="O408" s="129" t="e">
        <f t="shared" si="110"/>
        <v>#DIV/0!</v>
      </c>
      <c r="P408" s="114" t="e">
        <f t="shared" si="114"/>
        <v>#DIV/0!</v>
      </c>
      <c r="Q408" s="7" t="e">
        <f t="shared" si="115"/>
        <v>#DIV/0!</v>
      </c>
      <c r="R408" s="5" t="e">
        <f t="shared" si="113"/>
        <v>#DIV/0!</v>
      </c>
    </row>
    <row r="409" spans="1:18" s="4" customFormat="1" ht="15" hidden="1" customHeight="1">
      <c r="A409" s="64"/>
      <c r="B409" s="7">
        <f t="shared" si="108"/>
        <v>129</v>
      </c>
      <c r="C409" s="7"/>
      <c r="D409" s="7"/>
      <c r="E409" s="7"/>
      <c r="F409" s="7"/>
      <c r="G409" s="7"/>
      <c r="H409" s="91"/>
      <c r="I409" s="115"/>
      <c r="J409" s="116"/>
      <c r="K409" s="116"/>
      <c r="L409" s="116"/>
      <c r="M409" s="129"/>
      <c r="N409" s="129" t="e">
        <f t="shared" si="109"/>
        <v>#DIV/0!</v>
      </c>
      <c r="O409" s="129" t="e">
        <f t="shared" si="110"/>
        <v>#DIV/0!</v>
      </c>
      <c r="P409" s="114" t="e">
        <f t="shared" si="114"/>
        <v>#DIV/0!</v>
      </c>
      <c r="Q409" s="7" t="e">
        <f t="shared" si="115"/>
        <v>#DIV/0!</v>
      </c>
      <c r="R409" s="5" t="e">
        <f t="shared" si="113"/>
        <v>#DIV/0!</v>
      </c>
    </row>
    <row r="410" spans="1:18" s="4" customFormat="1" ht="15" hidden="1" customHeight="1">
      <c r="A410" s="64"/>
      <c r="B410" s="7">
        <f t="shared" si="108"/>
        <v>130</v>
      </c>
      <c r="C410" s="7"/>
      <c r="D410" s="7"/>
      <c r="E410" s="7"/>
      <c r="F410" s="7"/>
      <c r="G410" s="7"/>
      <c r="H410" s="91"/>
      <c r="I410" s="115"/>
      <c r="J410" s="116"/>
      <c r="K410" s="116"/>
      <c r="L410" s="116"/>
      <c r="M410" s="129"/>
      <c r="N410" s="129" t="e">
        <f t="shared" si="109"/>
        <v>#DIV/0!</v>
      </c>
      <c r="O410" s="129" t="e">
        <f t="shared" si="110"/>
        <v>#DIV/0!</v>
      </c>
      <c r="P410" s="114" t="e">
        <f t="shared" si="114"/>
        <v>#DIV/0!</v>
      </c>
      <c r="Q410" s="7" t="e">
        <f t="shared" si="115"/>
        <v>#DIV/0!</v>
      </c>
      <c r="R410" s="5" t="e">
        <f t="shared" si="113"/>
        <v>#DIV/0!</v>
      </c>
    </row>
    <row r="411" spans="1:18" s="4" customFormat="1" ht="15" hidden="1" customHeight="1">
      <c r="A411" s="64"/>
      <c r="B411" s="7">
        <f t="shared" ref="B411:B433" si="116">+B410+1</f>
        <v>131</v>
      </c>
      <c r="C411" s="7"/>
      <c r="D411" s="7"/>
      <c r="E411" s="7"/>
      <c r="F411" s="7"/>
      <c r="G411" s="7"/>
      <c r="H411" s="91"/>
      <c r="I411" s="115"/>
      <c r="J411" s="116"/>
      <c r="K411" s="116"/>
      <c r="L411" s="116"/>
      <c r="M411" s="129"/>
      <c r="N411" s="129" t="e">
        <f t="shared" si="109"/>
        <v>#DIV/0!</v>
      </c>
      <c r="O411" s="129" t="e">
        <f t="shared" si="110"/>
        <v>#DIV/0!</v>
      </c>
      <c r="P411" s="114" t="e">
        <f t="shared" si="114"/>
        <v>#DIV/0!</v>
      </c>
      <c r="Q411" s="7" t="e">
        <f t="shared" si="115"/>
        <v>#DIV/0!</v>
      </c>
      <c r="R411" s="5" t="e">
        <f t="shared" si="113"/>
        <v>#DIV/0!</v>
      </c>
    </row>
    <row r="412" spans="1:18" s="4" customFormat="1" ht="15" hidden="1" customHeight="1">
      <c r="A412" s="64"/>
      <c r="B412" s="7">
        <f t="shared" si="116"/>
        <v>132</v>
      </c>
      <c r="C412" s="7"/>
      <c r="D412" s="7"/>
      <c r="E412" s="7"/>
      <c r="F412" s="7"/>
      <c r="G412" s="7"/>
      <c r="H412" s="91"/>
      <c r="I412" s="115"/>
      <c r="J412" s="116"/>
      <c r="K412" s="116"/>
      <c r="L412" s="116"/>
      <c r="M412" s="129"/>
      <c r="N412" s="129" t="e">
        <f t="shared" si="109"/>
        <v>#DIV/0!</v>
      </c>
      <c r="O412" s="129" t="e">
        <f t="shared" si="110"/>
        <v>#DIV/0!</v>
      </c>
      <c r="P412" s="114" t="e">
        <f t="shared" si="114"/>
        <v>#DIV/0!</v>
      </c>
      <c r="Q412" s="7" t="e">
        <f t="shared" si="115"/>
        <v>#DIV/0!</v>
      </c>
      <c r="R412" s="5" t="e">
        <f t="shared" si="113"/>
        <v>#DIV/0!</v>
      </c>
    </row>
    <row r="413" spans="1:18" s="4" customFormat="1" ht="15" hidden="1" customHeight="1">
      <c r="A413" s="64"/>
      <c r="B413" s="7">
        <f t="shared" si="116"/>
        <v>133</v>
      </c>
      <c r="C413" s="7"/>
      <c r="D413" s="7"/>
      <c r="E413" s="7"/>
      <c r="F413" s="7"/>
      <c r="G413" s="7"/>
      <c r="H413" s="91"/>
      <c r="I413" s="115"/>
      <c r="J413" s="116"/>
      <c r="K413" s="116"/>
      <c r="L413" s="116"/>
      <c r="M413" s="129"/>
      <c r="N413" s="129" t="e">
        <f t="shared" si="109"/>
        <v>#DIV/0!</v>
      </c>
      <c r="O413" s="129" t="e">
        <f t="shared" si="110"/>
        <v>#DIV/0!</v>
      </c>
      <c r="P413" s="114" t="e">
        <f t="shared" si="114"/>
        <v>#DIV/0!</v>
      </c>
      <c r="Q413" s="7" t="e">
        <f t="shared" si="115"/>
        <v>#DIV/0!</v>
      </c>
      <c r="R413" s="5" t="e">
        <f t="shared" si="113"/>
        <v>#DIV/0!</v>
      </c>
    </row>
    <row r="414" spans="1:18" s="4" customFormat="1" ht="15" hidden="1" customHeight="1">
      <c r="A414" s="64"/>
      <c r="B414" s="7">
        <f t="shared" si="116"/>
        <v>134</v>
      </c>
      <c r="C414" s="7"/>
      <c r="D414" s="7"/>
      <c r="E414" s="7"/>
      <c r="F414" s="7"/>
      <c r="G414" s="7"/>
      <c r="H414" s="91"/>
      <c r="I414" s="115"/>
      <c r="J414" s="116"/>
      <c r="K414" s="116"/>
      <c r="L414" s="116"/>
      <c r="M414" s="129"/>
      <c r="N414" s="129" t="e">
        <f t="shared" si="109"/>
        <v>#DIV/0!</v>
      </c>
      <c r="O414" s="129" t="e">
        <f t="shared" si="110"/>
        <v>#DIV/0!</v>
      </c>
      <c r="P414" s="114" t="e">
        <f t="shared" si="114"/>
        <v>#DIV/0!</v>
      </c>
      <c r="Q414" s="7" t="e">
        <f t="shared" si="115"/>
        <v>#DIV/0!</v>
      </c>
      <c r="R414" s="5" t="e">
        <f t="shared" si="113"/>
        <v>#DIV/0!</v>
      </c>
    </row>
    <row r="415" spans="1:18" s="4" customFormat="1" ht="15" hidden="1" customHeight="1">
      <c r="A415" s="64"/>
      <c r="B415" s="7">
        <f t="shared" si="116"/>
        <v>135</v>
      </c>
      <c r="C415" s="7"/>
      <c r="D415" s="7"/>
      <c r="E415" s="7"/>
      <c r="F415" s="7"/>
      <c r="G415" s="7"/>
      <c r="H415" s="91"/>
      <c r="I415" s="115"/>
      <c r="J415" s="116"/>
      <c r="K415" s="116"/>
      <c r="L415" s="116"/>
      <c r="M415" s="129"/>
      <c r="N415" s="129" t="e">
        <f t="shared" si="109"/>
        <v>#DIV/0!</v>
      </c>
      <c r="O415" s="129" t="e">
        <f t="shared" si="110"/>
        <v>#DIV/0!</v>
      </c>
      <c r="P415" s="114" t="e">
        <f t="shared" si="114"/>
        <v>#DIV/0!</v>
      </c>
      <c r="Q415" s="7" t="e">
        <f t="shared" si="115"/>
        <v>#DIV/0!</v>
      </c>
      <c r="R415" s="5" t="e">
        <f t="shared" si="113"/>
        <v>#DIV/0!</v>
      </c>
    </row>
    <row r="416" spans="1:18" s="4" customFormat="1" ht="15" hidden="1" customHeight="1">
      <c r="A416" s="64"/>
      <c r="B416" s="7">
        <f t="shared" si="116"/>
        <v>136</v>
      </c>
      <c r="C416" s="7"/>
      <c r="D416" s="7"/>
      <c r="E416" s="7"/>
      <c r="F416" s="7"/>
      <c r="G416" s="7"/>
      <c r="H416" s="91"/>
      <c r="I416" s="115"/>
      <c r="J416" s="116"/>
      <c r="K416" s="116"/>
      <c r="L416" s="116"/>
      <c r="M416" s="129"/>
      <c r="N416" s="129" t="e">
        <f t="shared" si="109"/>
        <v>#DIV/0!</v>
      </c>
      <c r="O416" s="129" t="e">
        <f t="shared" si="110"/>
        <v>#DIV/0!</v>
      </c>
      <c r="P416" s="114" t="e">
        <f t="shared" si="114"/>
        <v>#DIV/0!</v>
      </c>
      <c r="Q416" s="7" t="e">
        <f t="shared" si="115"/>
        <v>#DIV/0!</v>
      </c>
      <c r="R416" s="5" t="e">
        <f t="shared" si="113"/>
        <v>#DIV/0!</v>
      </c>
    </row>
    <row r="417" spans="1:18" s="4" customFormat="1" ht="15" hidden="1" customHeight="1">
      <c r="A417" s="64"/>
      <c r="B417" s="7">
        <f t="shared" si="116"/>
        <v>137</v>
      </c>
      <c r="C417" s="7"/>
      <c r="D417" s="7"/>
      <c r="E417" s="7"/>
      <c r="F417" s="7"/>
      <c r="G417" s="7"/>
      <c r="H417" s="91"/>
      <c r="I417" s="115"/>
      <c r="J417" s="116"/>
      <c r="K417" s="116"/>
      <c r="L417" s="116"/>
      <c r="M417" s="129"/>
      <c r="N417" s="129" t="e">
        <f t="shared" si="109"/>
        <v>#DIV/0!</v>
      </c>
      <c r="O417" s="129" t="e">
        <f t="shared" si="110"/>
        <v>#DIV/0!</v>
      </c>
      <c r="P417" s="114" t="e">
        <f t="shared" si="114"/>
        <v>#DIV/0!</v>
      </c>
      <c r="Q417" s="7" t="e">
        <f t="shared" si="115"/>
        <v>#DIV/0!</v>
      </c>
      <c r="R417" s="5" t="e">
        <f t="shared" si="113"/>
        <v>#DIV/0!</v>
      </c>
    </row>
    <row r="418" spans="1:18" s="4" customFormat="1" ht="15" hidden="1" customHeight="1">
      <c r="A418" s="64"/>
      <c r="B418" s="7">
        <f t="shared" si="116"/>
        <v>138</v>
      </c>
      <c r="C418" s="7"/>
      <c r="D418" s="7"/>
      <c r="E418" s="7"/>
      <c r="F418" s="7"/>
      <c r="G418" s="7"/>
      <c r="H418" s="91"/>
      <c r="I418" s="115"/>
      <c r="J418" s="116"/>
      <c r="K418" s="116"/>
      <c r="L418" s="116"/>
      <c r="M418" s="129"/>
      <c r="N418" s="129" t="e">
        <f t="shared" si="109"/>
        <v>#DIV/0!</v>
      </c>
      <c r="O418" s="129" t="e">
        <f t="shared" si="110"/>
        <v>#DIV/0!</v>
      </c>
      <c r="P418" s="114" t="e">
        <f t="shared" si="114"/>
        <v>#DIV/0!</v>
      </c>
      <c r="Q418" s="7" t="e">
        <f t="shared" si="115"/>
        <v>#DIV/0!</v>
      </c>
      <c r="R418" s="5" t="e">
        <f t="shared" si="113"/>
        <v>#DIV/0!</v>
      </c>
    </row>
    <row r="419" spans="1:18" s="4" customFormat="1" ht="15" hidden="1" customHeight="1">
      <c r="A419" s="64"/>
      <c r="B419" s="7">
        <f t="shared" si="116"/>
        <v>139</v>
      </c>
      <c r="C419" s="7"/>
      <c r="D419" s="7"/>
      <c r="E419" s="7"/>
      <c r="F419" s="7"/>
      <c r="G419" s="7"/>
      <c r="H419" s="91"/>
      <c r="I419" s="115"/>
      <c r="J419" s="116"/>
      <c r="K419" s="116"/>
      <c r="L419" s="116"/>
      <c r="M419" s="129"/>
      <c r="N419" s="129" t="e">
        <f t="shared" si="109"/>
        <v>#DIV/0!</v>
      </c>
      <c r="O419" s="129" t="e">
        <f t="shared" si="110"/>
        <v>#DIV/0!</v>
      </c>
      <c r="P419" s="114" t="e">
        <f t="shared" si="114"/>
        <v>#DIV/0!</v>
      </c>
      <c r="Q419" s="7" t="e">
        <f t="shared" si="115"/>
        <v>#DIV/0!</v>
      </c>
      <c r="R419" s="5" t="e">
        <f t="shared" si="113"/>
        <v>#DIV/0!</v>
      </c>
    </row>
    <row r="420" spans="1:18" s="4" customFormat="1" ht="15" hidden="1" customHeight="1">
      <c r="A420" s="64"/>
      <c r="B420" s="7">
        <f t="shared" si="116"/>
        <v>140</v>
      </c>
      <c r="C420" s="7"/>
      <c r="D420" s="7"/>
      <c r="E420" s="7"/>
      <c r="F420" s="7"/>
      <c r="G420" s="7"/>
      <c r="H420" s="91"/>
      <c r="I420" s="115"/>
      <c r="J420" s="116"/>
      <c r="K420" s="116"/>
      <c r="L420" s="116"/>
      <c r="M420" s="129"/>
      <c r="N420" s="129" t="e">
        <f t="shared" si="109"/>
        <v>#DIV/0!</v>
      </c>
      <c r="O420" s="129" t="e">
        <f t="shared" si="110"/>
        <v>#DIV/0!</v>
      </c>
      <c r="P420" s="114" t="e">
        <f t="shared" si="114"/>
        <v>#DIV/0!</v>
      </c>
      <c r="Q420" s="7" t="e">
        <f t="shared" si="115"/>
        <v>#DIV/0!</v>
      </c>
      <c r="R420" s="5" t="e">
        <f t="shared" si="113"/>
        <v>#DIV/0!</v>
      </c>
    </row>
    <row r="421" spans="1:18" s="4" customFormat="1" ht="15" hidden="1" customHeight="1">
      <c r="A421" s="64"/>
      <c r="B421" s="7">
        <f t="shared" si="116"/>
        <v>141</v>
      </c>
      <c r="C421" s="7"/>
      <c r="D421" s="7"/>
      <c r="E421" s="7"/>
      <c r="F421" s="7"/>
      <c r="G421" s="7"/>
      <c r="H421" s="91"/>
      <c r="I421" s="115"/>
      <c r="J421" s="116"/>
      <c r="K421" s="116"/>
      <c r="L421" s="116"/>
      <c r="M421" s="129"/>
      <c r="N421" s="129" t="e">
        <f t="shared" si="109"/>
        <v>#DIV/0!</v>
      </c>
      <c r="O421" s="129" t="e">
        <f t="shared" si="110"/>
        <v>#DIV/0!</v>
      </c>
      <c r="P421" s="114" t="e">
        <f t="shared" si="114"/>
        <v>#DIV/0!</v>
      </c>
      <c r="Q421" s="7" t="e">
        <f t="shared" si="115"/>
        <v>#DIV/0!</v>
      </c>
      <c r="R421" s="5" t="e">
        <f t="shared" si="113"/>
        <v>#DIV/0!</v>
      </c>
    </row>
    <row r="422" spans="1:18" s="4" customFormat="1" ht="15" hidden="1" customHeight="1">
      <c r="A422" s="64"/>
      <c r="B422" s="7">
        <f t="shared" si="116"/>
        <v>142</v>
      </c>
      <c r="C422" s="7"/>
      <c r="D422" s="7"/>
      <c r="E422" s="7"/>
      <c r="F422" s="7"/>
      <c r="G422" s="7"/>
      <c r="H422" s="91"/>
      <c r="I422" s="115"/>
      <c r="J422" s="116"/>
      <c r="K422" s="116"/>
      <c r="L422" s="116"/>
      <c r="M422" s="129"/>
      <c r="N422" s="129" t="e">
        <f t="shared" si="109"/>
        <v>#DIV/0!</v>
      </c>
      <c r="O422" s="129" t="e">
        <f t="shared" si="110"/>
        <v>#DIV/0!</v>
      </c>
      <c r="P422" s="114" t="e">
        <f t="shared" si="114"/>
        <v>#DIV/0!</v>
      </c>
      <c r="Q422" s="7" t="e">
        <f t="shared" si="115"/>
        <v>#DIV/0!</v>
      </c>
      <c r="R422" s="5" t="e">
        <f t="shared" si="113"/>
        <v>#DIV/0!</v>
      </c>
    </row>
    <row r="423" spans="1:18" s="4" customFormat="1" ht="15" hidden="1" customHeight="1">
      <c r="A423" s="64"/>
      <c r="B423" s="7">
        <f t="shared" si="116"/>
        <v>143</v>
      </c>
      <c r="C423" s="7"/>
      <c r="D423" s="7"/>
      <c r="E423" s="7"/>
      <c r="F423" s="7"/>
      <c r="G423" s="7"/>
      <c r="H423" s="91"/>
      <c r="I423" s="115"/>
      <c r="J423" s="116"/>
      <c r="K423" s="116"/>
      <c r="L423" s="116"/>
      <c r="M423" s="129"/>
      <c r="N423" s="129" t="e">
        <f t="shared" si="109"/>
        <v>#DIV/0!</v>
      </c>
      <c r="O423" s="129" t="e">
        <f t="shared" si="110"/>
        <v>#DIV/0!</v>
      </c>
      <c r="P423" s="114" t="e">
        <f t="shared" si="114"/>
        <v>#DIV/0!</v>
      </c>
      <c r="Q423" s="7" t="e">
        <f t="shared" si="115"/>
        <v>#DIV/0!</v>
      </c>
      <c r="R423" s="5" t="e">
        <f t="shared" si="113"/>
        <v>#DIV/0!</v>
      </c>
    </row>
    <row r="424" spans="1:18" s="4" customFormat="1" ht="15" hidden="1" customHeight="1">
      <c r="A424" s="64"/>
      <c r="B424" s="7">
        <f t="shared" si="116"/>
        <v>144</v>
      </c>
      <c r="C424" s="7"/>
      <c r="D424" s="7"/>
      <c r="E424" s="7"/>
      <c r="F424" s="7"/>
      <c r="G424" s="7"/>
      <c r="H424" s="91"/>
      <c r="I424" s="115"/>
      <c r="J424" s="116"/>
      <c r="K424" s="116"/>
      <c r="L424" s="116"/>
      <c r="M424" s="129"/>
      <c r="N424" s="129" t="e">
        <f t="shared" si="109"/>
        <v>#DIV/0!</v>
      </c>
      <c r="O424" s="129" t="e">
        <f t="shared" si="110"/>
        <v>#DIV/0!</v>
      </c>
      <c r="P424" s="114" t="e">
        <f t="shared" si="114"/>
        <v>#DIV/0!</v>
      </c>
      <c r="Q424" s="7" t="e">
        <f t="shared" si="115"/>
        <v>#DIV/0!</v>
      </c>
      <c r="R424" s="5" t="e">
        <f t="shared" si="113"/>
        <v>#DIV/0!</v>
      </c>
    </row>
    <row r="425" spans="1:18" s="4" customFormat="1" ht="15" hidden="1" customHeight="1">
      <c r="A425" s="64"/>
      <c r="B425" s="7">
        <f t="shared" si="116"/>
        <v>145</v>
      </c>
      <c r="C425" s="7"/>
      <c r="D425" s="7"/>
      <c r="E425" s="7"/>
      <c r="F425" s="7"/>
      <c r="G425" s="7"/>
      <c r="H425" s="91"/>
      <c r="I425" s="115"/>
      <c r="J425" s="116"/>
      <c r="K425" s="116"/>
      <c r="L425" s="116"/>
      <c r="M425" s="129"/>
      <c r="N425" s="129" t="e">
        <f t="shared" si="109"/>
        <v>#DIV/0!</v>
      </c>
      <c r="O425" s="129" t="e">
        <f t="shared" si="110"/>
        <v>#DIV/0!</v>
      </c>
      <c r="P425" s="114" t="e">
        <f t="shared" si="114"/>
        <v>#DIV/0!</v>
      </c>
      <c r="Q425" s="7" t="e">
        <f t="shared" si="115"/>
        <v>#DIV/0!</v>
      </c>
      <c r="R425" s="5" t="e">
        <f t="shared" si="113"/>
        <v>#DIV/0!</v>
      </c>
    </row>
    <row r="426" spans="1:18" s="4" customFormat="1" ht="15" hidden="1" customHeight="1">
      <c r="A426" s="64"/>
      <c r="B426" s="7">
        <f t="shared" si="116"/>
        <v>146</v>
      </c>
      <c r="C426" s="7"/>
      <c r="D426" s="7"/>
      <c r="E426" s="7"/>
      <c r="F426" s="7"/>
      <c r="G426" s="7"/>
      <c r="H426" s="91"/>
      <c r="I426" s="115"/>
      <c r="J426" s="116"/>
      <c r="K426" s="116"/>
      <c r="L426" s="116"/>
      <c r="M426" s="129"/>
      <c r="N426" s="129" t="e">
        <f t="shared" si="109"/>
        <v>#DIV/0!</v>
      </c>
      <c r="O426" s="129" t="e">
        <f t="shared" si="110"/>
        <v>#DIV/0!</v>
      </c>
      <c r="P426" s="114" t="e">
        <f t="shared" si="114"/>
        <v>#DIV/0!</v>
      </c>
      <c r="Q426" s="7" t="e">
        <f t="shared" si="115"/>
        <v>#DIV/0!</v>
      </c>
      <c r="R426" s="5" t="e">
        <f t="shared" si="113"/>
        <v>#DIV/0!</v>
      </c>
    </row>
    <row r="427" spans="1:18" s="4" customFormat="1" ht="15" hidden="1" customHeight="1">
      <c r="A427" s="64"/>
      <c r="B427" s="7">
        <f t="shared" si="116"/>
        <v>147</v>
      </c>
      <c r="C427" s="7"/>
      <c r="D427" s="7"/>
      <c r="E427" s="7"/>
      <c r="F427" s="7"/>
      <c r="G427" s="7"/>
      <c r="H427" s="91"/>
      <c r="I427" s="115"/>
      <c r="J427" s="116"/>
      <c r="K427" s="116"/>
      <c r="L427" s="116"/>
      <c r="M427" s="129"/>
      <c r="N427" s="129" t="e">
        <f t="shared" si="109"/>
        <v>#DIV/0!</v>
      </c>
      <c r="O427" s="129" t="e">
        <f t="shared" si="110"/>
        <v>#DIV/0!</v>
      </c>
      <c r="P427" s="114" t="e">
        <f t="shared" si="114"/>
        <v>#DIV/0!</v>
      </c>
      <c r="Q427" s="7" t="e">
        <f t="shared" si="115"/>
        <v>#DIV/0!</v>
      </c>
      <c r="R427" s="5" t="e">
        <f t="shared" si="113"/>
        <v>#DIV/0!</v>
      </c>
    </row>
    <row r="428" spans="1:18" s="4" customFormat="1" ht="15" hidden="1" customHeight="1">
      <c r="A428" s="64"/>
      <c r="B428" s="7">
        <f t="shared" si="116"/>
        <v>148</v>
      </c>
      <c r="C428" s="7"/>
      <c r="D428" s="7"/>
      <c r="E428" s="7"/>
      <c r="F428" s="7"/>
      <c r="G428" s="7"/>
      <c r="H428" s="91"/>
      <c r="I428" s="115"/>
      <c r="J428" s="116"/>
      <c r="K428" s="116"/>
      <c r="L428" s="116"/>
      <c r="M428" s="129"/>
      <c r="N428" s="129" t="e">
        <f t="shared" si="109"/>
        <v>#DIV/0!</v>
      </c>
      <c r="O428" s="129" t="e">
        <f t="shared" si="110"/>
        <v>#DIV/0!</v>
      </c>
      <c r="P428" s="114" t="e">
        <f t="shared" si="114"/>
        <v>#DIV/0!</v>
      </c>
      <c r="Q428" s="7" t="e">
        <f t="shared" si="115"/>
        <v>#DIV/0!</v>
      </c>
      <c r="R428" s="5" t="e">
        <f t="shared" si="113"/>
        <v>#DIV/0!</v>
      </c>
    </row>
    <row r="429" spans="1:18" s="4" customFormat="1" ht="15" hidden="1" customHeight="1">
      <c r="A429" s="64"/>
      <c r="B429" s="7">
        <f t="shared" si="116"/>
        <v>149</v>
      </c>
      <c r="C429" s="7"/>
      <c r="D429" s="7"/>
      <c r="E429" s="7"/>
      <c r="F429" s="7"/>
      <c r="G429" s="7"/>
      <c r="H429" s="91"/>
      <c r="I429" s="115"/>
      <c r="J429" s="116"/>
      <c r="K429" s="116"/>
      <c r="L429" s="116"/>
      <c r="M429" s="129"/>
      <c r="N429" s="129" t="e">
        <f t="shared" si="109"/>
        <v>#DIV/0!</v>
      </c>
      <c r="O429" s="129" t="e">
        <f t="shared" si="110"/>
        <v>#DIV/0!</v>
      </c>
      <c r="P429" s="114" t="e">
        <f t="shared" si="114"/>
        <v>#DIV/0!</v>
      </c>
      <c r="Q429" s="7" t="e">
        <f t="shared" si="115"/>
        <v>#DIV/0!</v>
      </c>
      <c r="R429" s="5" t="e">
        <f t="shared" si="113"/>
        <v>#DIV/0!</v>
      </c>
    </row>
    <row r="430" spans="1:18" s="4" customFormat="1" ht="15" hidden="1" customHeight="1">
      <c r="A430" s="64"/>
      <c r="B430" s="7">
        <f t="shared" si="116"/>
        <v>150</v>
      </c>
      <c r="C430" s="7"/>
      <c r="D430" s="7"/>
      <c r="E430" s="7"/>
      <c r="F430" s="7"/>
      <c r="G430" s="7"/>
      <c r="H430" s="91"/>
      <c r="I430" s="115"/>
      <c r="J430" s="116"/>
      <c r="K430" s="116"/>
      <c r="L430" s="116"/>
      <c r="M430" s="129"/>
      <c r="N430" s="129" t="e">
        <f t="shared" si="109"/>
        <v>#DIV/0!</v>
      </c>
      <c r="O430" s="129" t="e">
        <f t="shared" si="110"/>
        <v>#DIV/0!</v>
      </c>
      <c r="P430" s="114" t="e">
        <f t="shared" si="114"/>
        <v>#DIV/0!</v>
      </c>
      <c r="Q430" s="7" t="e">
        <f t="shared" si="115"/>
        <v>#DIV/0!</v>
      </c>
      <c r="R430" s="5" t="e">
        <f t="shared" si="113"/>
        <v>#DIV/0!</v>
      </c>
    </row>
    <row r="431" spans="1:18" s="4" customFormat="1" ht="15" hidden="1" customHeight="1">
      <c r="A431" s="64"/>
      <c r="B431" s="7">
        <f t="shared" si="116"/>
        <v>151</v>
      </c>
      <c r="C431" s="7"/>
      <c r="D431" s="7"/>
      <c r="E431" s="7"/>
      <c r="F431" s="7"/>
      <c r="G431" s="7"/>
      <c r="H431" s="91"/>
      <c r="I431" s="115"/>
      <c r="J431" s="116"/>
      <c r="K431" s="116"/>
      <c r="L431" s="116"/>
      <c r="M431" s="129"/>
      <c r="N431" s="129" t="e">
        <f t="shared" si="109"/>
        <v>#DIV/0!</v>
      </c>
      <c r="O431" s="129" t="e">
        <f t="shared" si="110"/>
        <v>#DIV/0!</v>
      </c>
      <c r="P431" s="114" t="e">
        <f t="shared" si="114"/>
        <v>#DIV/0!</v>
      </c>
      <c r="Q431" s="7" t="e">
        <f t="shared" si="115"/>
        <v>#DIV/0!</v>
      </c>
      <c r="R431" s="5" t="e">
        <f t="shared" si="113"/>
        <v>#DIV/0!</v>
      </c>
    </row>
    <row r="432" spans="1:18" s="4" customFormat="1" ht="15" hidden="1" customHeight="1">
      <c r="A432" s="64"/>
      <c r="B432" s="7">
        <f t="shared" si="116"/>
        <v>152</v>
      </c>
      <c r="C432" s="7"/>
      <c r="D432" s="7"/>
      <c r="E432" s="7"/>
      <c r="F432" s="7"/>
      <c r="G432" s="7"/>
      <c r="H432" s="91"/>
      <c r="I432" s="115"/>
      <c r="J432" s="116"/>
      <c r="K432" s="116"/>
      <c r="L432" s="116"/>
      <c r="M432" s="129"/>
      <c r="N432" s="129" t="e">
        <f t="shared" si="109"/>
        <v>#DIV/0!</v>
      </c>
      <c r="O432" s="129" t="e">
        <f t="shared" si="110"/>
        <v>#DIV/0!</v>
      </c>
      <c r="P432" s="114" t="e">
        <f t="shared" si="114"/>
        <v>#DIV/0!</v>
      </c>
      <c r="Q432" s="7" t="e">
        <f t="shared" si="115"/>
        <v>#DIV/0!</v>
      </c>
      <c r="R432" s="5" t="e">
        <f t="shared" si="113"/>
        <v>#DIV/0!</v>
      </c>
    </row>
    <row r="433" spans="1:18" s="4" customFormat="1" ht="15" hidden="1" customHeight="1">
      <c r="A433" s="64"/>
      <c r="B433" s="7">
        <f t="shared" si="116"/>
        <v>153</v>
      </c>
      <c r="C433" s="7"/>
      <c r="D433" s="7"/>
      <c r="E433" s="7"/>
      <c r="F433" s="7"/>
      <c r="G433" s="7"/>
      <c r="H433" s="91"/>
      <c r="I433" s="115"/>
      <c r="J433" s="116"/>
      <c r="K433" s="116"/>
      <c r="L433" s="116"/>
      <c r="M433" s="129"/>
      <c r="N433" s="129" t="e">
        <f t="shared" si="109"/>
        <v>#DIV/0!</v>
      </c>
      <c r="O433" s="129" t="e">
        <f t="shared" si="110"/>
        <v>#DIV/0!</v>
      </c>
      <c r="P433" s="114" t="e">
        <f t="shared" si="114"/>
        <v>#DIV/0!</v>
      </c>
      <c r="Q433" s="7" t="e">
        <f t="shared" si="115"/>
        <v>#DIV/0!</v>
      </c>
      <c r="R433" s="5" t="e">
        <f t="shared" si="113"/>
        <v>#DIV/0!</v>
      </c>
    </row>
    <row r="434" spans="1:18" s="4" customFormat="1" ht="15" customHeight="1">
      <c r="A434" s="64"/>
      <c r="B434" s="336" t="s">
        <v>22</v>
      </c>
      <c r="C434" s="337"/>
      <c r="D434" s="337"/>
      <c r="E434" s="338"/>
      <c r="F434" s="8">
        <f>+COUNTA(C281:C433)</f>
        <v>20</v>
      </c>
      <c r="G434" s="9"/>
      <c r="H434" s="7"/>
      <c r="I434" s="91"/>
      <c r="J434" s="91"/>
      <c r="K434" s="92"/>
      <c r="L434" s="92"/>
      <c r="M434" s="92"/>
      <c r="N434" s="129"/>
      <c r="O434" s="129"/>
      <c r="P434" s="129"/>
      <c r="Q434" s="114"/>
      <c r="R434" s="5" t="b">
        <f t="shared" si="113"/>
        <v>0</v>
      </c>
    </row>
    <row r="435" spans="1:18" s="4" customFormat="1" ht="15" customHeight="1">
      <c r="A435" s="64"/>
      <c r="B435" s="327" t="s">
        <v>2216</v>
      </c>
      <c r="C435" s="328"/>
      <c r="D435" s="328"/>
      <c r="E435" s="328"/>
      <c r="F435" s="328"/>
      <c r="G435" s="328"/>
      <c r="H435" s="328"/>
      <c r="I435" s="328"/>
      <c r="J435" s="328"/>
      <c r="K435" s="328"/>
      <c r="L435" s="328"/>
      <c r="M435" s="328"/>
      <c r="N435" s="328"/>
      <c r="O435" s="328"/>
      <c r="P435" s="328"/>
      <c r="Q435" s="329"/>
      <c r="R435" s="5" t="b">
        <f t="shared" si="113"/>
        <v>0</v>
      </c>
    </row>
    <row r="436" spans="1:18" s="4" customFormat="1" ht="15" customHeight="1">
      <c r="A436" s="64"/>
      <c r="B436" s="7">
        <v>1</v>
      </c>
      <c r="C436" s="211" t="s">
        <v>10</v>
      </c>
      <c r="D436" s="211" t="s">
        <v>298</v>
      </c>
      <c r="E436" s="211" t="s">
        <v>15</v>
      </c>
      <c r="F436" s="211" t="s">
        <v>30</v>
      </c>
      <c r="G436" s="211">
        <v>2006</v>
      </c>
      <c r="H436" s="211" t="s">
        <v>25</v>
      </c>
      <c r="I436" s="256" t="s">
        <v>26</v>
      </c>
      <c r="J436" s="240">
        <v>25319.74</v>
      </c>
      <c r="K436" s="239">
        <v>325.36</v>
      </c>
      <c r="L436" s="239">
        <v>87.62</v>
      </c>
      <c r="M436" s="239">
        <v>307.02</v>
      </c>
      <c r="N436" s="129">
        <f t="shared" ref="N436:N459" si="117">+K436/(K436+L436)</f>
        <v>0.78783476197394542</v>
      </c>
      <c r="O436" s="129">
        <f t="shared" ref="O436:O459" si="118">+(K436+M436)/(K436+L436+M436)</f>
        <v>0.87830555555555556</v>
      </c>
      <c r="P436" s="129">
        <f t="shared" ref="P436:P459" si="119">+K436/(K436+M436)</f>
        <v>0.51450077485056456</v>
      </c>
      <c r="Q436" s="114">
        <f t="shared" ref="Q436:Q459" si="120">+J436/K436</f>
        <v>77.820690926973199</v>
      </c>
      <c r="R436" s="5" t="b">
        <f t="shared" si="113"/>
        <v>0</v>
      </c>
    </row>
    <row r="437" spans="1:18" s="4" customFormat="1" ht="15" customHeight="1">
      <c r="A437" s="64"/>
      <c r="B437" s="7">
        <f>+B436+1</f>
        <v>2</v>
      </c>
      <c r="C437" s="211" t="s">
        <v>10</v>
      </c>
      <c r="D437" s="211" t="s">
        <v>2134</v>
      </c>
      <c r="E437" s="211" t="s">
        <v>15</v>
      </c>
      <c r="F437" s="211" t="s">
        <v>30</v>
      </c>
      <c r="G437" s="211">
        <v>2011</v>
      </c>
      <c r="H437" s="211" t="s">
        <v>25</v>
      </c>
      <c r="I437" s="256" t="s">
        <v>26</v>
      </c>
      <c r="J437" s="240">
        <v>48014.49</v>
      </c>
      <c r="K437" s="239">
        <v>342.27</v>
      </c>
      <c r="L437" s="239">
        <v>10.210000000000001</v>
      </c>
      <c r="M437" s="239">
        <v>367.52</v>
      </c>
      <c r="N437" s="129">
        <f t="shared" si="117"/>
        <v>0.97103381752156159</v>
      </c>
      <c r="O437" s="129">
        <f t="shared" si="118"/>
        <v>0.98581944444444436</v>
      </c>
      <c r="P437" s="129">
        <f t="shared" si="119"/>
        <v>0.48221304892996519</v>
      </c>
      <c r="Q437" s="114">
        <f t="shared" si="120"/>
        <v>140.28249627487071</v>
      </c>
      <c r="R437" s="5" t="str">
        <f t="shared" si="113"/>
        <v>PAMA</v>
      </c>
    </row>
    <row r="438" spans="1:18" s="4" customFormat="1" ht="15" customHeight="1">
      <c r="A438" s="64"/>
      <c r="B438" s="7">
        <f t="shared" ref="B438:B501" si="121">+B437+1</f>
        <v>3</v>
      </c>
      <c r="C438" s="211" t="s">
        <v>10</v>
      </c>
      <c r="D438" s="211" t="s">
        <v>479</v>
      </c>
      <c r="E438" s="211" t="s">
        <v>15</v>
      </c>
      <c r="F438" s="211" t="s">
        <v>30</v>
      </c>
      <c r="G438" s="211">
        <v>2008</v>
      </c>
      <c r="H438" s="211" t="s">
        <v>25</v>
      </c>
      <c r="I438" s="256" t="s">
        <v>26</v>
      </c>
      <c r="J438" s="240">
        <v>30593.52</v>
      </c>
      <c r="K438" s="239">
        <v>339.52</v>
      </c>
      <c r="L438" s="239">
        <v>35.69</v>
      </c>
      <c r="M438" s="239">
        <v>344.78999999999996</v>
      </c>
      <c r="N438" s="129">
        <f t="shared" si="117"/>
        <v>0.9048799339036806</v>
      </c>
      <c r="O438" s="129">
        <f t="shared" si="118"/>
        <v>0.95043055555555545</v>
      </c>
      <c r="P438" s="129">
        <f t="shared" si="119"/>
        <v>0.49614940597097806</v>
      </c>
      <c r="Q438" s="114">
        <f t="shared" si="120"/>
        <v>90.108152686145147</v>
      </c>
      <c r="R438" s="5" t="str">
        <f t="shared" si="113"/>
        <v>PAMA</v>
      </c>
    </row>
    <row r="439" spans="1:18" s="4" customFormat="1" ht="15" customHeight="1">
      <c r="A439" s="64"/>
      <c r="B439" s="7">
        <f t="shared" si="121"/>
        <v>4</v>
      </c>
      <c r="C439" s="211" t="s">
        <v>10</v>
      </c>
      <c r="D439" s="211" t="s">
        <v>480</v>
      </c>
      <c r="E439" s="211" t="s">
        <v>15</v>
      </c>
      <c r="F439" s="211" t="s">
        <v>30</v>
      </c>
      <c r="G439" s="211">
        <v>2008</v>
      </c>
      <c r="H439" s="211" t="s">
        <v>25</v>
      </c>
      <c r="I439" s="256" t="s">
        <v>26</v>
      </c>
      <c r="J439" s="240">
        <v>45410.85</v>
      </c>
      <c r="K439" s="239">
        <v>339.41</v>
      </c>
      <c r="L439" s="239">
        <v>46.5</v>
      </c>
      <c r="M439" s="239">
        <v>334.09</v>
      </c>
      <c r="N439" s="129">
        <f t="shared" si="117"/>
        <v>0.87950558420357083</v>
      </c>
      <c r="O439" s="129">
        <f t="shared" si="118"/>
        <v>0.93541666666666667</v>
      </c>
      <c r="P439" s="129">
        <f t="shared" si="119"/>
        <v>0.50394951744617678</v>
      </c>
      <c r="Q439" s="114">
        <f t="shared" si="120"/>
        <v>133.79349459355939</v>
      </c>
      <c r="R439" s="5" t="str">
        <f t="shared" si="113"/>
        <v>PAMA</v>
      </c>
    </row>
    <row r="440" spans="1:18" s="4" customFormat="1" ht="15" customHeight="1">
      <c r="A440" s="64"/>
      <c r="B440" s="7">
        <f t="shared" si="121"/>
        <v>5</v>
      </c>
      <c r="C440" s="211" t="s">
        <v>10</v>
      </c>
      <c r="D440" s="211" t="s">
        <v>482</v>
      </c>
      <c r="E440" s="211" t="s">
        <v>15</v>
      </c>
      <c r="F440" s="211" t="s">
        <v>30</v>
      </c>
      <c r="G440" s="211">
        <v>2008</v>
      </c>
      <c r="H440" s="211" t="s">
        <v>25</v>
      </c>
      <c r="I440" s="256" t="s">
        <v>26</v>
      </c>
      <c r="J440" s="240">
        <v>25534.75</v>
      </c>
      <c r="K440" s="239">
        <v>319.22000000000003</v>
      </c>
      <c r="L440" s="239">
        <v>52.75</v>
      </c>
      <c r="M440" s="239">
        <v>348.03</v>
      </c>
      <c r="N440" s="129">
        <f t="shared" si="117"/>
        <v>0.85818748823829882</v>
      </c>
      <c r="O440" s="129">
        <f t="shared" si="118"/>
        <v>0.92673611111111109</v>
      </c>
      <c r="P440" s="129">
        <f t="shared" si="119"/>
        <v>0.47841139003372052</v>
      </c>
      <c r="Q440" s="114">
        <f t="shared" si="120"/>
        <v>79.99107198797067</v>
      </c>
      <c r="R440" s="5" t="str">
        <f t="shared" si="113"/>
        <v>PAMA</v>
      </c>
    </row>
    <row r="441" spans="1:18" s="4" customFormat="1" ht="15" customHeight="1">
      <c r="A441" s="64"/>
      <c r="B441" s="7">
        <f t="shared" si="121"/>
        <v>6</v>
      </c>
      <c r="C441" s="211" t="s">
        <v>10</v>
      </c>
      <c r="D441" s="211" t="s">
        <v>37</v>
      </c>
      <c r="E441" s="211" t="s">
        <v>15</v>
      </c>
      <c r="F441" s="211" t="s">
        <v>30</v>
      </c>
      <c r="G441" s="211">
        <v>2008</v>
      </c>
      <c r="H441" s="211" t="s">
        <v>25</v>
      </c>
      <c r="I441" s="256" t="s">
        <v>26</v>
      </c>
      <c r="J441" s="240">
        <v>26117.45</v>
      </c>
      <c r="K441" s="239">
        <v>310.16000000000003</v>
      </c>
      <c r="L441" s="239">
        <v>29.61</v>
      </c>
      <c r="M441" s="239">
        <v>380.22999999999996</v>
      </c>
      <c r="N441" s="129">
        <f t="shared" si="117"/>
        <v>0.91285281219648584</v>
      </c>
      <c r="O441" s="129">
        <f t="shared" si="118"/>
        <v>0.95887500000000003</v>
      </c>
      <c r="P441" s="129">
        <f t="shared" si="119"/>
        <v>0.4492533205869147</v>
      </c>
      <c r="Q441" s="114">
        <f t="shared" si="120"/>
        <v>84.206377353623935</v>
      </c>
      <c r="R441" s="5" t="str">
        <f t="shared" si="113"/>
        <v>PAMA</v>
      </c>
    </row>
    <row r="442" spans="1:18" s="4" customFormat="1" ht="15" customHeight="1">
      <c r="A442" s="64"/>
      <c r="B442" s="7">
        <f t="shared" si="121"/>
        <v>7</v>
      </c>
      <c r="C442" s="211" t="s">
        <v>10</v>
      </c>
      <c r="D442" s="211" t="s">
        <v>485</v>
      </c>
      <c r="E442" s="211" t="s">
        <v>15</v>
      </c>
      <c r="F442" s="211" t="s">
        <v>30</v>
      </c>
      <c r="G442" s="211">
        <v>2008</v>
      </c>
      <c r="H442" s="211" t="s">
        <v>25</v>
      </c>
      <c r="I442" s="256" t="s">
        <v>26</v>
      </c>
      <c r="J442" s="240">
        <v>28283.09</v>
      </c>
      <c r="K442" s="239">
        <v>316.73</v>
      </c>
      <c r="L442" s="239">
        <v>36.49</v>
      </c>
      <c r="M442" s="239">
        <v>366.78</v>
      </c>
      <c r="N442" s="129">
        <f t="shared" si="117"/>
        <v>0.89669327897627538</v>
      </c>
      <c r="O442" s="129">
        <f t="shared" si="118"/>
        <v>0.94931944444444438</v>
      </c>
      <c r="P442" s="129">
        <f t="shared" si="119"/>
        <v>0.46338751444748433</v>
      </c>
      <c r="Q442" s="114">
        <f t="shared" si="120"/>
        <v>89.297161620307506</v>
      </c>
      <c r="R442" s="5" t="str">
        <f t="shared" si="113"/>
        <v>PAMA</v>
      </c>
    </row>
    <row r="443" spans="1:18" s="4" customFormat="1" ht="15" customHeight="1">
      <c r="A443" s="64"/>
      <c r="B443" s="7">
        <f t="shared" si="121"/>
        <v>8</v>
      </c>
      <c r="C443" s="211" t="s">
        <v>10</v>
      </c>
      <c r="D443" s="211" t="s">
        <v>40</v>
      </c>
      <c r="E443" s="211" t="s">
        <v>15</v>
      </c>
      <c r="F443" s="211" t="s">
        <v>30</v>
      </c>
      <c r="G443" s="211">
        <v>2008</v>
      </c>
      <c r="H443" s="211" t="s">
        <v>25</v>
      </c>
      <c r="I443" s="256" t="s">
        <v>26</v>
      </c>
      <c r="J443" s="240">
        <v>34919.839999999997</v>
      </c>
      <c r="K443" s="239">
        <v>347.1</v>
      </c>
      <c r="L443" s="239">
        <v>33.85</v>
      </c>
      <c r="M443" s="239">
        <v>339.04999999999995</v>
      </c>
      <c r="N443" s="129">
        <f t="shared" si="117"/>
        <v>0.91114319464496651</v>
      </c>
      <c r="O443" s="129">
        <f t="shared" si="118"/>
        <v>0.95298611111111109</v>
      </c>
      <c r="P443" s="129">
        <f t="shared" si="119"/>
        <v>0.50586606427166081</v>
      </c>
      <c r="Q443" s="114">
        <f t="shared" si="120"/>
        <v>100.6045520023048</v>
      </c>
      <c r="R443" s="5" t="str">
        <f t="shared" si="113"/>
        <v>PAMA</v>
      </c>
    </row>
    <row r="444" spans="1:18" s="4" customFormat="1" ht="15" customHeight="1">
      <c r="A444" s="64"/>
      <c r="B444" s="7">
        <f t="shared" si="121"/>
        <v>9</v>
      </c>
      <c r="C444" s="211" t="s">
        <v>10</v>
      </c>
      <c r="D444" s="211" t="s">
        <v>46</v>
      </c>
      <c r="E444" s="211" t="s">
        <v>15</v>
      </c>
      <c r="F444" s="211" t="s">
        <v>30</v>
      </c>
      <c r="G444" s="211">
        <v>2009</v>
      </c>
      <c r="H444" s="211" t="s">
        <v>25</v>
      </c>
      <c r="I444" s="256" t="s">
        <v>26</v>
      </c>
      <c r="J444" s="240">
        <v>29055.7</v>
      </c>
      <c r="K444" s="239">
        <v>313.52999999999997</v>
      </c>
      <c r="L444" s="239">
        <v>31.96</v>
      </c>
      <c r="M444" s="239">
        <v>374.51</v>
      </c>
      <c r="N444" s="129">
        <f t="shared" si="117"/>
        <v>0.907493704593476</v>
      </c>
      <c r="O444" s="129">
        <f t="shared" si="118"/>
        <v>0.95561111111111108</v>
      </c>
      <c r="P444" s="129">
        <f t="shared" si="119"/>
        <v>0.45568571594674728</v>
      </c>
      <c r="Q444" s="114">
        <f t="shared" si="120"/>
        <v>92.672790482569468</v>
      </c>
      <c r="R444" s="5" t="str">
        <f t="shared" si="113"/>
        <v>PAMA</v>
      </c>
    </row>
    <row r="445" spans="1:18" s="4" customFormat="1" ht="15" customHeight="1">
      <c r="A445" s="64"/>
      <c r="B445" s="7">
        <f t="shared" si="121"/>
        <v>10</v>
      </c>
      <c r="C445" s="211" t="s">
        <v>10</v>
      </c>
      <c r="D445" s="211" t="s">
        <v>490</v>
      </c>
      <c r="E445" s="211" t="s">
        <v>15</v>
      </c>
      <c r="F445" s="211" t="s">
        <v>30</v>
      </c>
      <c r="G445" s="211">
        <v>2009</v>
      </c>
      <c r="H445" s="211" t="s">
        <v>25</v>
      </c>
      <c r="I445" s="256" t="s">
        <v>26</v>
      </c>
      <c r="J445" s="240">
        <v>24387.87</v>
      </c>
      <c r="K445" s="239">
        <v>330.75</v>
      </c>
      <c r="L445" s="239">
        <v>28.71</v>
      </c>
      <c r="M445" s="239">
        <v>360.53999999999996</v>
      </c>
      <c r="N445" s="129">
        <f t="shared" si="117"/>
        <v>0.92013019529293949</v>
      </c>
      <c r="O445" s="129">
        <f t="shared" si="118"/>
        <v>0.9601249999999999</v>
      </c>
      <c r="P445" s="129">
        <f t="shared" si="119"/>
        <v>0.47845332638979304</v>
      </c>
      <c r="Q445" s="114">
        <f t="shared" si="120"/>
        <v>73.7350566893424</v>
      </c>
      <c r="R445" s="5" t="str">
        <f t="shared" si="113"/>
        <v>PAMA</v>
      </c>
    </row>
    <row r="446" spans="1:18" s="4" customFormat="1" ht="15" customHeight="1">
      <c r="A446" s="64"/>
      <c r="B446" s="7">
        <f t="shared" si="121"/>
        <v>11</v>
      </c>
      <c r="C446" s="211" t="s">
        <v>10</v>
      </c>
      <c r="D446" s="211" t="s">
        <v>534</v>
      </c>
      <c r="E446" s="211" t="s">
        <v>15</v>
      </c>
      <c r="F446" s="211" t="s">
        <v>30</v>
      </c>
      <c r="G446" s="211">
        <v>2009</v>
      </c>
      <c r="H446" s="211" t="s">
        <v>25</v>
      </c>
      <c r="I446" s="256" t="s">
        <v>26</v>
      </c>
      <c r="J446" s="240">
        <v>35428.78</v>
      </c>
      <c r="K446" s="239">
        <v>314.56</v>
      </c>
      <c r="L446" s="239">
        <v>32</v>
      </c>
      <c r="M446" s="239">
        <v>373.44</v>
      </c>
      <c r="N446" s="129">
        <f t="shared" si="117"/>
        <v>0.90766389658356417</v>
      </c>
      <c r="O446" s="129">
        <f t="shared" si="118"/>
        <v>0.9555555555555556</v>
      </c>
      <c r="P446" s="129">
        <f t="shared" si="119"/>
        <v>0.45720930232558138</v>
      </c>
      <c r="Q446" s="114">
        <f t="shared" si="120"/>
        <v>112.62964140386572</v>
      </c>
      <c r="R446" s="5" t="str">
        <f t="shared" si="113"/>
        <v>PAMA</v>
      </c>
    </row>
    <row r="447" spans="1:18" s="4" customFormat="1" ht="15" customHeight="1">
      <c r="A447" s="64"/>
      <c r="B447" s="7">
        <f t="shared" si="121"/>
        <v>12</v>
      </c>
      <c r="C447" s="211" t="s">
        <v>10</v>
      </c>
      <c r="D447" s="211" t="s">
        <v>51</v>
      </c>
      <c r="E447" s="211" t="s">
        <v>15</v>
      </c>
      <c r="F447" s="211" t="s">
        <v>30</v>
      </c>
      <c r="G447" s="211">
        <v>2009</v>
      </c>
      <c r="H447" s="211" t="s">
        <v>25</v>
      </c>
      <c r="I447" s="256" t="s">
        <v>26</v>
      </c>
      <c r="J447" s="240">
        <v>24936.16</v>
      </c>
      <c r="K447" s="239">
        <v>300.14999999999998</v>
      </c>
      <c r="L447" s="239">
        <v>46.95</v>
      </c>
      <c r="M447" s="239">
        <v>372.9</v>
      </c>
      <c r="N447" s="129">
        <f t="shared" si="117"/>
        <v>0.86473638720829737</v>
      </c>
      <c r="O447" s="129">
        <f t="shared" si="118"/>
        <v>0.93479166666666658</v>
      </c>
      <c r="P447" s="129">
        <f t="shared" si="119"/>
        <v>0.44595498105638509</v>
      </c>
      <c r="Q447" s="114">
        <f t="shared" si="120"/>
        <v>83.078993836415137</v>
      </c>
      <c r="R447" s="5" t="str">
        <f t="shared" si="113"/>
        <v>PAMA</v>
      </c>
    </row>
    <row r="448" spans="1:18" s="4" customFormat="1" ht="15" customHeight="1">
      <c r="A448" s="64"/>
      <c r="B448" s="7">
        <f t="shared" si="121"/>
        <v>13</v>
      </c>
      <c r="C448" s="211" t="s">
        <v>10</v>
      </c>
      <c r="D448" s="211" t="s">
        <v>536</v>
      </c>
      <c r="E448" s="211" t="s">
        <v>15</v>
      </c>
      <c r="F448" s="211" t="s">
        <v>30</v>
      </c>
      <c r="G448" s="211">
        <v>2009</v>
      </c>
      <c r="H448" s="211" t="s">
        <v>25</v>
      </c>
      <c r="I448" s="256" t="s">
        <v>26</v>
      </c>
      <c r="J448" s="240">
        <v>21071.49</v>
      </c>
      <c r="K448" s="239">
        <v>291.45999999999998</v>
      </c>
      <c r="L448" s="239">
        <v>11.39</v>
      </c>
      <c r="M448" s="239">
        <v>417.15000000000003</v>
      </c>
      <c r="N448" s="129">
        <f t="shared" si="117"/>
        <v>0.96239062242034012</v>
      </c>
      <c r="O448" s="129">
        <f t="shared" si="118"/>
        <v>0.98418055555555561</v>
      </c>
      <c r="P448" s="129">
        <f t="shared" si="119"/>
        <v>0.41131228743596615</v>
      </c>
      <c r="Q448" s="114">
        <f t="shared" si="120"/>
        <v>72.296335689288426</v>
      </c>
      <c r="R448" s="5" t="str">
        <f t="shared" si="113"/>
        <v>PAMA</v>
      </c>
    </row>
    <row r="449" spans="1:18" s="4" customFormat="1" ht="15" customHeight="1">
      <c r="A449" s="64"/>
      <c r="B449" s="7">
        <f t="shared" si="121"/>
        <v>14</v>
      </c>
      <c r="C449" s="211" t="s">
        <v>10</v>
      </c>
      <c r="D449" s="211" t="s">
        <v>2129</v>
      </c>
      <c r="E449" s="211" t="s">
        <v>15</v>
      </c>
      <c r="F449" s="211" t="s">
        <v>30</v>
      </c>
      <c r="G449" s="211">
        <v>2009</v>
      </c>
      <c r="H449" s="211" t="s">
        <v>25</v>
      </c>
      <c r="I449" s="256" t="s">
        <v>26</v>
      </c>
      <c r="J449" s="240">
        <v>32526.75</v>
      </c>
      <c r="K449" s="239">
        <v>354.68</v>
      </c>
      <c r="L449" s="239">
        <v>25.05</v>
      </c>
      <c r="M449" s="239">
        <v>340.27000000000004</v>
      </c>
      <c r="N449" s="129">
        <f t="shared" si="117"/>
        <v>0.93403207542201039</v>
      </c>
      <c r="O449" s="129">
        <f t="shared" si="118"/>
        <v>0.96520833333333345</v>
      </c>
      <c r="P449" s="129">
        <f t="shared" si="119"/>
        <v>0.51036765234908987</v>
      </c>
      <c r="Q449" s="114">
        <f t="shared" si="120"/>
        <v>91.707313634825752</v>
      </c>
      <c r="R449" s="5" t="str">
        <f t="shared" si="113"/>
        <v>PAMA</v>
      </c>
    </row>
    <row r="450" spans="1:18" s="4" customFormat="1" ht="15" customHeight="1">
      <c r="A450" s="64"/>
      <c r="B450" s="7">
        <f t="shared" si="121"/>
        <v>15</v>
      </c>
      <c r="C450" s="211" t="s">
        <v>10</v>
      </c>
      <c r="D450" s="211" t="s">
        <v>78</v>
      </c>
      <c r="E450" s="211" t="s">
        <v>15</v>
      </c>
      <c r="F450" s="211" t="s">
        <v>30</v>
      </c>
      <c r="G450" s="211">
        <v>2012</v>
      </c>
      <c r="H450" s="211" t="s">
        <v>25</v>
      </c>
      <c r="I450" s="256" t="s">
        <v>26</v>
      </c>
      <c r="J450" s="240">
        <v>40476.65</v>
      </c>
      <c r="K450" s="239">
        <v>351.78</v>
      </c>
      <c r="L450" s="239">
        <v>24</v>
      </c>
      <c r="M450" s="239">
        <v>344.22</v>
      </c>
      <c r="N450" s="129">
        <f t="shared" si="117"/>
        <v>0.93613284368513494</v>
      </c>
      <c r="O450" s="129">
        <f t="shared" si="118"/>
        <v>0.96666666666666667</v>
      </c>
      <c r="P450" s="129">
        <f t="shared" si="119"/>
        <v>0.50543103448275861</v>
      </c>
      <c r="Q450" s="114">
        <f t="shared" si="120"/>
        <v>115.06239695264087</v>
      </c>
      <c r="R450" s="5" t="str">
        <f t="shared" si="113"/>
        <v>PAMA</v>
      </c>
    </row>
    <row r="451" spans="1:18" s="4" customFormat="1" ht="15" customHeight="1">
      <c r="A451" s="64"/>
      <c r="B451" s="7">
        <f t="shared" si="121"/>
        <v>16</v>
      </c>
      <c r="C451" s="211" t="s">
        <v>10</v>
      </c>
      <c r="D451" s="211" t="s">
        <v>2100</v>
      </c>
      <c r="E451" s="211" t="s">
        <v>15</v>
      </c>
      <c r="F451" s="211" t="s">
        <v>30</v>
      </c>
      <c r="G451" s="211">
        <v>2011</v>
      </c>
      <c r="H451" s="211" t="s">
        <v>25</v>
      </c>
      <c r="I451" s="256" t="s">
        <v>26</v>
      </c>
      <c r="J451" s="240">
        <v>22539.93</v>
      </c>
      <c r="K451" s="239">
        <v>285.82</v>
      </c>
      <c r="L451" s="239">
        <v>92.07</v>
      </c>
      <c r="M451" s="239">
        <v>342.11000000000007</v>
      </c>
      <c r="N451" s="129">
        <f t="shared" si="117"/>
        <v>0.75635767022149303</v>
      </c>
      <c r="O451" s="129">
        <f t="shared" si="118"/>
        <v>0.87212500000000004</v>
      </c>
      <c r="P451" s="129">
        <f t="shared" si="119"/>
        <v>0.45517812495023324</v>
      </c>
      <c r="Q451" s="114">
        <f t="shared" si="120"/>
        <v>78.860576586662944</v>
      </c>
      <c r="R451" s="5" t="b">
        <f t="shared" si="113"/>
        <v>0</v>
      </c>
    </row>
    <row r="452" spans="1:18" s="4" customFormat="1" ht="15" customHeight="1">
      <c r="A452" s="64"/>
      <c r="B452" s="7">
        <f t="shared" si="121"/>
        <v>17</v>
      </c>
      <c r="C452" s="211" t="s">
        <v>10</v>
      </c>
      <c r="D452" s="211" t="s">
        <v>2240</v>
      </c>
      <c r="E452" s="211" t="s">
        <v>15</v>
      </c>
      <c r="F452" s="211" t="s">
        <v>30</v>
      </c>
      <c r="G452" s="211">
        <v>2011</v>
      </c>
      <c r="H452" s="211" t="s">
        <v>25</v>
      </c>
      <c r="I452" s="256" t="s">
        <v>26</v>
      </c>
      <c r="J452" s="240">
        <v>37576.230000000003</v>
      </c>
      <c r="K452" s="239">
        <v>309.62</v>
      </c>
      <c r="L452" s="239">
        <v>24.92</v>
      </c>
      <c r="M452" s="239">
        <v>385.46000000000004</v>
      </c>
      <c r="N452" s="129">
        <f t="shared" si="117"/>
        <v>0.92550965504872362</v>
      </c>
      <c r="O452" s="129">
        <f t="shared" si="118"/>
        <v>0.96538888888888896</v>
      </c>
      <c r="P452" s="129">
        <f t="shared" si="119"/>
        <v>0.4454451286182885</v>
      </c>
      <c r="Q452" s="114">
        <f t="shared" si="120"/>
        <v>121.36241198888962</v>
      </c>
      <c r="R452" s="5" t="str">
        <f t="shared" si="113"/>
        <v>PAMA</v>
      </c>
    </row>
    <row r="453" spans="1:18" s="4" customFormat="1" ht="15" customHeight="1">
      <c r="A453" s="64"/>
      <c r="B453" s="7">
        <f t="shared" si="121"/>
        <v>18</v>
      </c>
      <c r="C453" s="211" t="s">
        <v>10</v>
      </c>
      <c r="D453" s="211" t="s">
        <v>2102</v>
      </c>
      <c r="E453" s="211" t="s">
        <v>15</v>
      </c>
      <c r="F453" s="211" t="s">
        <v>30</v>
      </c>
      <c r="G453" s="211">
        <v>2011</v>
      </c>
      <c r="H453" s="211" t="s">
        <v>25</v>
      </c>
      <c r="I453" s="256" t="s">
        <v>26</v>
      </c>
      <c r="J453" s="240">
        <v>32013.78</v>
      </c>
      <c r="K453" s="239">
        <v>297.39999999999998</v>
      </c>
      <c r="L453" s="239">
        <v>22.2</v>
      </c>
      <c r="M453" s="239">
        <v>400.4</v>
      </c>
      <c r="N453" s="129">
        <f t="shared" si="117"/>
        <v>0.9305381727158949</v>
      </c>
      <c r="O453" s="129">
        <f t="shared" si="118"/>
        <v>0.96916666666666662</v>
      </c>
      <c r="P453" s="129">
        <f t="shared" si="119"/>
        <v>0.42619661794210373</v>
      </c>
      <c r="Q453" s="114">
        <f t="shared" si="120"/>
        <v>107.64552790854069</v>
      </c>
      <c r="R453" s="5" t="str">
        <f t="shared" si="113"/>
        <v>PAMA</v>
      </c>
    </row>
    <row r="454" spans="1:18" s="4" customFormat="1" ht="15" customHeight="1">
      <c r="A454" s="64"/>
      <c r="B454" s="7">
        <f t="shared" si="121"/>
        <v>19</v>
      </c>
      <c r="C454" s="211" t="s">
        <v>10</v>
      </c>
      <c r="D454" s="211" t="s">
        <v>2130</v>
      </c>
      <c r="E454" s="211" t="s">
        <v>15</v>
      </c>
      <c r="F454" s="211" t="s">
        <v>30</v>
      </c>
      <c r="G454" s="211">
        <v>2011</v>
      </c>
      <c r="H454" s="211" t="s">
        <v>25</v>
      </c>
      <c r="I454" s="256" t="s">
        <v>26</v>
      </c>
      <c r="J454" s="240">
        <v>45240.25</v>
      </c>
      <c r="K454" s="239">
        <v>335.89</v>
      </c>
      <c r="L454" s="239">
        <v>17.63</v>
      </c>
      <c r="M454" s="239">
        <v>366.48</v>
      </c>
      <c r="N454" s="129">
        <f t="shared" si="117"/>
        <v>0.95013011993663721</v>
      </c>
      <c r="O454" s="129">
        <f t="shared" si="118"/>
        <v>0.9755138888888889</v>
      </c>
      <c r="P454" s="129">
        <f t="shared" si="119"/>
        <v>0.47822372823440634</v>
      </c>
      <c r="Q454" s="114">
        <f t="shared" si="120"/>
        <v>134.68769537646253</v>
      </c>
      <c r="R454" s="5" t="str">
        <f t="shared" si="113"/>
        <v>PAMA</v>
      </c>
    </row>
    <row r="455" spans="1:18" s="4" customFormat="1" ht="15" customHeight="1">
      <c r="A455" s="64"/>
      <c r="B455" s="7">
        <f t="shared" si="121"/>
        <v>20</v>
      </c>
      <c r="C455" s="211" t="s">
        <v>10</v>
      </c>
      <c r="D455" s="211" t="s">
        <v>2132</v>
      </c>
      <c r="E455" s="211" t="s">
        <v>15</v>
      </c>
      <c r="F455" s="211" t="s">
        <v>30</v>
      </c>
      <c r="G455" s="211">
        <v>2017</v>
      </c>
      <c r="H455" s="211" t="s">
        <v>25</v>
      </c>
      <c r="I455" s="256" t="s">
        <v>26</v>
      </c>
      <c r="J455" s="240">
        <v>36687.050000000003</v>
      </c>
      <c r="K455" s="239">
        <v>320.63</v>
      </c>
      <c r="L455" s="239">
        <v>18.059999999999999</v>
      </c>
      <c r="M455" s="239">
        <v>381.31000000000006</v>
      </c>
      <c r="N455" s="129">
        <f t="shared" si="117"/>
        <v>0.94667690218193623</v>
      </c>
      <c r="O455" s="129">
        <f t="shared" si="118"/>
        <v>0.97491666666666676</v>
      </c>
      <c r="P455" s="129">
        <f t="shared" si="119"/>
        <v>0.45677693250135337</v>
      </c>
      <c r="Q455" s="114">
        <f t="shared" si="120"/>
        <v>114.42176340329976</v>
      </c>
      <c r="R455" s="5" t="str">
        <f t="shared" si="113"/>
        <v>PAMA</v>
      </c>
    </row>
    <row r="456" spans="1:18" s="4" customFormat="1" ht="15" customHeight="1">
      <c r="A456" s="64"/>
      <c r="B456" s="7">
        <f t="shared" si="121"/>
        <v>21</v>
      </c>
      <c r="C456" s="211" t="s">
        <v>10</v>
      </c>
      <c r="D456" s="211" t="s">
        <v>506</v>
      </c>
      <c r="E456" s="211" t="s">
        <v>15</v>
      </c>
      <c r="F456" s="211" t="s">
        <v>30</v>
      </c>
      <c r="G456" s="211">
        <v>2017</v>
      </c>
      <c r="H456" s="211" t="s">
        <v>25</v>
      </c>
      <c r="I456" s="256" t="s">
        <v>26</v>
      </c>
      <c r="J456" s="240">
        <v>21958.6</v>
      </c>
      <c r="K456" s="239">
        <v>298.44</v>
      </c>
      <c r="L456" s="239">
        <v>31.65</v>
      </c>
      <c r="M456" s="239">
        <v>389.91</v>
      </c>
      <c r="N456" s="129">
        <f t="shared" si="117"/>
        <v>0.90411705898391359</v>
      </c>
      <c r="O456" s="129">
        <f t="shared" si="118"/>
        <v>0.95604166666666668</v>
      </c>
      <c r="P456" s="129">
        <f t="shared" si="119"/>
        <v>0.43355850947918934</v>
      </c>
      <c r="Q456" s="114">
        <f t="shared" si="120"/>
        <v>73.577938614126793</v>
      </c>
      <c r="R456" s="5" t="str">
        <f t="shared" si="113"/>
        <v>PAMA</v>
      </c>
    </row>
    <row r="457" spans="1:18" s="4" customFormat="1" ht="15" customHeight="1">
      <c r="A457" s="64"/>
      <c r="B457" s="7">
        <f t="shared" si="121"/>
        <v>22</v>
      </c>
      <c r="C457" s="211" t="s">
        <v>10</v>
      </c>
      <c r="D457" s="211" t="s">
        <v>445</v>
      </c>
      <c r="E457" s="211" t="s">
        <v>15</v>
      </c>
      <c r="F457" s="211" t="s">
        <v>30</v>
      </c>
      <c r="G457" s="211">
        <v>2019</v>
      </c>
      <c r="H457" s="211" t="s">
        <v>25</v>
      </c>
      <c r="I457" s="256" t="s">
        <v>26</v>
      </c>
      <c r="J457" s="240">
        <v>19786.27</v>
      </c>
      <c r="K457" s="239">
        <v>285.85000000000002</v>
      </c>
      <c r="L457" s="239">
        <v>51.02</v>
      </c>
      <c r="M457" s="239">
        <v>383.13</v>
      </c>
      <c r="N457" s="129">
        <f t="shared" si="117"/>
        <v>0.84854691720841868</v>
      </c>
      <c r="O457" s="129">
        <f t="shared" si="118"/>
        <v>0.92913888888888896</v>
      </c>
      <c r="P457" s="129">
        <f t="shared" si="119"/>
        <v>0.42729229573380373</v>
      </c>
      <c r="Q457" s="114">
        <f t="shared" si="120"/>
        <v>69.219065943676753</v>
      </c>
      <c r="R457" s="5" t="str">
        <f t="shared" si="113"/>
        <v>PAMA</v>
      </c>
    </row>
    <row r="458" spans="1:18" s="4" customFormat="1" ht="15" customHeight="1">
      <c r="A458" s="64"/>
      <c r="B458" s="7">
        <f t="shared" si="121"/>
        <v>23</v>
      </c>
      <c r="C458" s="211" t="s">
        <v>10</v>
      </c>
      <c r="D458" s="211" t="s">
        <v>446</v>
      </c>
      <c r="E458" s="211" t="s">
        <v>15</v>
      </c>
      <c r="F458" s="211" t="s">
        <v>30</v>
      </c>
      <c r="G458" s="211">
        <v>2019</v>
      </c>
      <c r="H458" s="211" t="s">
        <v>25</v>
      </c>
      <c r="I458" s="256" t="s">
        <v>26</v>
      </c>
      <c r="J458" s="240">
        <v>23187.01</v>
      </c>
      <c r="K458" s="239">
        <v>299.94</v>
      </c>
      <c r="L458" s="239">
        <v>26.91</v>
      </c>
      <c r="M458" s="239">
        <v>393.15000000000003</v>
      </c>
      <c r="N458" s="129">
        <f t="shared" si="117"/>
        <v>0.91766865534648911</v>
      </c>
      <c r="O458" s="129">
        <f t="shared" si="118"/>
        <v>0.96262500000000006</v>
      </c>
      <c r="P458" s="129">
        <f t="shared" si="119"/>
        <v>0.43275765052157728</v>
      </c>
      <c r="Q458" s="114">
        <f t="shared" si="120"/>
        <v>77.305494432219774</v>
      </c>
      <c r="R458" s="5" t="str">
        <f t="shared" si="113"/>
        <v>PAMA</v>
      </c>
    </row>
    <row r="459" spans="1:18" s="4" customFormat="1" ht="15" customHeight="1">
      <c r="A459" s="64"/>
      <c r="B459" s="7">
        <f t="shared" si="121"/>
        <v>24</v>
      </c>
      <c r="C459" s="211" t="s">
        <v>10</v>
      </c>
      <c r="D459" s="211" t="s">
        <v>447</v>
      </c>
      <c r="E459" s="211" t="s">
        <v>15</v>
      </c>
      <c r="F459" s="211" t="s">
        <v>30</v>
      </c>
      <c r="G459" s="211">
        <v>2019</v>
      </c>
      <c r="H459" s="211" t="s">
        <v>25</v>
      </c>
      <c r="I459" s="256" t="s">
        <v>26</v>
      </c>
      <c r="J459" s="240">
        <v>28026.32</v>
      </c>
      <c r="K459" s="239">
        <v>314.63</v>
      </c>
      <c r="L459" s="239">
        <v>24.67</v>
      </c>
      <c r="M459" s="239">
        <v>380.70000000000005</v>
      </c>
      <c r="N459" s="129">
        <f t="shared" si="117"/>
        <v>0.92729148246389625</v>
      </c>
      <c r="O459" s="129">
        <f t="shared" si="118"/>
        <v>0.96573611111111113</v>
      </c>
      <c r="P459" s="129">
        <f t="shared" si="119"/>
        <v>0.45249018451670425</v>
      </c>
      <c r="Q459" s="114">
        <f t="shared" si="120"/>
        <v>89.077074659123411</v>
      </c>
      <c r="R459" s="5" t="str">
        <f t="shared" si="113"/>
        <v>PAMA</v>
      </c>
    </row>
    <row r="460" spans="1:18" s="4" customFormat="1" ht="15" customHeight="1">
      <c r="A460" s="64"/>
      <c r="B460" s="7">
        <f t="shared" si="121"/>
        <v>25</v>
      </c>
      <c r="C460" s="211" t="s">
        <v>10</v>
      </c>
      <c r="D460" s="211" t="s">
        <v>458</v>
      </c>
      <c r="E460" s="211" t="s">
        <v>15</v>
      </c>
      <c r="F460" s="211" t="s">
        <v>30</v>
      </c>
      <c r="G460" s="211">
        <v>2019</v>
      </c>
      <c r="H460" s="211" t="s">
        <v>25</v>
      </c>
      <c r="I460" s="256" t="s">
        <v>26</v>
      </c>
      <c r="J460" s="240">
        <v>30879.5</v>
      </c>
      <c r="K460" s="239">
        <v>325.95</v>
      </c>
      <c r="L460" s="239">
        <v>34.29</v>
      </c>
      <c r="M460" s="239">
        <v>359.76000000000005</v>
      </c>
      <c r="N460" s="129">
        <f t="shared" ref="N460" si="122">+K460/(K460+L460)</f>
        <v>0.90481345769486998</v>
      </c>
      <c r="O460" s="129">
        <f t="shared" ref="O460" si="123">+(K460+M460)/(K460+L460+M460)</f>
        <v>0.95237500000000008</v>
      </c>
      <c r="P460" s="129">
        <f t="shared" ref="P460" si="124">+K460/(K460+M460)</f>
        <v>0.47534672091700569</v>
      </c>
      <c r="Q460" s="114">
        <f t="shared" ref="Q460" si="125">+J460/K460</f>
        <v>94.736922840926525</v>
      </c>
      <c r="R460" s="5" t="str">
        <f t="shared" si="113"/>
        <v>PAMA</v>
      </c>
    </row>
    <row r="461" spans="1:18" s="4" customFormat="1" ht="15" customHeight="1">
      <c r="A461" s="64"/>
      <c r="B461" s="7">
        <f t="shared" si="121"/>
        <v>26</v>
      </c>
      <c r="C461" s="211" t="s">
        <v>10</v>
      </c>
      <c r="D461" s="211" t="s">
        <v>2241</v>
      </c>
      <c r="E461" s="211" t="s">
        <v>15</v>
      </c>
      <c r="F461" s="211" t="s">
        <v>30</v>
      </c>
      <c r="G461" s="211">
        <v>2022</v>
      </c>
      <c r="H461" s="211" t="s">
        <v>25</v>
      </c>
      <c r="I461" s="256" t="s">
        <v>26</v>
      </c>
      <c r="J461" s="240">
        <v>27194.02</v>
      </c>
      <c r="K461" s="239">
        <v>322.58</v>
      </c>
      <c r="L461" s="239">
        <v>9.85</v>
      </c>
      <c r="M461" s="239">
        <v>387.57</v>
      </c>
      <c r="N461" s="129">
        <f t="shared" ref="N461:N462" si="126">+K461/(K461+L461)</f>
        <v>0.97036970189212757</v>
      </c>
      <c r="O461" s="129">
        <f t="shared" ref="O461:O462" si="127">+(K461+M461)/(K461+L461+M461)</f>
        <v>0.98631944444444442</v>
      </c>
      <c r="P461" s="129">
        <f t="shared" ref="P461:P462" si="128">+K461/(K461+M461)</f>
        <v>0.45424206153629515</v>
      </c>
      <c r="Q461" s="114">
        <f t="shared" ref="Q461:Q462" si="129">+J461/K461</f>
        <v>84.301630603261216</v>
      </c>
      <c r="R461" s="5" t="str">
        <f t="shared" si="113"/>
        <v>PAMA</v>
      </c>
    </row>
    <row r="462" spans="1:18" s="4" customFormat="1" ht="15" customHeight="1">
      <c r="A462" s="64"/>
      <c r="B462" s="7">
        <f t="shared" si="121"/>
        <v>27</v>
      </c>
      <c r="C462" s="211" t="s">
        <v>10</v>
      </c>
      <c r="D462" s="211" t="s">
        <v>2217</v>
      </c>
      <c r="E462" s="211" t="s">
        <v>15</v>
      </c>
      <c r="F462" s="211" t="s">
        <v>30</v>
      </c>
      <c r="G462" s="211">
        <v>2022</v>
      </c>
      <c r="H462" s="211" t="s">
        <v>25</v>
      </c>
      <c r="I462" s="256" t="s">
        <v>26</v>
      </c>
      <c r="J462" s="240">
        <v>22322</v>
      </c>
      <c r="K462" s="239">
        <v>313.41000000000003</v>
      </c>
      <c r="L462" s="239">
        <v>5.65</v>
      </c>
      <c r="M462" s="239">
        <v>400.94</v>
      </c>
      <c r="N462" s="129">
        <f t="shared" si="126"/>
        <v>0.9822917319626403</v>
      </c>
      <c r="O462" s="129">
        <f t="shared" si="127"/>
        <v>0.99215277777777777</v>
      </c>
      <c r="P462" s="129">
        <f t="shared" si="128"/>
        <v>0.43873451389374957</v>
      </c>
      <c r="Q462" s="114">
        <f t="shared" si="129"/>
        <v>71.222998627995267</v>
      </c>
      <c r="R462" s="5" t="str">
        <f t="shared" si="113"/>
        <v>PAMA</v>
      </c>
    </row>
    <row r="463" spans="1:18" s="4" customFormat="1" ht="15" hidden="1" customHeight="1">
      <c r="A463" s="64"/>
      <c r="B463" s="7">
        <f t="shared" si="121"/>
        <v>28</v>
      </c>
      <c r="C463" s="211"/>
      <c r="D463" s="211"/>
      <c r="E463" s="211"/>
      <c r="F463" s="211"/>
      <c r="G463" s="211"/>
      <c r="H463" s="211"/>
      <c r="I463" s="256"/>
      <c r="J463" s="240"/>
      <c r="K463" s="239"/>
      <c r="L463" s="239"/>
      <c r="M463" s="239"/>
      <c r="N463" s="129"/>
      <c r="O463" s="129"/>
      <c r="P463" s="129"/>
      <c r="Q463" s="114"/>
      <c r="R463" s="5" t="b">
        <f t="shared" si="113"/>
        <v>0</v>
      </c>
    </row>
    <row r="464" spans="1:18" s="4" customFormat="1" ht="15" hidden="1" customHeight="1">
      <c r="A464" s="64"/>
      <c r="B464" s="7">
        <f t="shared" si="121"/>
        <v>29</v>
      </c>
      <c r="C464" s="211"/>
      <c r="D464" s="211"/>
      <c r="E464" s="211"/>
      <c r="F464" s="211"/>
      <c r="G464" s="211"/>
      <c r="H464" s="211"/>
      <c r="I464" s="256"/>
      <c r="J464" s="240"/>
      <c r="K464" s="239"/>
      <c r="L464" s="239"/>
      <c r="M464" s="239"/>
      <c r="N464" s="129"/>
      <c r="O464" s="129"/>
      <c r="P464" s="129"/>
      <c r="Q464" s="114"/>
      <c r="R464" s="5" t="b">
        <f t="shared" si="113"/>
        <v>0</v>
      </c>
    </row>
    <row r="465" spans="1:18" s="4" customFormat="1" ht="15" hidden="1" customHeight="1">
      <c r="A465" s="64"/>
      <c r="B465" s="7">
        <f t="shared" si="121"/>
        <v>30</v>
      </c>
      <c r="C465" s="211"/>
      <c r="D465" s="211"/>
      <c r="E465" s="211"/>
      <c r="F465" s="211"/>
      <c r="G465" s="211"/>
      <c r="H465" s="211"/>
      <c r="I465" s="256"/>
      <c r="J465" s="240"/>
      <c r="K465" s="239"/>
      <c r="L465" s="239"/>
      <c r="M465" s="239"/>
      <c r="N465" s="129"/>
      <c r="O465" s="129"/>
      <c r="P465" s="129"/>
      <c r="Q465" s="114"/>
      <c r="R465" s="5" t="b">
        <f t="shared" si="113"/>
        <v>0</v>
      </c>
    </row>
    <row r="466" spans="1:18" s="4" customFormat="1" ht="15" hidden="1" customHeight="1">
      <c r="A466" s="64"/>
      <c r="B466" s="7">
        <f>+B465+1</f>
        <v>31</v>
      </c>
      <c r="C466" s="211"/>
      <c r="D466" s="211"/>
      <c r="E466" s="211"/>
      <c r="F466" s="211"/>
      <c r="G466" s="211"/>
      <c r="H466" s="211"/>
      <c r="I466" s="256"/>
      <c r="J466" s="240"/>
      <c r="K466" s="239"/>
      <c r="L466" s="239"/>
      <c r="M466" s="239"/>
      <c r="N466" s="129"/>
      <c r="O466" s="129"/>
      <c r="P466" s="129"/>
      <c r="Q466" s="114"/>
      <c r="R466" s="5" t="b">
        <f t="shared" si="113"/>
        <v>0</v>
      </c>
    </row>
    <row r="467" spans="1:18" s="4" customFormat="1" ht="15" hidden="1" customHeight="1">
      <c r="A467" s="64"/>
      <c r="B467" s="7">
        <f t="shared" si="121"/>
        <v>32</v>
      </c>
      <c r="C467" s="211"/>
      <c r="D467" s="211"/>
      <c r="E467" s="211"/>
      <c r="F467" s="211"/>
      <c r="G467" s="211"/>
      <c r="H467" s="211"/>
      <c r="I467" s="256"/>
      <c r="J467" s="240"/>
      <c r="K467" s="239"/>
      <c r="L467" s="239"/>
      <c r="M467" s="239"/>
      <c r="N467" s="129"/>
      <c r="O467" s="129"/>
      <c r="P467" s="129"/>
      <c r="Q467" s="114"/>
      <c r="R467" s="5" t="b">
        <f t="shared" si="113"/>
        <v>0</v>
      </c>
    </row>
    <row r="468" spans="1:18" s="4" customFormat="1" ht="15" hidden="1" customHeight="1">
      <c r="A468" s="64"/>
      <c r="B468" s="7">
        <f t="shared" si="121"/>
        <v>33</v>
      </c>
      <c r="C468" s="211"/>
      <c r="D468" s="211"/>
      <c r="E468" s="211"/>
      <c r="F468" s="211"/>
      <c r="G468" s="211"/>
      <c r="H468" s="211"/>
      <c r="I468" s="256"/>
      <c r="J468" s="240"/>
      <c r="K468" s="239"/>
      <c r="L468" s="239"/>
      <c r="M468" s="239"/>
      <c r="N468" s="129"/>
      <c r="O468" s="129"/>
      <c r="P468" s="129"/>
      <c r="Q468" s="114"/>
      <c r="R468" s="5" t="b">
        <f t="shared" si="113"/>
        <v>0</v>
      </c>
    </row>
    <row r="469" spans="1:18" s="4" customFormat="1" ht="15" hidden="1" customHeight="1">
      <c r="A469" s="64"/>
      <c r="B469" s="7">
        <f t="shared" si="121"/>
        <v>34</v>
      </c>
      <c r="C469" s="211"/>
      <c r="D469" s="211"/>
      <c r="E469" s="211"/>
      <c r="F469" s="211"/>
      <c r="G469" s="211"/>
      <c r="H469" s="211"/>
      <c r="I469" s="256"/>
      <c r="J469" s="240"/>
      <c r="K469" s="239"/>
      <c r="L469" s="239"/>
      <c r="M469" s="239"/>
      <c r="N469" s="129"/>
      <c r="O469" s="129"/>
      <c r="P469" s="129"/>
      <c r="Q469" s="114"/>
      <c r="R469" s="5" t="b">
        <f t="shared" si="113"/>
        <v>0</v>
      </c>
    </row>
    <row r="470" spans="1:18" s="4" customFormat="1" ht="15" hidden="1" customHeight="1">
      <c r="A470" s="64"/>
      <c r="B470" s="7">
        <f t="shared" si="121"/>
        <v>35</v>
      </c>
      <c r="C470" s="211"/>
      <c r="D470" s="211"/>
      <c r="E470" s="211"/>
      <c r="F470" s="211"/>
      <c r="G470" s="211"/>
      <c r="H470" s="211"/>
      <c r="I470" s="256"/>
      <c r="J470" s="240"/>
      <c r="K470" s="239"/>
      <c r="L470" s="239"/>
      <c r="M470" s="239"/>
      <c r="N470" s="129"/>
      <c r="O470" s="129"/>
      <c r="P470" s="129"/>
      <c r="Q470" s="114"/>
      <c r="R470" s="5" t="b">
        <f t="shared" si="113"/>
        <v>0</v>
      </c>
    </row>
    <row r="471" spans="1:18" s="4" customFormat="1" ht="15" hidden="1" customHeight="1">
      <c r="A471" s="64"/>
      <c r="B471" s="7">
        <f t="shared" si="121"/>
        <v>36</v>
      </c>
      <c r="C471" s="211"/>
      <c r="D471" s="211"/>
      <c r="E471" s="211"/>
      <c r="F471" s="211"/>
      <c r="G471" s="211"/>
      <c r="H471" s="211"/>
      <c r="I471" s="256"/>
      <c r="J471" s="240"/>
      <c r="K471" s="239"/>
      <c r="L471" s="239"/>
      <c r="M471" s="239"/>
      <c r="N471" s="129"/>
      <c r="O471" s="129"/>
      <c r="P471" s="129"/>
      <c r="Q471" s="114"/>
      <c r="R471" s="5" t="b">
        <f t="shared" si="113"/>
        <v>0</v>
      </c>
    </row>
    <row r="472" spans="1:18" s="4" customFormat="1" ht="15" hidden="1" customHeight="1">
      <c r="A472" s="64"/>
      <c r="B472" s="7">
        <f t="shared" si="121"/>
        <v>37</v>
      </c>
      <c r="C472" s="211"/>
      <c r="D472" s="211"/>
      <c r="E472" s="211"/>
      <c r="F472" s="211"/>
      <c r="G472" s="211"/>
      <c r="H472" s="211"/>
      <c r="I472" s="256"/>
      <c r="J472" s="240"/>
      <c r="K472" s="239"/>
      <c r="L472" s="239"/>
      <c r="M472" s="239"/>
      <c r="N472" s="129"/>
      <c r="O472" s="129"/>
      <c r="P472" s="129"/>
      <c r="Q472" s="114"/>
      <c r="R472" s="5" t="b">
        <f t="shared" si="113"/>
        <v>0</v>
      </c>
    </row>
    <row r="473" spans="1:18" s="4" customFormat="1" ht="15" hidden="1" customHeight="1">
      <c r="A473" s="64"/>
      <c r="B473" s="7">
        <f t="shared" si="121"/>
        <v>38</v>
      </c>
      <c r="C473" s="7"/>
      <c r="D473" s="7"/>
      <c r="E473" s="7"/>
      <c r="F473" s="7"/>
      <c r="G473" s="7"/>
      <c r="H473" s="91"/>
      <c r="I473" s="115"/>
      <c r="J473" s="116"/>
      <c r="K473" s="116"/>
      <c r="L473" s="116"/>
      <c r="M473" s="258"/>
      <c r="N473" s="129"/>
      <c r="O473" s="129"/>
      <c r="P473" s="129"/>
      <c r="Q473" s="114"/>
      <c r="R473" s="5" t="b">
        <f t="shared" si="113"/>
        <v>0</v>
      </c>
    </row>
    <row r="474" spans="1:18" s="4" customFormat="1" ht="15" hidden="1" customHeight="1">
      <c r="A474" s="64"/>
      <c r="B474" s="7">
        <f t="shared" si="121"/>
        <v>39</v>
      </c>
      <c r="C474" s="7"/>
      <c r="D474" s="7"/>
      <c r="E474" s="7"/>
      <c r="F474" s="7"/>
      <c r="G474" s="7"/>
      <c r="H474" s="91"/>
      <c r="I474" s="115"/>
      <c r="J474" s="116"/>
      <c r="K474" s="116"/>
      <c r="L474" s="116"/>
      <c r="M474" s="258"/>
      <c r="N474" s="129"/>
      <c r="O474" s="129"/>
      <c r="P474" s="129"/>
      <c r="Q474" s="114"/>
      <c r="R474" s="5" t="b">
        <f t="shared" si="113"/>
        <v>0</v>
      </c>
    </row>
    <row r="475" spans="1:18" s="4" customFormat="1" ht="15" hidden="1" customHeight="1">
      <c r="A475" s="64"/>
      <c r="B475" s="7">
        <f t="shared" si="121"/>
        <v>40</v>
      </c>
      <c r="C475" s="7"/>
      <c r="D475" s="7"/>
      <c r="E475" s="7"/>
      <c r="F475" s="7"/>
      <c r="G475" s="7"/>
      <c r="H475" s="91"/>
      <c r="I475" s="115"/>
      <c r="J475" s="116"/>
      <c r="K475" s="116"/>
      <c r="L475" s="116"/>
      <c r="M475" s="129"/>
      <c r="N475" s="129" t="e">
        <f t="shared" ref="N475:N485" si="130">+K475/(K475+L475)</f>
        <v>#DIV/0!</v>
      </c>
      <c r="O475" s="129" t="e">
        <f t="shared" ref="O475:O485" si="131">+(K475+M475)/(K475+L475+M475)</f>
        <v>#DIV/0!</v>
      </c>
      <c r="P475" s="114" t="e">
        <f t="shared" ref="P475:P485" si="132">+K475/(K475+M475)</f>
        <v>#DIV/0!</v>
      </c>
      <c r="Q475" s="7" t="e">
        <f t="shared" ref="Q475:Q485" si="133">+J475/K475</f>
        <v>#DIV/0!</v>
      </c>
      <c r="R475" s="5" t="e">
        <f t="shared" si="113"/>
        <v>#DIV/0!</v>
      </c>
    </row>
    <row r="476" spans="1:18" s="4" customFormat="1" ht="15" hidden="1" customHeight="1">
      <c r="A476" s="64"/>
      <c r="B476" s="7">
        <f t="shared" si="121"/>
        <v>41</v>
      </c>
      <c r="C476" s="7"/>
      <c r="D476" s="7"/>
      <c r="E476" s="7"/>
      <c r="F476" s="7"/>
      <c r="G476" s="7"/>
      <c r="H476" s="91"/>
      <c r="I476" s="115"/>
      <c r="J476" s="116"/>
      <c r="K476" s="116"/>
      <c r="L476" s="116"/>
      <c r="M476" s="129"/>
      <c r="N476" s="129" t="e">
        <f t="shared" si="130"/>
        <v>#DIV/0!</v>
      </c>
      <c r="O476" s="129" t="e">
        <f t="shared" si="131"/>
        <v>#DIV/0!</v>
      </c>
      <c r="P476" s="114" t="e">
        <f t="shared" si="132"/>
        <v>#DIV/0!</v>
      </c>
      <c r="Q476" s="7" t="e">
        <f t="shared" si="133"/>
        <v>#DIV/0!</v>
      </c>
      <c r="R476" s="5" t="e">
        <f t="shared" si="113"/>
        <v>#DIV/0!</v>
      </c>
    </row>
    <row r="477" spans="1:18" s="4" customFormat="1" ht="15" hidden="1" customHeight="1">
      <c r="A477" s="64"/>
      <c r="B477" s="7">
        <f t="shared" si="121"/>
        <v>42</v>
      </c>
      <c r="C477" s="7"/>
      <c r="D477" s="7"/>
      <c r="E477" s="7"/>
      <c r="F477" s="7"/>
      <c r="G477" s="7"/>
      <c r="H477" s="91"/>
      <c r="I477" s="115"/>
      <c r="J477" s="116"/>
      <c r="K477" s="116"/>
      <c r="L477" s="116"/>
      <c r="M477" s="129"/>
      <c r="N477" s="129" t="e">
        <f t="shared" si="130"/>
        <v>#DIV/0!</v>
      </c>
      <c r="O477" s="129" t="e">
        <f t="shared" si="131"/>
        <v>#DIV/0!</v>
      </c>
      <c r="P477" s="114" t="e">
        <f t="shared" si="132"/>
        <v>#DIV/0!</v>
      </c>
      <c r="Q477" s="7" t="e">
        <f t="shared" si="133"/>
        <v>#DIV/0!</v>
      </c>
      <c r="R477" s="5" t="e">
        <f t="shared" si="113"/>
        <v>#DIV/0!</v>
      </c>
    </row>
    <row r="478" spans="1:18" s="4" customFormat="1" ht="15" hidden="1" customHeight="1">
      <c r="A478" s="64"/>
      <c r="B478" s="7">
        <f t="shared" si="121"/>
        <v>43</v>
      </c>
      <c r="C478" s="7"/>
      <c r="D478" s="7"/>
      <c r="E478" s="7"/>
      <c r="F478" s="7"/>
      <c r="G478" s="7"/>
      <c r="H478" s="91"/>
      <c r="I478" s="115"/>
      <c r="J478" s="116"/>
      <c r="K478" s="116"/>
      <c r="L478" s="116"/>
      <c r="M478" s="129"/>
      <c r="N478" s="129" t="e">
        <f t="shared" si="130"/>
        <v>#DIV/0!</v>
      </c>
      <c r="O478" s="129" t="e">
        <f t="shared" si="131"/>
        <v>#DIV/0!</v>
      </c>
      <c r="P478" s="114" t="e">
        <f t="shared" si="132"/>
        <v>#DIV/0!</v>
      </c>
      <c r="Q478" s="7" t="e">
        <f t="shared" si="133"/>
        <v>#DIV/0!</v>
      </c>
      <c r="R478" s="5" t="e">
        <f t="shared" si="113"/>
        <v>#DIV/0!</v>
      </c>
    </row>
    <row r="479" spans="1:18" s="4" customFormat="1" ht="15" hidden="1" customHeight="1">
      <c r="A479" s="64"/>
      <c r="B479" s="7">
        <f t="shared" si="121"/>
        <v>44</v>
      </c>
      <c r="C479" s="7"/>
      <c r="D479" s="7"/>
      <c r="E479" s="7"/>
      <c r="F479" s="7"/>
      <c r="G479" s="7"/>
      <c r="H479" s="91"/>
      <c r="I479" s="115"/>
      <c r="J479" s="116"/>
      <c r="K479" s="116"/>
      <c r="L479" s="116"/>
      <c r="M479" s="129"/>
      <c r="N479" s="129" t="e">
        <f t="shared" si="130"/>
        <v>#DIV/0!</v>
      </c>
      <c r="O479" s="129" t="e">
        <f t="shared" si="131"/>
        <v>#DIV/0!</v>
      </c>
      <c r="P479" s="114" t="e">
        <f t="shared" si="132"/>
        <v>#DIV/0!</v>
      </c>
      <c r="Q479" s="7" t="e">
        <f t="shared" si="133"/>
        <v>#DIV/0!</v>
      </c>
      <c r="R479" s="5" t="e">
        <f t="shared" si="113"/>
        <v>#DIV/0!</v>
      </c>
    </row>
    <row r="480" spans="1:18" s="4" customFormat="1" ht="15" hidden="1" customHeight="1">
      <c r="A480" s="64"/>
      <c r="B480" s="7">
        <f t="shared" si="121"/>
        <v>45</v>
      </c>
      <c r="C480" s="7"/>
      <c r="D480" s="7"/>
      <c r="E480" s="7"/>
      <c r="F480" s="7"/>
      <c r="G480" s="7"/>
      <c r="H480" s="91"/>
      <c r="I480" s="115"/>
      <c r="J480" s="116"/>
      <c r="K480" s="116"/>
      <c r="L480" s="116"/>
      <c r="M480" s="129"/>
      <c r="N480" s="129" t="e">
        <f t="shared" si="130"/>
        <v>#DIV/0!</v>
      </c>
      <c r="O480" s="129" t="e">
        <f t="shared" si="131"/>
        <v>#DIV/0!</v>
      </c>
      <c r="P480" s="114" t="e">
        <f t="shared" si="132"/>
        <v>#DIV/0!</v>
      </c>
      <c r="Q480" s="7" t="e">
        <f t="shared" si="133"/>
        <v>#DIV/0!</v>
      </c>
      <c r="R480" s="5" t="e">
        <f t="shared" si="113"/>
        <v>#DIV/0!</v>
      </c>
    </row>
    <row r="481" spans="1:18" s="4" customFormat="1" ht="15" hidden="1" customHeight="1">
      <c r="A481" s="64"/>
      <c r="B481" s="7">
        <f t="shared" si="121"/>
        <v>46</v>
      </c>
      <c r="C481" s="7"/>
      <c r="D481" s="7"/>
      <c r="E481" s="7"/>
      <c r="F481" s="7"/>
      <c r="G481" s="7"/>
      <c r="H481" s="91"/>
      <c r="I481" s="115"/>
      <c r="J481" s="116"/>
      <c r="K481" s="116"/>
      <c r="L481" s="116"/>
      <c r="M481" s="129"/>
      <c r="N481" s="129" t="e">
        <f t="shared" si="130"/>
        <v>#DIV/0!</v>
      </c>
      <c r="O481" s="129" t="e">
        <f t="shared" si="131"/>
        <v>#DIV/0!</v>
      </c>
      <c r="P481" s="114" t="e">
        <f t="shared" si="132"/>
        <v>#DIV/0!</v>
      </c>
      <c r="Q481" s="7" t="e">
        <f t="shared" si="133"/>
        <v>#DIV/0!</v>
      </c>
      <c r="R481" s="5" t="e">
        <f t="shared" si="113"/>
        <v>#DIV/0!</v>
      </c>
    </row>
    <row r="482" spans="1:18" s="4" customFormat="1" ht="15" hidden="1" customHeight="1">
      <c r="A482" s="64"/>
      <c r="B482" s="7">
        <f t="shared" si="121"/>
        <v>47</v>
      </c>
      <c r="C482" s="7"/>
      <c r="D482" s="7"/>
      <c r="E482" s="7"/>
      <c r="F482" s="7"/>
      <c r="G482" s="7"/>
      <c r="H482" s="91"/>
      <c r="I482" s="115"/>
      <c r="J482" s="116"/>
      <c r="K482" s="116"/>
      <c r="L482" s="116"/>
      <c r="M482" s="129"/>
      <c r="N482" s="129" t="e">
        <f t="shared" si="130"/>
        <v>#DIV/0!</v>
      </c>
      <c r="O482" s="129" t="e">
        <f t="shared" si="131"/>
        <v>#DIV/0!</v>
      </c>
      <c r="P482" s="114" t="e">
        <f t="shared" si="132"/>
        <v>#DIV/0!</v>
      </c>
      <c r="Q482" s="7" t="e">
        <f t="shared" si="133"/>
        <v>#DIV/0!</v>
      </c>
      <c r="R482" s="5" t="e">
        <f t="shared" si="113"/>
        <v>#DIV/0!</v>
      </c>
    </row>
    <row r="483" spans="1:18" s="4" customFormat="1" ht="15" hidden="1" customHeight="1">
      <c r="A483" s="64"/>
      <c r="B483" s="7">
        <f t="shared" si="121"/>
        <v>48</v>
      </c>
      <c r="C483" s="7"/>
      <c r="D483" s="7"/>
      <c r="E483" s="7"/>
      <c r="F483" s="7"/>
      <c r="G483" s="7"/>
      <c r="H483" s="91"/>
      <c r="I483" s="115"/>
      <c r="J483" s="116"/>
      <c r="K483" s="116"/>
      <c r="L483" s="116"/>
      <c r="M483" s="129"/>
      <c r="N483" s="129" t="e">
        <f t="shared" si="130"/>
        <v>#DIV/0!</v>
      </c>
      <c r="O483" s="129" t="e">
        <f t="shared" si="131"/>
        <v>#DIV/0!</v>
      </c>
      <c r="P483" s="114" t="e">
        <f t="shared" si="132"/>
        <v>#DIV/0!</v>
      </c>
      <c r="Q483" s="7" t="e">
        <f t="shared" si="133"/>
        <v>#DIV/0!</v>
      </c>
      <c r="R483" s="5" t="e">
        <f t="shared" si="113"/>
        <v>#DIV/0!</v>
      </c>
    </row>
    <row r="484" spans="1:18" s="4" customFormat="1" ht="15" hidden="1" customHeight="1">
      <c r="A484" s="64"/>
      <c r="B484" s="7">
        <f t="shared" si="121"/>
        <v>49</v>
      </c>
      <c r="C484" s="7"/>
      <c r="D484" s="7"/>
      <c r="E484" s="7"/>
      <c r="F484" s="7"/>
      <c r="G484" s="7"/>
      <c r="H484" s="91"/>
      <c r="I484" s="115"/>
      <c r="J484" s="116"/>
      <c r="K484" s="116"/>
      <c r="L484" s="116"/>
      <c r="M484" s="129"/>
      <c r="N484" s="129" t="e">
        <f t="shared" si="130"/>
        <v>#DIV/0!</v>
      </c>
      <c r="O484" s="129" t="e">
        <f t="shared" si="131"/>
        <v>#DIV/0!</v>
      </c>
      <c r="P484" s="114" t="e">
        <f t="shared" si="132"/>
        <v>#DIV/0!</v>
      </c>
      <c r="Q484" s="7" t="e">
        <f t="shared" si="133"/>
        <v>#DIV/0!</v>
      </c>
      <c r="R484" s="5" t="e">
        <f t="shared" si="113"/>
        <v>#DIV/0!</v>
      </c>
    </row>
    <row r="485" spans="1:18" s="4" customFormat="1" ht="15" hidden="1" customHeight="1">
      <c r="A485" s="64"/>
      <c r="B485" s="7">
        <f t="shared" si="121"/>
        <v>50</v>
      </c>
      <c r="C485" s="7"/>
      <c r="D485" s="7"/>
      <c r="E485" s="7"/>
      <c r="F485" s="7"/>
      <c r="G485" s="7"/>
      <c r="H485" s="91"/>
      <c r="I485" s="115"/>
      <c r="J485" s="116"/>
      <c r="K485" s="116"/>
      <c r="L485" s="116"/>
      <c r="M485" s="129"/>
      <c r="N485" s="129" t="e">
        <f t="shared" si="130"/>
        <v>#DIV/0!</v>
      </c>
      <c r="O485" s="129" t="e">
        <f t="shared" si="131"/>
        <v>#DIV/0!</v>
      </c>
      <c r="P485" s="114" t="e">
        <f t="shared" si="132"/>
        <v>#DIV/0!</v>
      </c>
      <c r="Q485" s="7" t="e">
        <f t="shared" si="133"/>
        <v>#DIV/0!</v>
      </c>
      <c r="R485" s="5" t="e">
        <f t="shared" si="113"/>
        <v>#DIV/0!</v>
      </c>
    </row>
    <row r="486" spans="1:18" s="4" customFormat="1" ht="15" hidden="1" customHeight="1">
      <c r="A486" s="64"/>
      <c r="B486" s="7">
        <f t="shared" si="121"/>
        <v>51</v>
      </c>
      <c r="C486" s="7"/>
      <c r="D486" s="7"/>
      <c r="E486" s="7"/>
      <c r="F486" s="7"/>
      <c r="G486" s="7"/>
      <c r="H486" s="91"/>
      <c r="I486" s="115"/>
      <c r="J486" s="116"/>
      <c r="K486" s="116"/>
      <c r="L486" s="116"/>
      <c r="M486" s="129"/>
      <c r="N486" s="129"/>
      <c r="O486" s="129"/>
      <c r="P486" s="114"/>
      <c r="Q486" s="7"/>
      <c r="R486" s="5" t="b">
        <f t="shared" si="113"/>
        <v>0</v>
      </c>
    </row>
    <row r="487" spans="1:18" s="4" customFormat="1" ht="15" hidden="1" customHeight="1">
      <c r="A487" s="64"/>
      <c r="B487" s="7">
        <f t="shared" si="121"/>
        <v>52</v>
      </c>
      <c r="C487" s="7"/>
      <c r="D487" s="7"/>
      <c r="E487" s="7"/>
      <c r="F487" s="7"/>
      <c r="G487" s="7"/>
      <c r="H487" s="91"/>
      <c r="I487" s="115"/>
      <c r="J487" s="116"/>
      <c r="K487" s="116"/>
      <c r="L487" s="116"/>
      <c r="M487" s="129"/>
      <c r="N487" s="129"/>
      <c r="O487" s="129"/>
      <c r="P487" s="114"/>
      <c r="Q487" s="7"/>
      <c r="R487" s="5" t="b">
        <f t="shared" si="113"/>
        <v>0</v>
      </c>
    </row>
    <row r="488" spans="1:18" s="4" customFormat="1" ht="15" hidden="1" customHeight="1">
      <c r="A488" s="64"/>
      <c r="B488" s="7">
        <f t="shared" si="121"/>
        <v>53</v>
      </c>
      <c r="C488" s="7"/>
      <c r="D488" s="7"/>
      <c r="E488" s="7"/>
      <c r="F488" s="7"/>
      <c r="G488" s="7"/>
      <c r="H488" s="91"/>
      <c r="I488" s="115"/>
      <c r="J488" s="116"/>
      <c r="K488" s="116"/>
      <c r="L488" s="116"/>
      <c r="M488" s="129"/>
      <c r="N488" s="129"/>
      <c r="O488" s="129"/>
      <c r="P488" s="114"/>
      <c r="Q488" s="7"/>
      <c r="R488" s="5" t="b">
        <f t="shared" si="113"/>
        <v>0</v>
      </c>
    </row>
    <row r="489" spans="1:18" s="4" customFormat="1" ht="15" hidden="1" customHeight="1">
      <c r="A489" s="64"/>
      <c r="B489" s="7">
        <f t="shared" si="121"/>
        <v>54</v>
      </c>
      <c r="C489" s="7"/>
      <c r="D489" s="7"/>
      <c r="E489" s="7"/>
      <c r="F489" s="7"/>
      <c r="G489" s="7"/>
      <c r="H489" s="91"/>
      <c r="I489" s="115"/>
      <c r="J489" s="116"/>
      <c r="K489" s="116"/>
      <c r="L489" s="116"/>
      <c r="M489" s="129"/>
      <c r="N489" s="129"/>
      <c r="O489" s="129"/>
      <c r="P489" s="114"/>
      <c r="Q489" s="7"/>
      <c r="R489" s="5" t="b">
        <f t="shared" si="113"/>
        <v>0</v>
      </c>
    </row>
    <row r="490" spans="1:18" s="4" customFormat="1" ht="15" hidden="1" customHeight="1">
      <c r="A490" s="64"/>
      <c r="B490" s="7">
        <f t="shared" si="121"/>
        <v>55</v>
      </c>
      <c r="C490" s="7"/>
      <c r="D490" s="7"/>
      <c r="E490" s="7"/>
      <c r="F490" s="7"/>
      <c r="G490" s="7"/>
      <c r="H490" s="91"/>
      <c r="I490" s="115"/>
      <c r="J490" s="116"/>
      <c r="K490" s="116"/>
      <c r="L490" s="116"/>
      <c r="M490" s="129"/>
      <c r="N490" s="129" t="e">
        <f t="shared" ref="N490" si="134">+K490/(K490+L490)</f>
        <v>#DIV/0!</v>
      </c>
      <c r="O490" s="129" t="e">
        <f t="shared" ref="O490" si="135">+(K490+M490)/(K490+L490+M490)</f>
        <v>#DIV/0!</v>
      </c>
      <c r="P490" s="114" t="e">
        <f>+K490/(K490+M490)</f>
        <v>#DIV/0!</v>
      </c>
      <c r="Q490" s="7" t="e">
        <f>+J490/K490</f>
        <v>#DIV/0!</v>
      </c>
      <c r="R490" s="5" t="e">
        <f t="shared" si="113"/>
        <v>#DIV/0!</v>
      </c>
    </row>
    <row r="491" spans="1:18" s="4" customFormat="1" ht="15" hidden="1" customHeight="1">
      <c r="A491" s="64"/>
      <c r="B491" s="7">
        <f t="shared" si="121"/>
        <v>56</v>
      </c>
      <c r="C491" s="7"/>
      <c r="D491" s="7"/>
      <c r="E491" s="7"/>
      <c r="F491" s="7"/>
      <c r="G491" s="7"/>
      <c r="H491" s="91"/>
      <c r="I491" s="115"/>
      <c r="J491" s="116"/>
      <c r="K491" s="116"/>
      <c r="L491" s="116"/>
      <c r="M491" s="129"/>
      <c r="N491" s="129"/>
      <c r="O491" s="129"/>
      <c r="P491" s="114"/>
      <c r="Q491" s="7"/>
      <c r="R491" s="5" t="b">
        <f t="shared" si="113"/>
        <v>0</v>
      </c>
    </row>
    <row r="492" spans="1:18" s="4" customFormat="1" ht="15" hidden="1" customHeight="1">
      <c r="A492" s="64"/>
      <c r="B492" s="7">
        <f t="shared" si="121"/>
        <v>57</v>
      </c>
      <c r="C492" s="7"/>
      <c r="D492" s="7"/>
      <c r="E492" s="7"/>
      <c r="F492" s="7"/>
      <c r="G492" s="7"/>
      <c r="H492" s="91"/>
      <c r="I492" s="115"/>
      <c r="J492" s="116"/>
      <c r="K492" s="116"/>
      <c r="L492" s="116"/>
      <c r="M492" s="129"/>
      <c r="N492" s="129"/>
      <c r="O492" s="129"/>
      <c r="P492" s="114"/>
      <c r="Q492" s="7"/>
      <c r="R492" s="5" t="b">
        <f t="shared" si="113"/>
        <v>0</v>
      </c>
    </row>
    <row r="493" spans="1:18" s="4" customFormat="1" ht="15" hidden="1" customHeight="1">
      <c r="A493" s="64"/>
      <c r="B493" s="7">
        <f t="shared" si="121"/>
        <v>58</v>
      </c>
      <c r="C493" s="7"/>
      <c r="D493" s="7"/>
      <c r="E493" s="7"/>
      <c r="F493" s="7"/>
      <c r="G493" s="7"/>
      <c r="H493" s="91"/>
      <c r="I493" s="115"/>
      <c r="J493" s="116"/>
      <c r="K493" s="116"/>
      <c r="L493" s="116"/>
      <c r="M493" s="129"/>
      <c r="N493" s="129" t="e">
        <f t="shared" ref="N493" si="136">+K493/(K493+L493)</f>
        <v>#DIV/0!</v>
      </c>
      <c r="O493" s="129" t="e">
        <f t="shared" ref="O493" si="137">+(K493+M493)/(K493+L493+M493)</f>
        <v>#DIV/0!</v>
      </c>
      <c r="P493" s="114" t="e">
        <f>+K493/(K493+M493)</f>
        <v>#DIV/0!</v>
      </c>
      <c r="Q493" s="7" t="e">
        <f>+J493/K493</f>
        <v>#DIV/0!</v>
      </c>
      <c r="R493" s="5" t="e">
        <f t="shared" si="113"/>
        <v>#DIV/0!</v>
      </c>
    </row>
    <row r="494" spans="1:18" s="4" customFormat="1" ht="15" hidden="1" customHeight="1">
      <c r="A494" s="64"/>
      <c r="B494" s="7">
        <f t="shared" si="121"/>
        <v>59</v>
      </c>
      <c r="C494" s="7"/>
      <c r="D494" s="7"/>
      <c r="E494" s="7"/>
      <c r="F494" s="7"/>
      <c r="G494" s="7"/>
      <c r="H494" s="91"/>
      <c r="I494" s="115"/>
      <c r="J494" s="116"/>
      <c r="K494" s="116"/>
      <c r="L494" s="116"/>
      <c r="M494" s="129"/>
      <c r="N494" s="129"/>
      <c r="O494" s="129"/>
      <c r="P494" s="114"/>
      <c r="Q494" s="7"/>
      <c r="R494" s="5" t="b">
        <f t="shared" si="113"/>
        <v>0</v>
      </c>
    </row>
    <row r="495" spans="1:18" s="4" customFormat="1" ht="15" hidden="1" customHeight="1">
      <c r="A495" s="64"/>
      <c r="B495" s="7">
        <f t="shared" si="121"/>
        <v>60</v>
      </c>
      <c r="C495" s="7"/>
      <c r="D495" s="7"/>
      <c r="E495" s="7"/>
      <c r="F495" s="7"/>
      <c r="G495" s="7"/>
      <c r="H495" s="91"/>
      <c r="I495" s="115"/>
      <c r="J495" s="116"/>
      <c r="K495" s="116"/>
      <c r="L495" s="116"/>
      <c r="M495" s="129"/>
      <c r="N495" s="129"/>
      <c r="O495" s="129"/>
      <c r="P495" s="114"/>
      <c r="Q495" s="7"/>
      <c r="R495" s="5" t="b">
        <f t="shared" si="113"/>
        <v>0</v>
      </c>
    </row>
    <row r="496" spans="1:18" s="4" customFormat="1" ht="15" hidden="1" customHeight="1">
      <c r="A496" s="64"/>
      <c r="B496" s="7">
        <f t="shared" si="121"/>
        <v>61</v>
      </c>
      <c r="C496" s="7"/>
      <c r="D496" s="7"/>
      <c r="E496" s="7"/>
      <c r="F496" s="7"/>
      <c r="G496" s="7"/>
      <c r="H496" s="91"/>
      <c r="I496" s="115"/>
      <c r="J496" s="116"/>
      <c r="K496" s="116"/>
      <c r="L496" s="116"/>
      <c r="M496" s="129"/>
      <c r="N496" s="129" t="e">
        <f t="shared" ref="N496" si="138">+K496/(K496+L496)</f>
        <v>#DIV/0!</v>
      </c>
      <c r="O496" s="129" t="e">
        <f t="shared" ref="O496" si="139">+(K496+M496)/(K496+L496+M496)</f>
        <v>#DIV/0!</v>
      </c>
      <c r="P496" s="114" t="e">
        <f>+K496/(K496+M496)</f>
        <v>#DIV/0!</v>
      </c>
      <c r="Q496" s="7" t="e">
        <f>+J496/K496</f>
        <v>#DIV/0!</v>
      </c>
      <c r="R496" s="5" t="e">
        <f t="shared" si="113"/>
        <v>#DIV/0!</v>
      </c>
    </row>
    <row r="497" spans="1:18" s="4" customFormat="1" ht="15" hidden="1" customHeight="1">
      <c r="A497" s="64"/>
      <c r="B497" s="7">
        <f t="shared" si="121"/>
        <v>62</v>
      </c>
      <c r="C497" s="7"/>
      <c r="D497" s="7"/>
      <c r="E497" s="7"/>
      <c r="F497" s="7"/>
      <c r="G497" s="7"/>
      <c r="H497" s="91"/>
      <c r="I497" s="115"/>
      <c r="J497" s="116"/>
      <c r="K497" s="116"/>
      <c r="L497" s="116"/>
      <c r="M497" s="129"/>
      <c r="N497" s="129"/>
      <c r="O497" s="129"/>
      <c r="P497" s="114"/>
      <c r="Q497" s="7"/>
      <c r="R497" s="5" t="b">
        <f t="shared" si="113"/>
        <v>0</v>
      </c>
    </row>
    <row r="498" spans="1:18" s="4" customFormat="1" ht="15" hidden="1" customHeight="1">
      <c r="A498" s="64"/>
      <c r="B498" s="7">
        <f t="shared" si="121"/>
        <v>63</v>
      </c>
      <c r="C498" s="7"/>
      <c r="D498" s="7"/>
      <c r="E498" s="7"/>
      <c r="F498" s="7"/>
      <c r="G498" s="7"/>
      <c r="H498" s="91"/>
      <c r="I498" s="115"/>
      <c r="J498" s="116"/>
      <c r="K498" s="116"/>
      <c r="L498" s="116"/>
      <c r="M498" s="129"/>
      <c r="N498" s="129" t="e">
        <f t="shared" ref="N498:N524" si="140">+K498/(K498+L498)</f>
        <v>#DIV/0!</v>
      </c>
      <c r="O498" s="129" t="e">
        <f t="shared" ref="O498:O524" si="141">+(K498+M498)/(K498+L498+M498)</f>
        <v>#DIV/0!</v>
      </c>
      <c r="P498" s="114" t="e">
        <f t="shared" ref="P498:P524" si="142">+K498/(K498+M498)</f>
        <v>#DIV/0!</v>
      </c>
      <c r="Q498" s="7" t="e">
        <f t="shared" ref="Q498:Q524" si="143">+J498/K498</f>
        <v>#DIV/0!</v>
      </c>
      <c r="R498" s="5" t="e">
        <f t="shared" si="113"/>
        <v>#DIV/0!</v>
      </c>
    </row>
    <row r="499" spans="1:18" s="4" customFormat="1" ht="15" hidden="1" customHeight="1">
      <c r="A499" s="64"/>
      <c r="B499" s="7">
        <f t="shared" si="121"/>
        <v>64</v>
      </c>
      <c r="C499" s="7"/>
      <c r="D499" s="7"/>
      <c r="E499" s="7"/>
      <c r="F499" s="7"/>
      <c r="G499" s="7"/>
      <c r="H499" s="91"/>
      <c r="I499" s="115"/>
      <c r="J499" s="116"/>
      <c r="K499" s="116"/>
      <c r="L499" s="116"/>
      <c r="M499" s="129"/>
      <c r="N499" s="129" t="e">
        <f t="shared" si="140"/>
        <v>#DIV/0!</v>
      </c>
      <c r="O499" s="129" t="e">
        <f t="shared" si="141"/>
        <v>#DIV/0!</v>
      </c>
      <c r="P499" s="114" t="e">
        <f t="shared" si="142"/>
        <v>#DIV/0!</v>
      </c>
      <c r="Q499" s="7" t="e">
        <f t="shared" si="143"/>
        <v>#DIV/0!</v>
      </c>
      <c r="R499" s="5" t="e">
        <f t="shared" si="113"/>
        <v>#DIV/0!</v>
      </c>
    </row>
    <row r="500" spans="1:18" s="4" customFormat="1" ht="15" hidden="1" customHeight="1">
      <c r="A500" s="64"/>
      <c r="B500" s="7">
        <f t="shared" si="121"/>
        <v>65</v>
      </c>
      <c r="C500" s="7"/>
      <c r="D500" s="7"/>
      <c r="E500" s="7"/>
      <c r="F500" s="7"/>
      <c r="G500" s="7"/>
      <c r="H500" s="91"/>
      <c r="I500" s="115"/>
      <c r="J500" s="116"/>
      <c r="K500" s="116"/>
      <c r="L500" s="116"/>
      <c r="M500" s="129"/>
      <c r="N500" s="129" t="e">
        <f t="shared" si="140"/>
        <v>#DIV/0!</v>
      </c>
      <c r="O500" s="129" t="e">
        <f t="shared" si="141"/>
        <v>#DIV/0!</v>
      </c>
      <c r="P500" s="114" t="e">
        <f t="shared" si="142"/>
        <v>#DIV/0!</v>
      </c>
      <c r="Q500" s="7" t="e">
        <f t="shared" si="143"/>
        <v>#DIV/0!</v>
      </c>
      <c r="R500" s="5" t="e">
        <f t="shared" si="113"/>
        <v>#DIV/0!</v>
      </c>
    </row>
    <row r="501" spans="1:18" s="4" customFormat="1" ht="15" hidden="1" customHeight="1">
      <c r="A501" s="64"/>
      <c r="B501" s="7">
        <f t="shared" si="121"/>
        <v>66</v>
      </c>
      <c r="C501" s="7"/>
      <c r="D501" s="7"/>
      <c r="E501" s="7"/>
      <c r="F501" s="7"/>
      <c r="G501" s="7"/>
      <c r="H501" s="91"/>
      <c r="I501" s="115"/>
      <c r="J501" s="116"/>
      <c r="K501" s="116"/>
      <c r="L501" s="116"/>
      <c r="M501" s="129"/>
      <c r="N501" s="129" t="e">
        <f t="shared" si="140"/>
        <v>#DIV/0!</v>
      </c>
      <c r="O501" s="129" t="e">
        <f t="shared" si="141"/>
        <v>#DIV/0!</v>
      </c>
      <c r="P501" s="114" t="e">
        <f t="shared" si="142"/>
        <v>#DIV/0!</v>
      </c>
      <c r="Q501" s="7" t="e">
        <f t="shared" si="143"/>
        <v>#DIV/0!</v>
      </c>
      <c r="R501" s="5" t="e">
        <f t="shared" si="113"/>
        <v>#DIV/0!</v>
      </c>
    </row>
    <row r="502" spans="1:18" s="4" customFormat="1" ht="15" hidden="1" customHeight="1">
      <c r="A502" s="64"/>
      <c r="B502" s="7">
        <f t="shared" ref="B502:B565" si="144">+B501+1</f>
        <v>67</v>
      </c>
      <c r="C502" s="7"/>
      <c r="D502" s="7"/>
      <c r="E502" s="7"/>
      <c r="F502" s="7"/>
      <c r="G502" s="7"/>
      <c r="H502" s="91"/>
      <c r="I502" s="115"/>
      <c r="J502" s="116"/>
      <c r="K502" s="116"/>
      <c r="L502" s="116"/>
      <c r="M502" s="129"/>
      <c r="N502" s="129" t="e">
        <f t="shared" si="140"/>
        <v>#DIV/0!</v>
      </c>
      <c r="O502" s="129" t="e">
        <f t="shared" si="141"/>
        <v>#DIV/0!</v>
      </c>
      <c r="P502" s="114" t="e">
        <f t="shared" si="142"/>
        <v>#DIV/0!</v>
      </c>
      <c r="Q502" s="7" t="e">
        <f t="shared" si="143"/>
        <v>#DIV/0!</v>
      </c>
      <c r="R502" s="5" t="e">
        <f t="shared" si="113"/>
        <v>#DIV/0!</v>
      </c>
    </row>
    <row r="503" spans="1:18" s="4" customFormat="1" ht="15" hidden="1" customHeight="1">
      <c r="A503" s="64"/>
      <c r="B503" s="7">
        <f t="shared" si="144"/>
        <v>68</v>
      </c>
      <c r="C503" s="7"/>
      <c r="D503" s="7"/>
      <c r="E503" s="7"/>
      <c r="F503" s="7"/>
      <c r="G503" s="7"/>
      <c r="H503" s="91"/>
      <c r="I503" s="115"/>
      <c r="J503" s="116"/>
      <c r="K503" s="116"/>
      <c r="L503" s="116"/>
      <c r="M503" s="129"/>
      <c r="N503" s="129" t="e">
        <f t="shared" si="140"/>
        <v>#DIV/0!</v>
      </c>
      <c r="O503" s="129" t="e">
        <f t="shared" si="141"/>
        <v>#DIV/0!</v>
      </c>
      <c r="P503" s="114" t="e">
        <f t="shared" si="142"/>
        <v>#DIV/0!</v>
      </c>
      <c r="Q503" s="7" t="e">
        <f t="shared" si="143"/>
        <v>#DIV/0!</v>
      </c>
      <c r="R503" s="5" t="e">
        <f t="shared" si="113"/>
        <v>#DIV/0!</v>
      </c>
    </row>
    <row r="504" spans="1:18" s="4" customFormat="1" ht="15" hidden="1" customHeight="1">
      <c r="A504" s="64"/>
      <c r="B504" s="7">
        <f t="shared" si="144"/>
        <v>69</v>
      </c>
      <c r="C504" s="7"/>
      <c r="D504" s="7"/>
      <c r="E504" s="7"/>
      <c r="F504" s="7"/>
      <c r="G504" s="7"/>
      <c r="H504" s="91"/>
      <c r="I504" s="115"/>
      <c r="J504" s="116"/>
      <c r="K504" s="116"/>
      <c r="L504" s="116"/>
      <c r="M504" s="129"/>
      <c r="N504" s="129" t="e">
        <f t="shared" si="140"/>
        <v>#DIV/0!</v>
      </c>
      <c r="O504" s="129" t="e">
        <f t="shared" si="141"/>
        <v>#DIV/0!</v>
      </c>
      <c r="P504" s="114" t="e">
        <f t="shared" si="142"/>
        <v>#DIV/0!</v>
      </c>
      <c r="Q504" s="7" t="e">
        <f t="shared" si="143"/>
        <v>#DIV/0!</v>
      </c>
      <c r="R504" s="5" t="e">
        <f t="shared" si="113"/>
        <v>#DIV/0!</v>
      </c>
    </row>
    <row r="505" spans="1:18" s="4" customFormat="1" ht="15" hidden="1" customHeight="1">
      <c r="A505" s="64"/>
      <c r="B505" s="7">
        <f t="shared" si="144"/>
        <v>70</v>
      </c>
      <c r="C505" s="7"/>
      <c r="D505" s="7"/>
      <c r="E505" s="7"/>
      <c r="F505" s="7"/>
      <c r="G505" s="7"/>
      <c r="H505" s="91"/>
      <c r="I505" s="115"/>
      <c r="J505" s="116"/>
      <c r="K505" s="116"/>
      <c r="L505" s="116"/>
      <c r="M505" s="129"/>
      <c r="N505" s="129" t="e">
        <f t="shared" si="140"/>
        <v>#DIV/0!</v>
      </c>
      <c r="O505" s="129" t="e">
        <f t="shared" si="141"/>
        <v>#DIV/0!</v>
      </c>
      <c r="P505" s="114" t="e">
        <f t="shared" si="142"/>
        <v>#DIV/0!</v>
      </c>
      <c r="Q505" s="7" t="e">
        <f t="shared" si="143"/>
        <v>#DIV/0!</v>
      </c>
      <c r="R505" s="5" t="e">
        <f t="shared" si="113"/>
        <v>#DIV/0!</v>
      </c>
    </row>
    <row r="506" spans="1:18" s="4" customFormat="1" ht="15" hidden="1" customHeight="1">
      <c r="A506" s="64"/>
      <c r="B506" s="7">
        <f t="shared" si="144"/>
        <v>71</v>
      </c>
      <c r="C506" s="7"/>
      <c r="D506" s="7"/>
      <c r="E506" s="7"/>
      <c r="F506" s="7"/>
      <c r="G506" s="7"/>
      <c r="H506" s="91"/>
      <c r="I506" s="115"/>
      <c r="J506" s="116"/>
      <c r="K506" s="116"/>
      <c r="L506" s="116"/>
      <c r="M506" s="129"/>
      <c r="N506" s="129" t="e">
        <f t="shared" si="140"/>
        <v>#DIV/0!</v>
      </c>
      <c r="O506" s="129" t="e">
        <f t="shared" si="141"/>
        <v>#DIV/0!</v>
      </c>
      <c r="P506" s="114" t="e">
        <f t="shared" si="142"/>
        <v>#DIV/0!</v>
      </c>
      <c r="Q506" s="7" t="e">
        <f t="shared" si="143"/>
        <v>#DIV/0!</v>
      </c>
      <c r="R506" s="5" t="e">
        <f t="shared" si="113"/>
        <v>#DIV/0!</v>
      </c>
    </row>
    <row r="507" spans="1:18" s="4" customFormat="1" ht="15" hidden="1" customHeight="1">
      <c r="A507" s="64"/>
      <c r="B507" s="7">
        <f t="shared" si="144"/>
        <v>72</v>
      </c>
      <c r="C507" s="7"/>
      <c r="D507" s="7"/>
      <c r="E507" s="7"/>
      <c r="F507" s="7"/>
      <c r="G507" s="7"/>
      <c r="H507" s="91"/>
      <c r="I507" s="115"/>
      <c r="J507" s="116"/>
      <c r="K507" s="116"/>
      <c r="L507" s="116"/>
      <c r="M507" s="129"/>
      <c r="N507" s="129" t="e">
        <f t="shared" si="140"/>
        <v>#DIV/0!</v>
      </c>
      <c r="O507" s="129" t="e">
        <f t="shared" si="141"/>
        <v>#DIV/0!</v>
      </c>
      <c r="P507" s="114" t="e">
        <f t="shared" si="142"/>
        <v>#DIV/0!</v>
      </c>
      <c r="Q507" s="7" t="e">
        <f t="shared" si="143"/>
        <v>#DIV/0!</v>
      </c>
      <c r="R507" s="5" t="e">
        <f t="shared" si="113"/>
        <v>#DIV/0!</v>
      </c>
    </row>
    <row r="508" spans="1:18" s="4" customFormat="1" ht="15" hidden="1" customHeight="1">
      <c r="A508" s="64"/>
      <c r="B508" s="7">
        <f t="shared" si="144"/>
        <v>73</v>
      </c>
      <c r="C508" s="7"/>
      <c r="D508" s="7"/>
      <c r="E508" s="7"/>
      <c r="F508" s="7"/>
      <c r="G508" s="7"/>
      <c r="H508" s="91"/>
      <c r="I508" s="115"/>
      <c r="J508" s="116"/>
      <c r="K508" s="116"/>
      <c r="L508" s="116"/>
      <c r="M508" s="129"/>
      <c r="N508" s="129" t="e">
        <f t="shared" si="140"/>
        <v>#DIV/0!</v>
      </c>
      <c r="O508" s="129" t="e">
        <f t="shared" si="141"/>
        <v>#DIV/0!</v>
      </c>
      <c r="P508" s="114" t="e">
        <f t="shared" si="142"/>
        <v>#DIV/0!</v>
      </c>
      <c r="Q508" s="7" t="e">
        <f t="shared" si="143"/>
        <v>#DIV/0!</v>
      </c>
      <c r="R508" s="5" t="e">
        <f t="shared" si="113"/>
        <v>#DIV/0!</v>
      </c>
    </row>
    <row r="509" spans="1:18" s="4" customFormat="1" ht="15" hidden="1" customHeight="1">
      <c r="A509" s="64"/>
      <c r="B509" s="7">
        <f t="shared" si="144"/>
        <v>74</v>
      </c>
      <c r="C509" s="7"/>
      <c r="D509" s="7"/>
      <c r="E509" s="7"/>
      <c r="F509" s="7"/>
      <c r="G509" s="7"/>
      <c r="H509" s="91"/>
      <c r="I509" s="115"/>
      <c r="J509" s="116"/>
      <c r="K509" s="116"/>
      <c r="L509" s="116"/>
      <c r="M509" s="129"/>
      <c r="N509" s="129" t="e">
        <f t="shared" si="140"/>
        <v>#DIV/0!</v>
      </c>
      <c r="O509" s="129" t="e">
        <f t="shared" si="141"/>
        <v>#DIV/0!</v>
      </c>
      <c r="P509" s="114" t="e">
        <f t="shared" si="142"/>
        <v>#DIV/0!</v>
      </c>
      <c r="Q509" s="7" t="e">
        <f t="shared" si="143"/>
        <v>#DIV/0!</v>
      </c>
      <c r="R509" s="5" t="e">
        <f t="shared" si="113"/>
        <v>#DIV/0!</v>
      </c>
    </row>
    <row r="510" spans="1:18" s="4" customFormat="1" ht="15" hidden="1" customHeight="1">
      <c r="A510" s="64"/>
      <c r="B510" s="7">
        <f t="shared" si="144"/>
        <v>75</v>
      </c>
      <c r="C510" s="7"/>
      <c r="D510" s="7"/>
      <c r="E510" s="7"/>
      <c r="F510" s="7"/>
      <c r="G510" s="7"/>
      <c r="H510" s="91"/>
      <c r="I510" s="115"/>
      <c r="J510" s="116"/>
      <c r="K510" s="116"/>
      <c r="L510" s="116"/>
      <c r="M510" s="129"/>
      <c r="N510" s="129" t="e">
        <f t="shared" si="140"/>
        <v>#DIV/0!</v>
      </c>
      <c r="O510" s="129" t="e">
        <f t="shared" si="141"/>
        <v>#DIV/0!</v>
      </c>
      <c r="P510" s="114" t="e">
        <f t="shared" si="142"/>
        <v>#DIV/0!</v>
      </c>
      <c r="Q510" s="7" t="e">
        <f t="shared" si="143"/>
        <v>#DIV/0!</v>
      </c>
      <c r="R510" s="5" t="e">
        <f t="shared" si="113"/>
        <v>#DIV/0!</v>
      </c>
    </row>
    <row r="511" spans="1:18" s="4" customFormat="1" ht="15" hidden="1" customHeight="1">
      <c r="A511" s="64"/>
      <c r="B511" s="7">
        <f t="shared" si="144"/>
        <v>76</v>
      </c>
      <c r="C511" s="7"/>
      <c r="D511" s="7"/>
      <c r="E511" s="7"/>
      <c r="F511" s="7"/>
      <c r="G511" s="7"/>
      <c r="H511" s="91"/>
      <c r="I511" s="115"/>
      <c r="J511" s="116"/>
      <c r="K511" s="116"/>
      <c r="L511" s="116"/>
      <c r="M511" s="129"/>
      <c r="N511" s="129" t="e">
        <f t="shared" si="140"/>
        <v>#DIV/0!</v>
      </c>
      <c r="O511" s="129" t="e">
        <f t="shared" si="141"/>
        <v>#DIV/0!</v>
      </c>
      <c r="P511" s="114" t="e">
        <f t="shared" si="142"/>
        <v>#DIV/0!</v>
      </c>
      <c r="Q511" s="7" t="e">
        <f t="shared" si="143"/>
        <v>#DIV/0!</v>
      </c>
      <c r="R511" s="5" t="e">
        <f t="shared" si="113"/>
        <v>#DIV/0!</v>
      </c>
    </row>
    <row r="512" spans="1:18" s="4" customFormat="1" ht="15" hidden="1" customHeight="1">
      <c r="A512" s="64"/>
      <c r="B512" s="7">
        <f t="shared" si="144"/>
        <v>77</v>
      </c>
      <c r="C512" s="7"/>
      <c r="D512" s="7"/>
      <c r="E512" s="7"/>
      <c r="F512" s="7"/>
      <c r="G512" s="7"/>
      <c r="H512" s="91"/>
      <c r="I512" s="115"/>
      <c r="J512" s="116"/>
      <c r="K512" s="116"/>
      <c r="L512" s="116"/>
      <c r="M512" s="129"/>
      <c r="N512" s="129" t="e">
        <f t="shared" si="140"/>
        <v>#DIV/0!</v>
      </c>
      <c r="O512" s="129" t="e">
        <f t="shared" si="141"/>
        <v>#DIV/0!</v>
      </c>
      <c r="P512" s="114" t="e">
        <f t="shared" si="142"/>
        <v>#DIV/0!</v>
      </c>
      <c r="Q512" s="7" t="e">
        <f t="shared" si="143"/>
        <v>#DIV/0!</v>
      </c>
      <c r="R512" s="5" t="e">
        <f t="shared" si="113"/>
        <v>#DIV/0!</v>
      </c>
    </row>
    <row r="513" spans="1:18" s="4" customFormat="1" ht="15" hidden="1" customHeight="1">
      <c r="A513" s="64"/>
      <c r="B513" s="7">
        <f t="shared" si="144"/>
        <v>78</v>
      </c>
      <c r="C513" s="7"/>
      <c r="D513" s="7"/>
      <c r="E513" s="7"/>
      <c r="F513" s="7"/>
      <c r="G513" s="7"/>
      <c r="H513" s="91"/>
      <c r="I513" s="115"/>
      <c r="J513" s="116"/>
      <c r="K513" s="116"/>
      <c r="L513" s="116"/>
      <c r="M513" s="129"/>
      <c r="N513" s="129" t="e">
        <f t="shared" si="140"/>
        <v>#DIV/0!</v>
      </c>
      <c r="O513" s="129" t="e">
        <f t="shared" si="141"/>
        <v>#DIV/0!</v>
      </c>
      <c r="P513" s="114" t="e">
        <f t="shared" si="142"/>
        <v>#DIV/0!</v>
      </c>
      <c r="Q513" s="7" t="e">
        <f t="shared" si="143"/>
        <v>#DIV/0!</v>
      </c>
      <c r="R513" s="5" t="e">
        <f t="shared" si="113"/>
        <v>#DIV/0!</v>
      </c>
    </row>
    <row r="514" spans="1:18" s="4" customFormat="1" ht="15" hidden="1" customHeight="1">
      <c r="A514" s="64"/>
      <c r="B514" s="7">
        <f t="shared" si="144"/>
        <v>79</v>
      </c>
      <c r="C514" s="7"/>
      <c r="D514" s="7"/>
      <c r="E514" s="7"/>
      <c r="F514" s="7"/>
      <c r="G514" s="7"/>
      <c r="H514" s="91"/>
      <c r="I514" s="115"/>
      <c r="J514" s="116"/>
      <c r="K514" s="116"/>
      <c r="L514" s="116"/>
      <c r="M514" s="129"/>
      <c r="N514" s="129" t="e">
        <f t="shared" si="140"/>
        <v>#DIV/0!</v>
      </c>
      <c r="O514" s="129" t="e">
        <f t="shared" si="141"/>
        <v>#DIV/0!</v>
      </c>
      <c r="P514" s="114" t="e">
        <f t="shared" si="142"/>
        <v>#DIV/0!</v>
      </c>
      <c r="Q514" s="7" t="e">
        <f t="shared" si="143"/>
        <v>#DIV/0!</v>
      </c>
      <c r="R514" s="5" t="e">
        <f t="shared" si="113"/>
        <v>#DIV/0!</v>
      </c>
    </row>
    <row r="515" spans="1:18" s="4" customFormat="1" ht="15" hidden="1" customHeight="1">
      <c r="A515" s="64"/>
      <c r="B515" s="7">
        <f t="shared" si="144"/>
        <v>80</v>
      </c>
      <c r="C515" s="7"/>
      <c r="D515" s="7"/>
      <c r="E515" s="7"/>
      <c r="F515" s="7"/>
      <c r="G515" s="7"/>
      <c r="H515" s="91"/>
      <c r="I515" s="115"/>
      <c r="J515" s="116"/>
      <c r="K515" s="116"/>
      <c r="L515" s="116"/>
      <c r="M515" s="129"/>
      <c r="N515" s="129" t="e">
        <f t="shared" si="140"/>
        <v>#DIV/0!</v>
      </c>
      <c r="O515" s="129" t="e">
        <f t="shared" si="141"/>
        <v>#DIV/0!</v>
      </c>
      <c r="P515" s="114" t="e">
        <f t="shared" si="142"/>
        <v>#DIV/0!</v>
      </c>
      <c r="Q515" s="7" t="e">
        <f t="shared" si="143"/>
        <v>#DIV/0!</v>
      </c>
      <c r="R515" s="5" t="e">
        <f t="shared" si="113"/>
        <v>#DIV/0!</v>
      </c>
    </row>
    <row r="516" spans="1:18" s="4" customFormat="1" ht="15" hidden="1" customHeight="1">
      <c r="A516" s="64"/>
      <c r="B516" s="7">
        <f t="shared" si="144"/>
        <v>81</v>
      </c>
      <c r="C516" s="7"/>
      <c r="D516" s="7"/>
      <c r="E516" s="7"/>
      <c r="F516" s="7"/>
      <c r="G516" s="7"/>
      <c r="H516" s="91"/>
      <c r="I516" s="115"/>
      <c r="J516" s="116"/>
      <c r="K516" s="116"/>
      <c r="L516" s="116"/>
      <c r="M516" s="129"/>
      <c r="N516" s="129" t="e">
        <f t="shared" si="140"/>
        <v>#DIV/0!</v>
      </c>
      <c r="O516" s="129" t="e">
        <f t="shared" si="141"/>
        <v>#DIV/0!</v>
      </c>
      <c r="P516" s="114" t="e">
        <f t="shared" si="142"/>
        <v>#DIV/0!</v>
      </c>
      <c r="Q516" s="7" t="e">
        <f t="shared" si="143"/>
        <v>#DIV/0!</v>
      </c>
      <c r="R516" s="5" t="e">
        <f t="shared" si="113"/>
        <v>#DIV/0!</v>
      </c>
    </row>
    <row r="517" spans="1:18" s="4" customFormat="1" ht="15" hidden="1" customHeight="1">
      <c r="A517" s="64"/>
      <c r="B517" s="7">
        <f t="shared" si="144"/>
        <v>82</v>
      </c>
      <c r="C517" s="7"/>
      <c r="D517" s="7"/>
      <c r="E517" s="7"/>
      <c r="F517" s="7"/>
      <c r="G517" s="7"/>
      <c r="H517" s="91"/>
      <c r="I517" s="115"/>
      <c r="J517" s="116"/>
      <c r="K517" s="116"/>
      <c r="L517" s="116"/>
      <c r="M517" s="129"/>
      <c r="N517" s="129" t="e">
        <f t="shared" si="140"/>
        <v>#DIV/0!</v>
      </c>
      <c r="O517" s="129" t="e">
        <f t="shared" si="141"/>
        <v>#DIV/0!</v>
      </c>
      <c r="P517" s="114" t="e">
        <f t="shared" si="142"/>
        <v>#DIV/0!</v>
      </c>
      <c r="Q517" s="7" t="e">
        <f t="shared" si="143"/>
        <v>#DIV/0!</v>
      </c>
      <c r="R517" s="5" t="e">
        <f t="shared" si="113"/>
        <v>#DIV/0!</v>
      </c>
    </row>
    <row r="518" spans="1:18" s="4" customFormat="1" ht="15" hidden="1" customHeight="1">
      <c r="A518" s="64"/>
      <c r="B518" s="7">
        <f t="shared" si="144"/>
        <v>83</v>
      </c>
      <c r="C518" s="7"/>
      <c r="D518" s="7"/>
      <c r="E518" s="7"/>
      <c r="F518" s="7"/>
      <c r="G518" s="7"/>
      <c r="H518" s="91"/>
      <c r="I518" s="115"/>
      <c r="J518" s="116"/>
      <c r="K518" s="116"/>
      <c r="L518" s="116"/>
      <c r="M518" s="129"/>
      <c r="N518" s="129" t="e">
        <f t="shared" si="140"/>
        <v>#DIV/0!</v>
      </c>
      <c r="O518" s="129" t="e">
        <f t="shared" si="141"/>
        <v>#DIV/0!</v>
      </c>
      <c r="P518" s="114" t="e">
        <f t="shared" si="142"/>
        <v>#DIV/0!</v>
      </c>
      <c r="Q518" s="7" t="e">
        <f t="shared" si="143"/>
        <v>#DIV/0!</v>
      </c>
      <c r="R518" s="5" t="e">
        <f t="shared" si="113"/>
        <v>#DIV/0!</v>
      </c>
    </row>
    <row r="519" spans="1:18" s="4" customFormat="1" ht="15" hidden="1" customHeight="1">
      <c r="A519" s="64"/>
      <c r="B519" s="7">
        <f t="shared" si="144"/>
        <v>84</v>
      </c>
      <c r="C519" s="7"/>
      <c r="D519" s="7"/>
      <c r="E519" s="7"/>
      <c r="F519" s="7"/>
      <c r="G519" s="7"/>
      <c r="H519" s="91"/>
      <c r="I519" s="115"/>
      <c r="J519" s="116"/>
      <c r="K519" s="116"/>
      <c r="L519" s="116"/>
      <c r="M519" s="129"/>
      <c r="N519" s="129" t="e">
        <f t="shared" si="140"/>
        <v>#DIV/0!</v>
      </c>
      <c r="O519" s="129" t="e">
        <f t="shared" si="141"/>
        <v>#DIV/0!</v>
      </c>
      <c r="P519" s="114" t="e">
        <f t="shared" si="142"/>
        <v>#DIV/0!</v>
      </c>
      <c r="Q519" s="7" t="e">
        <f t="shared" si="143"/>
        <v>#DIV/0!</v>
      </c>
      <c r="R519" s="5" t="e">
        <f t="shared" si="113"/>
        <v>#DIV/0!</v>
      </c>
    </row>
    <row r="520" spans="1:18" s="4" customFormat="1" ht="15" hidden="1" customHeight="1">
      <c r="A520" s="64"/>
      <c r="B520" s="7">
        <f t="shared" si="144"/>
        <v>85</v>
      </c>
      <c r="C520" s="7"/>
      <c r="D520" s="7"/>
      <c r="E520" s="7"/>
      <c r="F520" s="7"/>
      <c r="G520" s="7"/>
      <c r="H520" s="91"/>
      <c r="I520" s="115"/>
      <c r="J520" s="116"/>
      <c r="K520" s="116"/>
      <c r="L520" s="116"/>
      <c r="M520" s="129"/>
      <c r="N520" s="129" t="e">
        <f t="shared" si="140"/>
        <v>#DIV/0!</v>
      </c>
      <c r="O520" s="129" t="e">
        <f t="shared" si="141"/>
        <v>#DIV/0!</v>
      </c>
      <c r="P520" s="114" t="e">
        <f t="shared" si="142"/>
        <v>#DIV/0!</v>
      </c>
      <c r="Q520" s="7" t="e">
        <f t="shared" si="143"/>
        <v>#DIV/0!</v>
      </c>
      <c r="R520" s="5" t="e">
        <f t="shared" si="113"/>
        <v>#DIV/0!</v>
      </c>
    </row>
    <row r="521" spans="1:18" s="4" customFormat="1" ht="15" hidden="1" customHeight="1">
      <c r="A521" s="64"/>
      <c r="B521" s="7">
        <f t="shared" si="144"/>
        <v>86</v>
      </c>
      <c r="C521" s="7"/>
      <c r="D521" s="7"/>
      <c r="E521" s="7"/>
      <c r="F521" s="7"/>
      <c r="G521" s="7"/>
      <c r="H521" s="91"/>
      <c r="I521" s="115"/>
      <c r="J521" s="116"/>
      <c r="K521" s="116"/>
      <c r="L521" s="116"/>
      <c r="M521" s="129"/>
      <c r="N521" s="129" t="e">
        <f t="shared" si="140"/>
        <v>#DIV/0!</v>
      </c>
      <c r="O521" s="129" t="e">
        <f t="shared" si="141"/>
        <v>#DIV/0!</v>
      </c>
      <c r="P521" s="114" t="e">
        <f t="shared" si="142"/>
        <v>#DIV/0!</v>
      </c>
      <c r="Q521" s="7" t="e">
        <f t="shared" si="143"/>
        <v>#DIV/0!</v>
      </c>
      <c r="R521" s="5" t="e">
        <f t="shared" si="113"/>
        <v>#DIV/0!</v>
      </c>
    </row>
    <row r="522" spans="1:18" s="4" customFormat="1" ht="15" hidden="1" customHeight="1">
      <c r="A522" s="64"/>
      <c r="B522" s="7">
        <f t="shared" si="144"/>
        <v>87</v>
      </c>
      <c r="C522" s="7"/>
      <c r="D522" s="7"/>
      <c r="E522" s="7"/>
      <c r="F522" s="7"/>
      <c r="G522" s="7"/>
      <c r="H522" s="91"/>
      <c r="I522" s="115"/>
      <c r="J522" s="116"/>
      <c r="K522" s="116"/>
      <c r="L522" s="116"/>
      <c r="M522" s="129"/>
      <c r="N522" s="129" t="e">
        <f t="shared" si="140"/>
        <v>#DIV/0!</v>
      </c>
      <c r="O522" s="129" t="e">
        <f t="shared" si="141"/>
        <v>#DIV/0!</v>
      </c>
      <c r="P522" s="114" t="e">
        <f t="shared" si="142"/>
        <v>#DIV/0!</v>
      </c>
      <c r="Q522" s="7" t="e">
        <f t="shared" si="143"/>
        <v>#DIV/0!</v>
      </c>
      <c r="R522" s="5" t="e">
        <f t="shared" si="113"/>
        <v>#DIV/0!</v>
      </c>
    </row>
    <row r="523" spans="1:18" s="4" customFormat="1" ht="15" hidden="1" customHeight="1">
      <c r="A523" s="64"/>
      <c r="B523" s="7">
        <f t="shared" si="144"/>
        <v>88</v>
      </c>
      <c r="C523" s="7"/>
      <c r="D523" s="7"/>
      <c r="E523" s="7"/>
      <c r="F523" s="7"/>
      <c r="G523" s="7"/>
      <c r="H523" s="91"/>
      <c r="I523" s="115"/>
      <c r="J523" s="116"/>
      <c r="K523" s="116"/>
      <c r="L523" s="116"/>
      <c r="M523" s="129"/>
      <c r="N523" s="129" t="e">
        <f t="shared" si="140"/>
        <v>#DIV/0!</v>
      </c>
      <c r="O523" s="129" t="e">
        <f t="shared" si="141"/>
        <v>#DIV/0!</v>
      </c>
      <c r="P523" s="114" t="e">
        <f t="shared" si="142"/>
        <v>#DIV/0!</v>
      </c>
      <c r="Q523" s="7" t="e">
        <f t="shared" si="143"/>
        <v>#DIV/0!</v>
      </c>
      <c r="R523" s="5" t="e">
        <f t="shared" si="113"/>
        <v>#DIV/0!</v>
      </c>
    </row>
    <row r="524" spans="1:18" s="4" customFormat="1" ht="15" hidden="1" customHeight="1">
      <c r="A524" s="64"/>
      <c r="B524" s="7">
        <f t="shared" si="144"/>
        <v>89</v>
      </c>
      <c r="C524" s="7"/>
      <c r="D524" s="7"/>
      <c r="E524" s="7"/>
      <c r="F524" s="7"/>
      <c r="G524" s="7"/>
      <c r="H524" s="91"/>
      <c r="I524" s="115"/>
      <c r="J524" s="116"/>
      <c r="K524" s="116"/>
      <c r="L524" s="116"/>
      <c r="M524" s="129"/>
      <c r="N524" s="129" t="e">
        <f t="shared" si="140"/>
        <v>#DIV/0!</v>
      </c>
      <c r="O524" s="129" t="e">
        <f t="shared" si="141"/>
        <v>#DIV/0!</v>
      </c>
      <c r="P524" s="114" t="e">
        <f t="shared" si="142"/>
        <v>#DIV/0!</v>
      </c>
      <c r="Q524" s="7" t="e">
        <f t="shared" si="143"/>
        <v>#DIV/0!</v>
      </c>
      <c r="R524" s="5" t="e">
        <f t="shared" si="113"/>
        <v>#DIV/0!</v>
      </c>
    </row>
    <row r="525" spans="1:18" s="4" customFormat="1" ht="15" hidden="1" customHeight="1">
      <c r="A525" s="64"/>
      <c r="B525" s="7">
        <f t="shared" si="144"/>
        <v>90</v>
      </c>
      <c r="C525" s="7"/>
      <c r="D525" s="7"/>
      <c r="E525" s="7"/>
      <c r="F525" s="7"/>
      <c r="G525" s="7"/>
      <c r="H525" s="91"/>
      <c r="I525" s="115"/>
      <c r="J525" s="116"/>
      <c r="K525" s="116"/>
      <c r="L525" s="116"/>
      <c r="M525" s="129"/>
      <c r="N525" s="129"/>
      <c r="O525" s="129"/>
      <c r="P525" s="114"/>
      <c r="Q525" s="7"/>
      <c r="R525" s="5" t="b">
        <f t="shared" si="113"/>
        <v>0</v>
      </c>
    </row>
    <row r="526" spans="1:18" s="4" customFormat="1" ht="15" hidden="1" customHeight="1">
      <c r="A526" s="64"/>
      <c r="B526" s="7">
        <f t="shared" si="144"/>
        <v>91</v>
      </c>
      <c r="C526" s="7"/>
      <c r="D526" s="7"/>
      <c r="E526" s="7"/>
      <c r="F526" s="7"/>
      <c r="G526" s="7"/>
      <c r="H526" s="91"/>
      <c r="I526" s="115"/>
      <c r="J526" s="116"/>
      <c r="K526" s="116"/>
      <c r="L526" s="116"/>
      <c r="M526" s="129"/>
      <c r="N526" s="129"/>
      <c r="O526" s="129"/>
      <c r="P526" s="114"/>
      <c r="Q526" s="7"/>
      <c r="R526" s="5" t="b">
        <f t="shared" si="113"/>
        <v>0</v>
      </c>
    </row>
    <row r="527" spans="1:18" s="4" customFormat="1" ht="15" hidden="1" customHeight="1">
      <c r="A527" s="64"/>
      <c r="B527" s="7">
        <f t="shared" si="144"/>
        <v>92</v>
      </c>
      <c r="C527" s="7"/>
      <c r="D527" s="7"/>
      <c r="E527" s="7"/>
      <c r="F527" s="7"/>
      <c r="G527" s="7"/>
      <c r="H527" s="91"/>
      <c r="I527" s="115"/>
      <c r="J527" s="116"/>
      <c r="K527" s="116"/>
      <c r="L527" s="116"/>
      <c r="M527" s="129"/>
      <c r="N527" s="129" t="e">
        <f t="shared" ref="N527:N588" si="145">+K527/(K527+L527)</f>
        <v>#DIV/0!</v>
      </c>
      <c r="O527" s="129" t="e">
        <f t="shared" ref="O527:O588" si="146">+(K527+M527)/(K527+L527+M527)</f>
        <v>#DIV/0!</v>
      </c>
      <c r="P527" s="114" t="e">
        <f t="shared" ref="P527:P588" si="147">+K527/(K527+M527)</f>
        <v>#DIV/0!</v>
      </c>
      <c r="Q527" s="7" t="e">
        <f t="shared" ref="Q527:Q588" si="148">+J527/K527</f>
        <v>#DIV/0!</v>
      </c>
      <c r="R527" s="5" t="e">
        <f t="shared" si="113"/>
        <v>#DIV/0!</v>
      </c>
    </row>
    <row r="528" spans="1:18" s="4" customFormat="1" ht="15" hidden="1" customHeight="1">
      <c r="A528" s="64"/>
      <c r="B528" s="7">
        <f t="shared" si="144"/>
        <v>93</v>
      </c>
      <c r="C528" s="7"/>
      <c r="D528" s="7"/>
      <c r="E528" s="7"/>
      <c r="F528" s="7"/>
      <c r="G528" s="7"/>
      <c r="H528" s="91"/>
      <c r="I528" s="115"/>
      <c r="J528" s="116"/>
      <c r="K528" s="116"/>
      <c r="L528" s="116"/>
      <c r="M528" s="129"/>
      <c r="N528" s="129" t="e">
        <f t="shared" si="145"/>
        <v>#DIV/0!</v>
      </c>
      <c r="O528" s="129" t="e">
        <f t="shared" si="146"/>
        <v>#DIV/0!</v>
      </c>
      <c r="P528" s="114" t="e">
        <f t="shared" si="147"/>
        <v>#DIV/0!</v>
      </c>
      <c r="Q528" s="7" t="e">
        <f t="shared" si="148"/>
        <v>#DIV/0!</v>
      </c>
      <c r="R528" s="5" t="e">
        <f t="shared" si="113"/>
        <v>#DIV/0!</v>
      </c>
    </row>
    <row r="529" spans="1:18" s="4" customFormat="1" ht="15" hidden="1" customHeight="1">
      <c r="A529" s="64"/>
      <c r="B529" s="7">
        <f t="shared" si="144"/>
        <v>94</v>
      </c>
      <c r="C529" s="7"/>
      <c r="D529" s="7"/>
      <c r="E529" s="7"/>
      <c r="F529" s="7"/>
      <c r="G529" s="7"/>
      <c r="H529" s="91"/>
      <c r="I529" s="115"/>
      <c r="J529" s="116"/>
      <c r="K529" s="116"/>
      <c r="L529" s="116"/>
      <c r="M529" s="129"/>
      <c r="N529" s="129" t="e">
        <f t="shared" si="145"/>
        <v>#DIV/0!</v>
      </c>
      <c r="O529" s="129" t="e">
        <f t="shared" si="146"/>
        <v>#DIV/0!</v>
      </c>
      <c r="P529" s="114" t="e">
        <f t="shared" si="147"/>
        <v>#DIV/0!</v>
      </c>
      <c r="Q529" s="7" t="e">
        <f t="shared" si="148"/>
        <v>#DIV/0!</v>
      </c>
      <c r="R529" s="5" t="e">
        <f t="shared" si="113"/>
        <v>#DIV/0!</v>
      </c>
    </row>
    <row r="530" spans="1:18" s="4" customFormat="1" ht="15" hidden="1" customHeight="1">
      <c r="A530" s="64"/>
      <c r="B530" s="7">
        <f t="shared" si="144"/>
        <v>95</v>
      </c>
      <c r="C530" s="7"/>
      <c r="D530" s="7"/>
      <c r="E530" s="7"/>
      <c r="F530" s="7"/>
      <c r="G530" s="7"/>
      <c r="H530" s="91"/>
      <c r="I530" s="115"/>
      <c r="J530" s="116"/>
      <c r="K530" s="116"/>
      <c r="L530" s="116"/>
      <c r="M530" s="129"/>
      <c r="N530" s="129" t="e">
        <f t="shared" si="145"/>
        <v>#DIV/0!</v>
      </c>
      <c r="O530" s="129" t="e">
        <f t="shared" si="146"/>
        <v>#DIV/0!</v>
      </c>
      <c r="P530" s="114" t="e">
        <f t="shared" si="147"/>
        <v>#DIV/0!</v>
      </c>
      <c r="Q530" s="7" t="e">
        <f t="shared" si="148"/>
        <v>#DIV/0!</v>
      </c>
      <c r="R530" s="5" t="e">
        <f t="shared" si="113"/>
        <v>#DIV/0!</v>
      </c>
    </row>
    <row r="531" spans="1:18" s="4" customFormat="1" ht="15" hidden="1" customHeight="1">
      <c r="A531" s="64"/>
      <c r="B531" s="7">
        <f t="shared" si="144"/>
        <v>96</v>
      </c>
      <c r="C531" s="7"/>
      <c r="D531" s="7"/>
      <c r="E531" s="7"/>
      <c r="F531" s="7"/>
      <c r="G531" s="7"/>
      <c r="H531" s="91"/>
      <c r="I531" s="115"/>
      <c r="J531" s="116"/>
      <c r="K531" s="116"/>
      <c r="L531" s="116"/>
      <c r="M531" s="129"/>
      <c r="N531" s="129" t="e">
        <f t="shared" si="145"/>
        <v>#DIV/0!</v>
      </c>
      <c r="O531" s="129" t="e">
        <f t="shared" si="146"/>
        <v>#DIV/0!</v>
      </c>
      <c r="P531" s="114" t="e">
        <f t="shared" si="147"/>
        <v>#DIV/0!</v>
      </c>
      <c r="Q531" s="7" t="e">
        <f t="shared" si="148"/>
        <v>#DIV/0!</v>
      </c>
      <c r="R531" s="5" t="e">
        <f t="shared" si="113"/>
        <v>#DIV/0!</v>
      </c>
    </row>
    <row r="532" spans="1:18" s="4" customFormat="1" ht="15" hidden="1" customHeight="1">
      <c r="A532" s="64"/>
      <c r="B532" s="7">
        <f t="shared" si="144"/>
        <v>97</v>
      </c>
      <c r="C532" s="7"/>
      <c r="D532" s="7"/>
      <c r="E532" s="7"/>
      <c r="F532" s="7"/>
      <c r="G532" s="7"/>
      <c r="H532" s="91"/>
      <c r="I532" s="115"/>
      <c r="J532" s="116"/>
      <c r="K532" s="116"/>
      <c r="L532" s="116"/>
      <c r="M532" s="129"/>
      <c r="N532" s="129" t="e">
        <f t="shared" si="145"/>
        <v>#DIV/0!</v>
      </c>
      <c r="O532" s="129" t="e">
        <f t="shared" si="146"/>
        <v>#DIV/0!</v>
      </c>
      <c r="P532" s="114" t="e">
        <f t="shared" si="147"/>
        <v>#DIV/0!</v>
      </c>
      <c r="Q532" s="7" t="e">
        <f t="shared" si="148"/>
        <v>#DIV/0!</v>
      </c>
      <c r="R532" s="5" t="e">
        <f t="shared" ref="R532:R595" si="149">IF(O532&gt;89.9999999999999%,"PAMA")</f>
        <v>#DIV/0!</v>
      </c>
    </row>
    <row r="533" spans="1:18" s="4" customFormat="1" ht="15" hidden="1" customHeight="1">
      <c r="A533" s="64"/>
      <c r="B533" s="7">
        <f t="shared" si="144"/>
        <v>98</v>
      </c>
      <c r="C533" s="7"/>
      <c r="D533" s="7"/>
      <c r="E533" s="7"/>
      <c r="F533" s="7"/>
      <c r="G533" s="7"/>
      <c r="H533" s="91"/>
      <c r="I533" s="115"/>
      <c r="J533" s="116"/>
      <c r="K533" s="116"/>
      <c r="L533" s="116"/>
      <c r="M533" s="129"/>
      <c r="N533" s="129" t="e">
        <f t="shared" si="145"/>
        <v>#DIV/0!</v>
      </c>
      <c r="O533" s="129" t="e">
        <f t="shared" si="146"/>
        <v>#DIV/0!</v>
      </c>
      <c r="P533" s="114" t="e">
        <f t="shared" si="147"/>
        <v>#DIV/0!</v>
      </c>
      <c r="Q533" s="7" t="e">
        <f t="shared" si="148"/>
        <v>#DIV/0!</v>
      </c>
      <c r="R533" s="5" t="e">
        <f t="shared" si="149"/>
        <v>#DIV/0!</v>
      </c>
    </row>
    <row r="534" spans="1:18" s="4" customFormat="1" ht="15" hidden="1" customHeight="1">
      <c r="A534" s="64"/>
      <c r="B534" s="7">
        <f t="shared" si="144"/>
        <v>99</v>
      </c>
      <c r="C534" s="7"/>
      <c r="D534" s="7"/>
      <c r="E534" s="7"/>
      <c r="F534" s="7"/>
      <c r="G534" s="7"/>
      <c r="H534" s="91"/>
      <c r="I534" s="115"/>
      <c r="J534" s="116"/>
      <c r="K534" s="116"/>
      <c r="L534" s="116"/>
      <c r="M534" s="129"/>
      <c r="N534" s="129" t="e">
        <f t="shared" si="145"/>
        <v>#DIV/0!</v>
      </c>
      <c r="O534" s="129" t="e">
        <f t="shared" si="146"/>
        <v>#DIV/0!</v>
      </c>
      <c r="P534" s="114" t="e">
        <f t="shared" si="147"/>
        <v>#DIV/0!</v>
      </c>
      <c r="Q534" s="7" t="e">
        <f t="shared" si="148"/>
        <v>#DIV/0!</v>
      </c>
      <c r="R534" s="5" t="e">
        <f t="shared" si="149"/>
        <v>#DIV/0!</v>
      </c>
    </row>
    <row r="535" spans="1:18" s="4" customFormat="1" ht="15" hidden="1" customHeight="1">
      <c r="A535" s="64"/>
      <c r="B535" s="7">
        <f t="shared" si="144"/>
        <v>100</v>
      </c>
      <c r="C535" s="7"/>
      <c r="D535" s="7"/>
      <c r="E535" s="7"/>
      <c r="F535" s="7"/>
      <c r="G535" s="7"/>
      <c r="H535" s="91"/>
      <c r="I535" s="115"/>
      <c r="J535" s="116"/>
      <c r="K535" s="116"/>
      <c r="L535" s="116"/>
      <c r="M535" s="129"/>
      <c r="N535" s="129" t="e">
        <f t="shared" si="145"/>
        <v>#DIV/0!</v>
      </c>
      <c r="O535" s="129" t="e">
        <f t="shared" si="146"/>
        <v>#DIV/0!</v>
      </c>
      <c r="P535" s="114" t="e">
        <f t="shared" si="147"/>
        <v>#DIV/0!</v>
      </c>
      <c r="Q535" s="7" t="e">
        <f t="shared" si="148"/>
        <v>#DIV/0!</v>
      </c>
      <c r="R535" s="5" t="e">
        <f t="shared" si="149"/>
        <v>#DIV/0!</v>
      </c>
    </row>
    <row r="536" spans="1:18" s="4" customFormat="1" ht="15" hidden="1" customHeight="1">
      <c r="A536" s="64"/>
      <c r="B536" s="7">
        <f t="shared" si="144"/>
        <v>101</v>
      </c>
      <c r="C536" s="7"/>
      <c r="D536" s="7"/>
      <c r="E536" s="7"/>
      <c r="F536" s="7"/>
      <c r="G536" s="7"/>
      <c r="H536" s="91"/>
      <c r="I536" s="115"/>
      <c r="J536" s="116"/>
      <c r="K536" s="116"/>
      <c r="L536" s="116"/>
      <c r="M536" s="129"/>
      <c r="N536" s="129" t="e">
        <f t="shared" si="145"/>
        <v>#DIV/0!</v>
      </c>
      <c r="O536" s="129" t="e">
        <f t="shared" si="146"/>
        <v>#DIV/0!</v>
      </c>
      <c r="P536" s="114" t="e">
        <f t="shared" si="147"/>
        <v>#DIV/0!</v>
      </c>
      <c r="Q536" s="7" t="e">
        <f t="shared" si="148"/>
        <v>#DIV/0!</v>
      </c>
      <c r="R536" s="5" t="e">
        <f t="shared" si="149"/>
        <v>#DIV/0!</v>
      </c>
    </row>
    <row r="537" spans="1:18" s="4" customFormat="1" ht="15" hidden="1" customHeight="1">
      <c r="A537" s="64"/>
      <c r="B537" s="7">
        <f t="shared" si="144"/>
        <v>102</v>
      </c>
      <c r="C537" s="7"/>
      <c r="D537" s="7"/>
      <c r="E537" s="7"/>
      <c r="F537" s="7"/>
      <c r="G537" s="7"/>
      <c r="H537" s="91"/>
      <c r="I537" s="115"/>
      <c r="J537" s="116"/>
      <c r="K537" s="116"/>
      <c r="L537" s="116"/>
      <c r="M537" s="129"/>
      <c r="N537" s="129" t="e">
        <f t="shared" si="145"/>
        <v>#DIV/0!</v>
      </c>
      <c r="O537" s="129" t="e">
        <f t="shared" si="146"/>
        <v>#DIV/0!</v>
      </c>
      <c r="P537" s="114" t="e">
        <f t="shared" si="147"/>
        <v>#DIV/0!</v>
      </c>
      <c r="Q537" s="7" t="e">
        <f t="shared" si="148"/>
        <v>#DIV/0!</v>
      </c>
      <c r="R537" s="5" t="e">
        <f t="shared" si="149"/>
        <v>#DIV/0!</v>
      </c>
    </row>
    <row r="538" spans="1:18" s="4" customFormat="1" ht="15" hidden="1" customHeight="1">
      <c r="A538" s="64"/>
      <c r="B538" s="7">
        <f t="shared" si="144"/>
        <v>103</v>
      </c>
      <c r="C538" s="7"/>
      <c r="D538" s="7"/>
      <c r="E538" s="7"/>
      <c r="F538" s="7"/>
      <c r="G538" s="7"/>
      <c r="H538" s="91"/>
      <c r="I538" s="115"/>
      <c r="J538" s="116"/>
      <c r="K538" s="116"/>
      <c r="L538" s="116"/>
      <c r="M538" s="129"/>
      <c r="N538" s="129" t="e">
        <f t="shared" si="145"/>
        <v>#DIV/0!</v>
      </c>
      <c r="O538" s="129" t="e">
        <f t="shared" si="146"/>
        <v>#DIV/0!</v>
      </c>
      <c r="P538" s="114" t="e">
        <f t="shared" si="147"/>
        <v>#DIV/0!</v>
      </c>
      <c r="Q538" s="7" t="e">
        <f t="shared" si="148"/>
        <v>#DIV/0!</v>
      </c>
      <c r="R538" s="5" t="e">
        <f t="shared" si="149"/>
        <v>#DIV/0!</v>
      </c>
    </row>
    <row r="539" spans="1:18" s="4" customFormat="1" ht="15" hidden="1" customHeight="1">
      <c r="A539" s="64"/>
      <c r="B539" s="7">
        <f t="shared" si="144"/>
        <v>104</v>
      </c>
      <c r="C539" s="7"/>
      <c r="D539" s="7"/>
      <c r="E539" s="7"/>
      <c r="F539" s="7"/>
      <c r="G539" s="7"/>
      <c r="H539" s="91"/>
      <c r="I539" s="115"/>
      <c r="J539" s="116"/>
      <c r="K539" s="116"/>
      <c r="L539" s="116"/>
      <c r="M539" s="129"/>
      <c r="N539" s="129" t="e">
        <f t="shared" si="145"/>
        <v>#DIV/0!</v>
      </c>
      <c r="O539" s="129" t="e">
        <f t="shared" si="146"/>
        <v>#DIV/0!</v>
      </c>
      <c r="P539" s="114" t="e">
        <f t="shared" si="147"/>
        <v>#DIV/0!</v>
      </c>
      <c r="Q539" s="7" t="e">
        <f t="shared" si="148"/>
        <v>#DIV/0!</v>
      </c>
      <c r="R539" s="5" t="e">
        <f t="shared" si="149"/>
        <v>#DIV/0!</v>
      </c>
    </row>
    <row r="540" spans="1:18" s="4" customFormat="1" ht="15" hidden="1" customHeight="1">
      <c r="A540" s="64"/>
      <c r="B540" s="7">
        <f t="shared" si="144"/>
        <v>105</v>
      </c>
      <c r="C540" s="7"/>
      <c r="D540" s="7"/>
      <c r="E540" s="7"/>
      <c r="F540" s="7"/>
      <c r="G540" s="7"/>
      <c r="H540" s="91"/>
      <c r="I540" s="115"/>
      <c r="J540" s="116"/>
      <c r="K540" s="116"/>
      <c r="L540" s="116"/>
      <c r="M540" s="129"/>
      <c r="N540" s="129" t="e">
        <f t="shared" si="145"/>
        <v>#DIV/0!</v>
      </c>
      <c r="O540" s="129" t="e">
        <f t="shared" si="146"/>
        <v>#DIV/0!</v>
      </c>
      <c r="P540" s="114" t="e">
        <f t="shared" si="147"/>
        <v>#DIV/0!</v>
      </c>
      <c r="Q540" s="7" t="e">
        <f t="shared" si="148"/>
        <v>#DIV/0!</v>
      </c>
      <c r="R540" s="5" t="e">
        <f t="shared" si="149"/>
        <v>#DIV/0!</v>
      </c>
    </row>
    <row r="541" spans="1:18" s="4" customFormat="1" ht="15" hidden="1" customHeight="1">
      <c r="A541" s="64"/>
      <c r="B541" s="7">
        <f t="shared" si="144"/>
        <v>106</v>
      </c>
      <c r="C541" s="7"/>
      <c r="D541" s="7"/>
      <c r="E541" s="7"/>
      <c r="F541" s="7"/>
      <c r="G541" s="7"/>
      <c r="H541" s="91"/>
      <c r="I541" s="115"/>
      <c r="J541" s="116"/>
      <c r="K541" s="116"/>
      <c r="L541" s="116"/>
      <c r="M541" s="129"/>
      <c r="N541" s="129" t="e">
        <f t="shared" si="145"/>
        <v>#DIV/0!</v>
      </c>
      <c r="O541" s="129" t="e">
        <f t="shared" si="146"/>
        <v>#DIV/0!</v>
      </c>
      <c r="P541" s="114" t="e">
        <f t="shared" si="147"/>
        <v>#DIV/0!</v>
      </c>
      <c r="Q541" s="7" t="e">
        <f t="shared" si="148"/>
        <v>#DIV/0!</v>
      </c>
      <c r="R541" s="5" t="e">
        <f t="shared" si="149"/>
        <v>#DIV/0!</v>
      </c>
    </row>
    <row r="542" spans="1:18" s="4" customFormat="1" ht="15" hidden="1" customHeight="1">
      <c r="A542" s="64"/>
      <c r="B542" s="7">
        <f t="shared" si="144"/>
        <v>107</v>
      </c>
      <c r="C542" s="7"/>
      <c r="D542" s="7"/>
      <c r="E542" s="7"/>
      <c r="F542" s="7"/>
      <c r="G542" s="7"/>
      <c r="H542" s="91"/>
      <c r="I542" s="115"/>
      <c r="J542" s="116"/>
      <c r="K542" s="116"/>
      <c r="L542" s="116"/>
      <c r="M542" s="129"/>
      <c r="N542" s="129" t="e">
        <f t="shared" si="145"/>
        <v>#DIV/0!</v>
      </c>
      <c r="O542" s="129" t="e">
        <f t="shared" si="146"/>
        <v>#DIV/0!</v>
      </c>
      <c r="P542" s="114" t="e">
        <f t="shared" si="147"/>
        <v>#DIV/0!</v>
      </c>
      <c r="Q542" s="7" t="e">
        <f t="shared" si="148"/>
        <v>#DIV/0!</v>
      </c>
      <c r="R542" s="5" t="e">
        <f t="shared" si="149"/>
        <v>#DIV/0!</v>
      </c>
    </row>
    <row r="543" spans="1:18" s="4" customFormat="1" ht="15" hidden="1" customHeight="1">
      <c r="A543" s="64"/>
      <c r="B543" s="7">
        <f t="shared" si="144"/>
        <v>108</v>
      </c>
      <c r="C543" s="7"/>
      <c r="D543" s="7"/>
      <c r="E543" s="7"/>
      <c r="F543" s="7"/>
      <c r="G543" s="7"/>
      <c r="H543" s="91"/>
      <c r="I543" s="115"/>
      <c r="J543" s="116"/>
      <c r="K543" s="116"/>
      <c r="L543" s="116"/>
      <c r="M543" s="129"/>
      <c r="N543" s="129" t="e">
        <f t="shared" si="145"/>
        <v>#DIV/0!</v>
      </c>
      <c r="O543" s="129" t="e">
        <f t="shared" si="146"/>
        <v>#DIV/0!</v>
      </c>
      <c r="P543" s="114" t="e">
        <f t="shared" si="147"/>
        <v>#DIV/0!</v>
      </c>
      <c r="Q543" s="7" t="e">
        <f t="shared" si="148"/>
        <v>#DIV/0!</v>
      </c>
      <c r="R543" s="5" t="e">
        <f t="shared" si="149"/>
        <v>#DIV/0!</v>
      </c>
    </row>
    <row r="544" spans="1:18" s="4" customFormat="1" ht="15" hidden="1" customHeight="1">
      <c r="A544" s="64"/>
      <c r="B544" s="7">
        <f t="shared" si="144"/>
        <v>109</v>
      </c>
      <c r="C544" s="7"/>
      <c r="D544" s="7"/>
      <c r="E544" s="7"/>
      <c r="F544" s="7"/>
      <c r="G544" s="7"/>
      <c r="H544" s="91"/>
      <c r="I544" s="115"/>
      <c r="J544" s="116"/>
      <c r="K544" s="116"/>
      <c r="L544" s="116"/>
      <c r="M544" s="129"/>
      <c r="N544" s="129" t="e">
        <f t="shared" si="145"/>
        <v>#DIV/0!</v>
      </c>
      <c r="O544" s="129" t="e">
        <f t="shared" si="146"/>
        <v>#DIV/0!</v>
      </c>
      <c r="P544" s="114" t="e">
        <f t="shared" si="147"/>
        <v>#DIV/0!</v>
      </c>
      <c r="Q544" s="7" t="e">
        <f t="shared" si="148"/>
        <v>#DIV/0!</v>
      </c>
      <c r="R544" s="5" t="e">
        <f t="shared" si="149"/>
        <v>#DIV/0!</v>
      </c>
    </row>
    <row r="545" spans="1:18" s="4" customFormat="1" ht="15" hidden="1" customHeight="1">
      <c r="A545" s="64"/>
      <c r="B545" s="7">
        <f t="shared" si="144"/>
        <v>110</v>
      </c>
      <c r="C545" s="7"/>
      <c r="D545" s="7"/>
      <c r="E545" s="7"/>
      <c r="F545" s="7"/>
      <c r="G545" s="7"/>
      <c r="H545" s="91"/>
      <c r="I545" s="115"/>
      <c r="J545" s="116"/>
      <c r="K545" s="116"/>
      <c r="L545" s="116"/>
      <c r="M545" s="129"/>
      <c r="N545" s="129" t="e">
        <f t="shared" si="145"/>
        <v>#DIV/0!</v>
      </c>
      <c r="O545" s="129" t="e">
        <f t="shared" si="146"/>
        <v>#DIV/0!</v>
      </c>
      <c r="P545" s="114" t="e">
        <f t="shared" si="147"/>
        <v>#DIV/0!</v>
      </c>
      <c r="Q545" s="7" t="e">
        <f t="shared" si="148"/>
        <v>#DIV/0!</v>
      </c>
      <c r="R545" s="5" t="e">
        <f t="shared" si="149"/>
        <v>#DIV/0!</v>
      </c>
    </row>
    <row r="546" spans="1:18" s="4" customFormat="1" ht="15" hidden="1" customHeight="1">
      <c r="A546" s="64"/>
      <c r="B546" s="7">
        <f t="shared" si="144"/>
        <v>111</v>
      </c>
      <c r="C546" s="7"/>
      <c r="D546" s="7"/>
      <c r="E546" s="7"/>
      <c r="F546" s="7"/>
      <c r="G546" s="7"/>
      <c r="H546" s="91"/>
      <c r="I546" s="115"/>
      <c r="J546" s="116"/>
      <c r="K546" s="116"/>
      <c r="L546" s="116"/>
      <c r="M546" s="129"/>
      <c r="N546" s="129" t="e">
        <f t="shared" si="145"/>
        <v>#DIV/0!</v>
      </c>
      <c r="O546" s="129" t="e">
        <f t="shared" si="146"/>
        <v>#DIV/0!</v>
      </c>
      <c r="P546" s="114" t="e">
        <f t="shared" si="147"/>
        <v>#DIV/0!</v>
      </c>
      <c r="Q546" s="7" t="e">
        <f t="shared" si="148"/>
        <v>#DIV/0!</v>
      </c>
      <c r="R546" s="5" t="e">
        <f t="shared" si="149"/>
        <v>#DIV/0!</v>
      </c>
    </row>
    <row r="547" spans="1:18" s="4" customFormat="1" ht="15" hidden="1" customHeight="1">
      <c r="A547" s="64"/>
      <c r="B547" s="7">
        <f t="shared" si="144"/>
        <v>112</v>
      </c>
      <c r="C547" s="7"/>
      <c r="D547" s="7"/>
      <c r="E547" s="7"/>
      <c r="F547" s="7"/>
      <c r="G547" s="7"/>
      <c r="H547" s="91"/>
      <c r="I547" s="115"/>
      <c r="J547" s="116"/>
      <c r="K547" s="116"/>
      <c r="L547" s="116"/>
      <c r="M547" s="129"/>
      <c r="N547" s="129" t="e">
        <f t="shared" si="145"/>
        <v>#DIV/0!</v>
      </c>
      <c r="O547" s="129" t="e">
        <f t="shared" si="146"/>
        <v>#DIV/0!</v>
      </c>
      <c r="P547" s="114" t="e">
        <f t="shared" si="147"/>
        <v>#DIV/0!</v>
      </c>
      <c r="Q547" s="7" t="e">
        <f t="shared" si="148"/>
        <v>#DIV/0!</v>
      </c>
      <c r="R547" s="5" t="e">
        <f t="shared" si="149"/>
        <v>#DIV/0!</v>
      </c>
    </row>
    <row r="548" spans="1:18" s="4" customFormat="1" ht="15" hidden="1" customHeight="1">
      <c r="A548" s="64"/>
      <c r="B548" s="7">
        <f t="shared" si="144"/>
        <v>113</v>
      </c>
      <c r="C548" s="7"/>
      <c r="D548" s="7"/>
      <c r="E548" s="7"/>
      <c r="F548" s="7"/>
      <c r="G548" s="7"/>
      <c r="H548" s="91"/>
      <c r="I548" s="115"/>
      <c r="J548" s="116"/>
      <c r="K548" s="116"/>
      <c r="L548" s="116"/>
      <c r="M548" s="129"/>
      <c r="N548" s="129" t="e">
        <f t="shared" si="145"/>
        <v>#DIV/0!</v>
      </c>
      <c r="O548" s="129" t="e">
        <f t="shared" si="146"/>
        <v>#DIV/0!</v>
      </c>
      <c r="P548" s="114" t="e">
        <f t="shared" si="147"/>
        <v>#DIV/0!</v>
      </c>
      <c r="Q548" s="7" t="e">
        <f t="shared" si="148"/>
        <v>#DIV/0!</v>
      </c>
      <c r="R548" s="5" t="e">
        <f t="shared" si="149"/>
        <v>#DIV/0!</v>
      </c>
    </row>
    <row r="549" spans="1:18" s="4" customFormat="1" ht="15" hidden="1" customHeight="1">
      <c r="A549" s="64"/>
      <c r="B549" s="7">
        <f t="shared" si="144"/>
        <v>114</v>
      </c>
      <c r="C549" s="7"/>
      <c r="D549" s="7"/>
      <c r="E549" s="7"/>
      <c r="F549" s="7"/>
      <c r="G549" s="7"/>
      <c r="H549" s="91"/>
      <c r="I549" s="115"/>
      <c r="J549" s="116"/>
      <c r="K549" s="116"/>
      <c r="L549" s="116"/>
      <c r="M549" s="129"/>
      <c r="N549" s="129" t="e">
        <f t="shared" si="145"/>
        <v>#DIV/0!</v>
      </c>
      <c r="O549" s="129" t="e">
        <f t="shared" si="146"/>
        <v>#DIV/0!</v>
      </c>
      <c r="P549" s="114" t="e">
        <f t="shared" si="147"/>
        <v>#DIV/0!</v>
      </c>
      <c r="Q549" s="7" t="e">
        <f t="shared" si="148"/>
        <v>#DIV/0!</v>
      </c>
      <c r="R549" s="5" t="e">
        <f t="shared" si="149"/>
        <v>#DIV/0!</v>
      </c>
    </row>
    <row r="550" spans="1:18" s="4" customFormat="1" ht="15" hidden="1" customHeight="1">
      <c r="A550" s="64"/>
      <c r="B550" s="7">
        <f t="shared" si="144"/>
        <v>115</v>
      </c>
      <c r="C550" s="7"/>
      <c r="D550" s="7"/>
      <c r="E550" s="7"/>
      <c r="F550" s="7"/>
      <c r="G550" s="7"/>
      <c r="H550" s="91"/>
      <c r="I550" s="115"/>
      <c r="J550" s="116"/>
      <c r="K550" s="116"/>
      <c r="L550" s="116"/>
      <c r="M550" s="129"/>
      <c r="N550" s="129" t="e">
        <f t="shared" si="145"/>
        <v>#DIV/0!</v>
      </c>
      <c r="O550" s="129" t="e">
        <f t="shared" si="146"/>
        <v>#DIV/0!</v>
      </c>
      <c r="P550" s="114" t="e">
        <f t="shared" si="147"/>
        <v>#DIV/0!</v>
      </c>
      <c r="Q550" s="7" t="e">
        <f t="shared" si="148"/>
        <v>#DIV/0!</v>
      </c>
      <c r="R550" s="5" t="e">
        <f t="shared" si="149"/>
        <v>#DIV/0!</v>
      </c>
    </row>
    <row r="551" spans="1:18" s="4" customFormat="1" ht="15" hidden="1" customHeight="1">
      <c r="A551" s="64"/>
      <c r="B551" s="7">
        <f t="shared" si="144"/>
        <v>116</v>
      </c>
      <c r="C551" s="7"/>
      <c r="D551" s="7"/>
      <c r="E551" s="7"/>
      <c r="F551" s="7"/>
      <c r="G551" s="7"/>
      <c r="H551" s="91"/>
      <c r="I551" s="115"/>
      <c r="J551" s="116"/>
      <c r="K551" s="116"/>
      <c r="L551" s="116"/>
      <c r="M551" s="129"/>
      <c r="N551" s="129" t="e">
        <f t="shared" si="145"/>
        <v>#DIV/0!</v>
      </c>
      <c r="O551" s="129" t="e">
        <f t="shared" si="146"/>
        <v>#DIV/0!</v>
      </c>
      <c r="P551" s="114" t="e">
        <f t="shared" si="147"/>
        <v>#DIV/0!</v>
      </c>
      <c r="Q551" s="7" t="e">
        <f t="shared" si="148"/>
        <v>#DIV/0!</v>
      </c>
      <c r="R551" s="5" t="e">
        <f t="shared" si="149"/>
        <v>#DIV/0!</v>
      </c>
    </row>
    <row r="552" spans="1:18" s="4" customFormat="1" ht="15" hidden="1" customHeight="1">
      <c r="A552" s="64"/>
      <c r="B552" s="7">
        <f t="shared" si="144"/>
        <v>117</v>
      </c>
      <c r="C552" s="7"/>
      <c r="D552" s="7"/>
      <c r="E552" s="7"/>
      <c r="F552" s="7"/>
      <c r="G552" s="7"/>
      <c r="H552" s="91"/>
      <c r="I552" s="115"/>
      <c r="J552" s="116"/>
      <c r="K552" s="116"/>
      <c r="L552" s="116"/>
      <c r="M552" s="129"/>
      <c r="N552" s="129" t="e">
        <f t="shared" si="145"/>
        <v>#DIV/0!</v>
      </c>
      <c r="O552" s="129" t="e">
        <f t="shared" si="146"/>
        <v>#DIV/0!</v>
      </c>
      <c r="P552" s="114" t="e">
        <f t="shared" si="147"/>
        <v>#DIV/0!</v>
      </c>
      <c r="Q552" s="7" t="e">
        <f t="shared" si="148"/>
        <v>#DIV/0!</v>
      </c>
      <c r="R552" s="5" t="e">
        <f t="shared" si="149"/>
        <v>#DIV/0!</v>
      </c>
    </row>
    <row r="553" spans="1:18" s="4" customFormat="1" ht="15" hidden="1" customHeight="1">
      <c r="A553" s="64"/>
      <c r="B553" s="7">
        <f t="shared" si="144"/>
        <v>118</v>
      </c>
      <c r="C553" s="7"/>
      <c r="D553" s="7"/>
      <c r="E553" s="7"/>
      <c r="F553" s="7"/>
      <c r="G553" s="7"/>
      <c r="H553" s="91"/>
      <c r="I553" s="115"/>
      <c r="J553" s="116"/>
      <c r="K553" s="116"/>
      <c r="L553" s="116"/>
      <c r="M553" s="129"/>
      <c r="N553" s="129" t="e">
        <f t="shared" si="145"/>
        <v>#DIV/0!</v>
      </c>
      <c r="O553" s="129" t="e">
        <f t="shared" si="146"/>
        <v>#DIV/0!</v>
      </c>
      <c r="P553" s="114" t="e">
        <f t="shared" si="147"/>
        <v>#DIV/0!</v>
      </c>
      <c r="Q553" s="7" t="e">
        <f t="shared" si="148"/>
        <v>#DIV/0!</v>
      </c>
      <c r="R553" s="5" t="e">
        <f t="shared" si="149"/>
        <v>#DIV/0!</v>
      </c>
    </row>
    <row r="554" spans="1:18" s="4" customFormat="1" ht="15" hidden="1" customHeight="1">
      <c r="A554" s="64"/>
      <c r="B554" s="7">
        <f t="shared" si="144"/>
        <v>119</v>
      </c>
      <c r="C554" s="7"/>
      <c r="D554" s="7"/>
      <c r="E554" s="7"/>
      <c r="F554" s="7"/>
      <c r="G554" s="7"/>
      <c r="H554" s="91"/>
      <c r="I554" s="115"/>
      <c r="J554" s="116"/>
      <c r="K554" s="116"/>
      <c r="L554" s="116"/>
      <c r="M554" s="129"/>
      <c r="N554" s="129" t="e">
        <f t="shared" si="145"/>
        <v>#DIV/0!</v>
      </c>
      <c r="O554" s="129" t="e">
        <f t="shared" si="146"/>
        <v>#DIV/0!</v>
      </c>
      <c r="P554" s="114" t="e">
        <f t="shared" si="147"/>
        <v>#DIV/0!</v>
      </c>
      <c r="Q554" s="7" t="e">
        <f t="shared" si="148"/>
        <v>#DIV/0!</v>
      </c>
      <c r="R554" s="5" t="e">
        <f t="shared" si="149"/>
        <v>#DIV/0!</v>
      </c>
    </row>
    <row r="555" spans="1:18" s="4" customFormat="1" ht="15" hidden="1" customHeight="1">
      <c r="A555" s="64"/>
      <c r="B555" s="7">
        <f t="shared" si="144"/>
        <v>120</v>
      </c>
      <c r="C555" s="7"/>
      <c r="D555" s="7"/>
      <c r="E555" s="7"/>
      <c r="F555" s="7"/>
      <c r="G555" s="7"/>
      <c r="H555" s="91"/>
      <c r="I555" s="115"/>
      <c r="J555" s="116"/>
      <c r="K555" s="116"/>
      <c r="L555" s="116"/>
      <c r="M555" s="129"/>
      <c r="N555" s="129" t="e">
        <f t="shared" si="145"/>
        <v>#DIV/0!</v>
      </c>
      <c r="O555" s="129" t="e">
        <f t="shared" si="146"/>
        <v>#DIV/0!</v>
      </c>
      <c r="P555" s="114" t="e">
        <f t="shared" si="147"/>
        <v>#DIV/0!</v>
      </c>
      <c r="Q555" s="7" t="e">
        <f t="shared" si="148"/>
        <v>#DIV/0!</v>
      </c>
      <c r="R555" s="5" t="e">
        <f t="shared" si="149"/>
        <v>#DIV/0!</v>
      </c>
    </row>
    <row r="556" spans="1:18" s="4" customFormat="1" ht="15" hidden="1" customHeight="1">
      <c r="A556" s="64"/>
      <c r="B556" s="7">
        <f t="shared" si="144"/>
        <v>121</v>
      </c>
      <c r="C556" s="7"/>
      <c r="D556" s="7"/>
      <c r="E556" s="7"/>
      <c r="F556" s="7"/>
      <c r="G556" s="7"/>
      <c r="H556" s="91"/>
      <c r="I556" s="115"/>
      <c r="J556" s="116"/>
      <c r="K556" s="116"/>
      <c r="L556" s="116"/>
      <c r="M556" s="129"/>
      <c r="N556" s="129" t="e">
        <f t="shared" si="145"/>
        <v>#DIV/0!</v>
      </c>
      <c r="O556" s="129" t="e">
        <f t="shared" si="146"/>
        <v>#DIV/0!</v>
      </c>
      <c r="P556" s="114" t="e">
        <f t="shared" si="147"/>
        <v>#DIV/0!</v>
      </c>
      <c r="Q556" s="7" t="e">
        <f t="shared" si="148"/>
        <v>#DIV/0!</v>
      </c>
      <c r="R556" s="5" t="e">
        <f t="shared" si="149"/>
        <v>#DIV/0!</v>
      </c>
    </row>
    <row r="557" spans="1:18" s="4" customFormat="1" ht="15" hidden="1" customHeight="1">
      <c r="A557" s="64"/>
      <c r="B557" s="7">
        <f t="shared" si="144"/>
        <v>122</v>
      </c>
      <c r="C557" s="7"/>
      <c r="D557" s="7"/>
      <c r="E557" s="7"/>
      <c r="F557" s="7"/>
      <c r="G557" s="7"/>
      <c r="H557" s="91"/>
      <c r="I557" s="115"/>
      <c r="J557" s="116"/>
      <c r="K557" s="116"/>
      <c r="L557" s="116"/>
      <c r="M557" s="129"/>
      <c r="N557" s="129" t="e">
        <f t="shared" si="145"/>
        <v>#DIV/0!</v>
      </c>
      <c r="O557" s="129" t="e">
        <f t="shared" si="146"/>
        <v>#DIV/0!</v>
      </c>
      <c r="P557" s="114" t="e">
        <f t="shared" si="147"/>
        <v>#DIV/0!</v>
      </c>
      <c r="Q557" s="7" t="e">
        <f t="shared" si="148"/>
        <v>#DIV/0!</v>
      </c>
      <c r="R557" s="5" t="e">
        <f t="shared" si="149"/>
        <v>#DIV/0!</v>
      </c>
    </row>
    <row r="558" spans="1:18" s="4" customFormat="1" ht="15" hidden="1" customHeight="1">
      <c r="A558" s="64"/>
      <c r="B558" s="7">
        <f t="shared" si="144"/>
        <v>123</v>
      </c>
      <c r="C558" s="7"/>
      <c r="D558" s="7"/>
      <c r="E558" s="7"/>
      <c r="F558" s="7"/>
      <c r="G558" s="7"/>
      <c r="H558" s="91"/>
      <c r="I558" s="115"/>
      <c r="J558" s="116"/>
      <c r="K558" s="116"/>
      <c r="L558" s="116"/>
      <c r="M558" s="129"/>
      <c r="N558" s="129" t="e">
        <f t="shared" si="145"/>
        <v>#DIV/0!</v>
      </c>
      <c r="O558" s="129" t="e">
        <f t="shared" si="146"/>
        <v>#DIV/0!</v>
      </c>
      <c r="P558" s="114" t="e">
        <f t="shared" si="147"/>
        <v>#DIV/0!</v>
      </c>
      <c r="Q558" s="7" t="e">
        <f t="shared" si="148"/>
        <v>#DIV/0!</v>
      </c>
      <c r="R558" s="5" t="e">
        <f t="shared" si="149"/>
        <v>#DIV/0!</v>
      </c>
    </row>
    <row r="559" spans="1:18" s="4" customFormat="1" ht="15" hidden="1" customHeight="1">
      <c r="A559" s="64"/>
      <c r="B559" s="7">
        <f t="shared" si="144"/>
        <v>124</v>
      </c>
      <c r="C559" s="7"/>
      <c r="D559" s="7"/>
      <c r="E559" s="7"/>
      <c r="F559" s="7"/>
      <c r="G559" s="7"/>
      <c r="H559" s="91"/>
      <c r="I559" s="115"/>
      <c r="J559" s="116"/>
      <c r="K559" s="116"/>
      <c r="L559" s="116"/>
      <c r="M559" s="129"/>
      <c r="N559" s="129" t="e">
        <f t="shared" si="145"/>
        <v>#DIV/0!</v>
      </c>
      <c r="O559" s="129" t="e">
        <f t="shared" si="146"/>
        <v>#DIV/0!</v>
      </c>
      <c r="P559" s="114" t="e">
        <f t="shared" si="147"/>
        <v>#DIV/0!</v>
      </c>
      <c r="Q559" s="7" t="e">
        <f t="shared" si="148"/>
        <v>#DIV/0!</v>
      </c>
      <c r="R559" s="5" t="e">
        <f t="shared" si="149"/>
        <v>#DIV/0!</v>
      </c>
    </row>
    <row r="560" spans="1:18" s="4" customFormat="1" ht="15" hidden="1" customHeight="1">
      <c r="A560" s="64"/>
      <c r="B560" s="7">
        <f t="shared" si="144"/>
        <v>125</v>
      </c>
      <c r="C560" s="7"/>
      <c r="D560" s="7"/>
      <c r="E560" s="7"/>
      <c r="F560" s="7"/>
      <c r="G560" s="7"/>
      <c r="H560" s="91"/>
      <c r="I560" s="115"/>
      <c r="J560" s="116"/>
      <c r="K560" s="116"/>
      <c r="L560" s="116"/>
      <c r="M560" s="129"/>
      <c r="N560" s="129" t="e">
        <f t="shared" si="145"/>
        <v>#DIV/0!</v>
      </c>
      <c r="O560" s="129" t="e">
        <f t="shared" si="146"/>
        <v>#DIV/0!</v>
      </c>
      <c r="P560" s="114" t="e">
        <f t="shared" si="147"/>
        <v>#DIV/0!</v>
      </c>
      <c r="Q560" s="7" t="e">
        <f t="shared" si="148"/>
        <v>#DIV/0!</v>
      </c>
      <c r="R560" s="5" t="e">
        <f t="shared" si="149"/>
        <v>#DIV/0!</v>
      </c>
    </row>
    <row r="561" spans="1:18" s="4" customFormat="1" ht="15" hidden="1" customHeight="1">
      <c r="A561" s="64"/>
      <c r="B561" s="7">
        <f t="shared" si="144"/>
        <v>126</v>
      </c>
      <c r="C561" s="7"/>
      <c r="D561" s="7"/>
      <c r="E561" s="7"/>
      <c r="F561" s="7"/>
      <c r="G561" s="7"/>
      <c r="H561" s="91"/>
      <c r="I561" s="115"/>
      <c r="J561" s="116"/>
      <c r="K561" s="116"/>
      <c r="L561" s="116"/>
      <c r="M561" s="129"/>
      <c r="N561" s="129" t="e">
        <f t="shared" si="145"/>
        <v>#DIV/0!</v>
      </c>
      <c r="O561" s="129" t="e">
        <f t="shared" si="146"/>
        <v>#DIV/0!</v>
      </c>
      <c r="P561" s="114" t="e">
        <f t="shared" si="147"/>
        <v>#DIV/0!</v>
      </c>
      <c r="Q561" s="7" t="e">
        <f t="shared" si="148"/>
        <v>#DIV/0!</v>
      </c>
      <c r="R561" s="5" t="e">
        <f t="shared" si="149"/>
        <v>#DIV/0!</v>
      </c>
    </row>
    <row r="562" spans="1:18" s="4" customFormat="1" ht="15" hidden="1" customHeight="1">
      <c r="A562" s="64"/>
      <c r="B562" s="7">
        <f t="shared" si="144"/>
        <v>127</v>
      </c>
      <c r="C562" s="7"/>
      <c r="D562" s="7"/>
      <c r="E562" s="7"/>
      <c r="F562" s="7"/>
      <c r="G562" s="7"/>
      <c r="H562" s="91"/>
      <c r="I562" s="115"/>
      <c r="J562" s="116"/>
      <c r="K562" s="116"/>
      <c r="L562" s="116"/>
      <c r="M562" s="129"/>
      <c r="N562" s="129" t="e">
        <f t="shared" si="145"/>
        <v>#DIV/0!</v>
      </c>
      <c r="O562" s="129" t="e">
        <f t="shared" si="146"/>
        <v>#DIV/0!</v>
      </c>
      <c r="P562" s="114" t="e">
        <f t="shared" si="147"/>
        <v>#DIV/0!</v>
      </c>
      <c r="Q562" s="7" t="e">
        <f t="shared" si="148"/>
        <v>#DIV/0!</v>
      </c>
      <c r="R562" s="5" t="e">
        <f t="shared" si="149"/>
        <v>#DIV/0!</v>
      </c>
    </row>
    <row r="563" spans="1:18" s="4" customFormat="1" ht="15" hidden="1" customHeight="1">
      <c r="A563" s="64"/>
      <c r="B563" s="7">
        <f t="shared" si="144"/>
        <v>128</v>
      </c>
      <c r="C563" s="7"/>
      <c r="D563" s="7"/>
      <c r="E563" s="7"/>
      <c r="F563" s="7"/>
      <c r="G563" s="7"/>
      <c r="H563" s="91"/>
      <c r="I563" s="115"/>
      <c r="J563" s="116"/>
      <c r="K563" s="116"/>
      <c r="L563" s="116"/>
      <c r="M563" s="129"/>
      <c r="N563" s="129" t="e">
        <f t="shared" si="145"/>
        <v>#DIV/0!</v>
      </c>
      <c r="O563" s="129" t="e">
        <f t="shared" si="146"/>
        <v>#DIV/0!</v>
      </c>
      <c r="P563" s="114" t="e">
        <f t="shared" si="147"/>
        <v>#DIV/0!</v>
      </c>
      <c r="Q563" s="7" t="e">
        <f t="shared" si="148"/>
        <v>#DIV/0!</v>
      </c>
      <c r="R563" s="5" t="e">
        <f t="shared" si="149"/>
        <v>#DIV/0!</v>
      </c>
    </row>
    <row r="564" spans="1:18" s="4" customFormat="1" ht="15" hidden="1" customHeight="1">
      <c r="A564" s="64"/>
      <c r="B564" s="7">
        <f t="shared" si="144"/>
        <v>129</v>
      </c>
      <c r="C564" s="7"/>
      <c r="D564" s="7"/>
      <c r="E564" s="7"/>
      <c r="F564" s="7"/>
      <c r="G564" s="7"/>
      <c r="H564" s="91"/>
      <c r="I564" s="115"/>
      <c r="J564" s="116"/>
      <c r="K564" s="116"/>
      <c r="L564" s="116"/>
      <c r="M564" s="129"/>
      <c r="N564" s="129" t="e">
        <f t="shared" si="145"/>
        <v>#DIV/0!</v>
      </c>
      <c r="O564" s="129" t="e">
        <f t="shared" si="146"/>
        <v>#DIV/0!</v>
      </c>
      <c r="P564" s="114" t="e">
        <f t="shared" si="147"/>
        <v>#DIV/0!</v>
      </c>
      <c r="Q564" s="7" t="e">
        <f t="shared" si="148"/>
        <v>#DIV/0!</v>
      </c>
      <c r="R564" s="5" t="e">
        <f t="shared" si="149"/>
        <v>#DIV/0!</v>
      </c>
    </row>
    <row r="565" spans="1:18" s="4" customFormat="1" ht="15" hidden="1" customHeight="1">
      <c r="A565" s="64"/>
      <c r="B565" s="7">
        <f t="shared" si="144"/>
        <v>130</v>
      </c>
      <c r="C565" s="7"/>
      <c r="D565" s="7"/>
      <c r="E565" s="7"/>
      <c r="F565" s="7"/>
      <c r="G565" s="7"/>
      <c r="H565" s="91"/>
      <c r="I565" s="115"/>
      <c r="J565" s="116"/>
      <c r="K565" s="116"/>
      <c r="L565" s="116"/>
      <c r="M565" s="129"/>
      <c r="N565" s="129" t="e">
        <f t="shared" si="145"/>
        <v>#DIV/0!</v>
      </c>
      <c r="O565" s="129" t="e">
        <f t="shared" si="146"/>
        <v>#DIV/0!</v>
      </c>
      <c r="P565" s="114" t="e">
        <f t="shared" si="147"/>
        <v>#DIV/0!</v>
      </c>
      <c r="Q565" s="7" t="e">
        <f t="shared" si="148"/>
        <v>#DIV/0!</v>
      </c>
      <c r="R565" s="5" t="e">
        <f t="shared" si="149"/>
        <v>#DIV/0!</v>
      </c>
    </row>
    <row r="566" spans="1:18" s="4" customFormat="1" ht="15" hidden="1" customHeight="1">
      <c r="A566" s="64"/>
      <c r="B566" s="7">
        <f t="shared" ref="B566:B588" si="150">+B565+1</f>
        <v>131</v>
      </c>
      <c r="C566" s="7"/>
      <c r="D566" s="7"/>
      <c r="E566" s="7"/>
      <c r="F566" s="7"/>
      <c r="G566" s="7"/>
      <c r="H566" s="91"/>
      <c r="I566" s="115"/>
      <c r="J566" s="116"/>
      <c r="K566" s="116"/>
      <c r="L566" s="116"/>
      <c r="M566" s="129"/>
      <c r="N566" s="129" t="e">
        <f t="shared" si="145"/>
        <v>#DIV/0!</v>
      </c>
      <c r="O566" s="129" t="e">
        <f t="shared" si="146"/>
        <v>#DIV/0!</v>
      </c>
      <c r="P566" s="114" t="e">
        <f t="shared" si="147"/>
        <v>#DIV/0!</v>
      </c>
      <c r="Q566" s="7" t="e">
        <f t="shared" si="148"/>
        <v>#DIV/0!</v>
      </c>
      <c r="R566" s="5" t="e">
        <f t="shared" si="149"/>
        <v>#DIV/0!</v>
      </c>
    </row>
    <row r="567" spans="1:18" s="4" customFormat="1" ht="15" hidden="1" customHeight="1">
      <c r="A567" s="64"/>
      <c r="B567" s="7">
        <f t="shared" si="150"/>
        <v>132</v>
      </c>
      <c r="C567" s="7"/>
      <c r="D567" s="7"/>
      <c r="E567" s="7"/>
      <c r="F567" s="7"/>
      <c r="G567" s="7"/>
      <c r="H567" s="91"/>
      <c r="I567" s="115"/>
      <c r="J567" s="116"/>
      <c r="K567" s="116"/>
      <c r="L567" s="116"/>
      <c r="M567" s="129"/>
      <c r="N567" s="129" t="e">
        <f t="shared" si="145"/>
        <v>#DIV/0!</v>
      </c>
      <c r="O567" s="129" t="e">
        <f t="shared" si="146"/>
        <v>#DIV/0!</v>
      </c>
      <c r="P567" s="114" t="e">
        <f t="shared" si="147"/>
        <v>#DIV/0!</v>
      </c>
      <c r="Q567" s="7" t="e">
        <f t="shared" si="148"/>
        <v>#DIV/0!</v>
      </c>
      <c r="R567" s="5" t="e">
        <f t="shared" si="149"/>
        <v>#DIV/0!</v>
      </c>
    </row>
    <row r="568" spans="1:18" s="4" customFormat="1" ht="15" hidden="1" customHeight="1">
      <c r="A568" s="64"/>
      <c r="B568" s="7">
        <f t="shared" si="150"/>
        <v>133</v>
      </c>
      <c r="C568" s="7"/>
      <c r="D568" s="7"/>
      <c r="E568" s="7"/>
      <c r="F568" s="7"/>
      <c r="G568" s="7"/>
      <c r="H568" s="91"/>
      <c r="I568" s="115"/>
      <c r="J568" s="116"/>
      <c r="K568" s="116"/>
      <c r="L568" s="116"/>
      <c r="M568" s="129"/>
      <c r="N568" s="129" t="e">
        <f t="shared" si="145"/>
        <v>#DIV/0!</v>
      </c>
      <c r="O568" s="129" t="e">
        <f t="shared" si="146"/>
        <v>#DIV/0!</v>
      </c>
      <c r="P568" s="114" t="e">
        <f t="shared" si="147"/>
        <v>#DIV/0!</v>
      </c>
      <c r="Q568" s="7" t="e">
        <f t="shared" si="148"/>
        <v>#DIV/0!</v>
      </c>
      <c r="R568" s="5" t="e">
        <f t="shared" si="149"/>
        <v>#DIV/0!</v>
      </c>
    </row>
    <row r="569" spans="1:18" s="4" customFormat="1" ht="15" hidden="1" customHeight="1">
      <c r="A569" s="64"/>
      <c r="B569" s="7">
        <f t="shared" si="150"/>
        <v>134</v>
      </c>
      <c r="C569" s="7"/>
      <c r="D569" s="7"/>
      <c r="E569" s="7"/>
      <c r="F569" s="7"/>
      <c r="G569" s="7"/>
      <c r="H569" s="91"/>
      <c r="I569" s="115"/>
      <c r="J569" s="116"/>
      <c r="K569" s="116"/>
      <c r="L569" s="116"/>
      <c r="M569" s="129"/>
      <c r="N569" s="129" t="e">
        <f t="shared" si="145"/>
        <v>#DIV/0!</v>
      </c>
      <c r="O569" s="129" t="e">
        <f t="shared" si="146"/>
        <v>#DIV/0!</v>
      </c>
      <c r="P569" s="114" t="e">
        <f t="shared" si="147"/>
        <v>#DIV/0!</v>
      </c>
      <c r="Q569" s="7" t="e">
        <f t="shared" si="148"/>
        <v>#DIV/0!</v>
      </c>
      <c r="R569" s="5" t="e">
        <f t="shared" si="149"/>
        <v>#DIV/0!</v>
      </c>
    </row>
    <row r="570" spans="1:18" s="4" customFormat="1" ht="15" hidden="1" customHeight="1">
      <c r="A570" s="64"/>
      <c r="B570" s="7">
        <f t="shared" si="150"/>
        <v>135</v>
      </c>
      <c r="C570" s="7"/>
      <c r="D570" s="7"/>
      <c r="E570" s="7"/>
      <c r="F570" s="7"/>
      <c r="G570" s="7"/>
      <c r="H570" s="91"/>
      <c r="I570" s="115"/>
      <c r="J570" s="116"/>
      <c r="K570" s="116"/>
      <c r="L570" s="116"/>
      <c r="M570" s="129"/>
      <c r="N570" s="129" t="e">
        <f t="shared" si="145"/>
        <v>#DIV/0!</v>
      </c>
      <c r="O570" s="129" t="e">
        <f t="shared" si="146"/>
        <v>#DIV/0!</v>
      </c>
      <c r="P570" s="114" t="e">
        <f t="shared" si="147"/>
        <v>#DIV/0!</v>
      </c>
      <c r="Q570" s="7" t="e">
        <f t="shared" si="148"/>
        <v>#DIV/0!</v>
      </c>
      <c r="R570" s="5" t="e">
        <f t="shared" si="149"/>
        <v>#DIV/0!</v>
      </c>
    </row>
    <row r="571" spans="1:18" s="4" customFormat="1" ht="15" hidden="1" customHeight="1">
      <c r="A571" s="64"/>
      <c r="B571" s="7">
        <f t="shared" si="150"/>
        <v>136</v>
      </c>
      <c r="C571" s="7"/>
      <c r="D571" s="7"/>
      <c r="E571" s="7"/>
      <c r="F571" s="7"/>
      <c r="G571" s="7"/>
      <c r="H571" s="91"/>
      <c r="I571" s="115"/>
      <c r="J571" s="116"/>
      <c r="K571" s="116"/>
      <c r="L571" s="116"/>
      <c r="M571" s="129"/>
      <c r="N571" s="129" t="e">
        <f t="shared" si="145"/>
        <v>#DIV/0!</v>
      </c>
      <c r="O571" s="129" t="e">
        <f t="shared" si="146"/>
        <v>#DIV/0!</v>
      </c>
      <c r="P571" s="114" t="e">
        <f t="shared" si="147"/>
        <v>#DIV/0!</v>
      </c>
      <c r="Q571" s="7" t="e">
        <f t="shared" si="148"/>
        <v>#DIV/0!</v>
      </c>
      <c r="R571" s="5" t="e">
        <f t="shared" si="149"/>
        <v>#DIV/0!</v>
      </c>
    </row>
    <row r="572" spans="1:18" s="4" customFormat="1" ht="15" hidden="1" customHeight="1">
      <c r="A572" s="64"/>
      <c r="B572" s="7">
        <f t="shared" si="150"/>
        <v>137</v>
      </c>
      <c r="C572" s="7"/>
      <c r="D572" s="7"/>
      <c r="E572" s="7"/>
      <c r="F572" s="7"/>
      <c r="G572" s="7"/>
      <c r="H572" s="91"/>
      <c r="I572" s="115"/>
      <c r="J572" s="116"/>
      <c r="K572" s="116"/>
      <c r="L572" s="116"/>
      <c r="M572" s="129"/>
      <c r="N572" s="129" t="e">
        <f t="shared" si="145"/>
        <v>#DIV/0!</v>
      </c>
      <c r="O572" s="129" t="e">
        <f t="shared" si="146"/>
        <v>#DIV/0!</v>
      </c>
      <c r="P572" s="114" t="e">
        <f t="shared" si="147"/>
        <v>#DIV/0!</v>
      </c>
      <c r="Q572" s="7" t="e">
        <f t="shared" si="148"/>
        <v>#DIV/0!</v>
      </c>
      <c r="R572" s="5" t="e">
        <f t="shared" si="149"/>
        <v>#DIV/0!</v>
      </c>
    </row>
    <row r="573" spans="1:18" s="4" customFormat="1" ht="15" hidden="1" customHeight="1">
      <c r="A573" s="64"/>
      <c r="B573" s="7">
        <f t="shared" si="150"/>
        <v>138</v>
      </c>
      <c r="C573" s="7"/>
      <c r="D573" s="7"/>
      <c r="E573" s="7"/>
      <c r="F573" s="7"/>
      <c r="G573" s="7"/>
      <c r="H573" s="91"/>
      <c r="I573" s="115"/>
      <c r="J573" s="116"/>
      <c r="K573" s="116"/>
      <c r="L573" s="116"/>
      <c r="M573" s="129"/>
      <c r="N573" s="129" t="e">
        <f t="shared" si="145"/>
        <v>#DIV/0!</v>
      </c>
      <c r="O573" s="129" t="e">
        <f t="shared" si="146"/>
        <v>#DIV/0!</v>
      </c>
      <c r="P573" s="114" t="e">
        <f t="shared" si="147"/>
        <v>#DIV/0!</v>
      </c>
      <c r="Q573" s="7" t="e">
        <f t="shared" si="148"/>
        <v>#DIV/0!</v>
      </c>
      <c r="R573" s="5" t="e">
        <f t="shared" si="149"/>
        <v>#DIV/0!</v>
      </c>
    </row>
    <row r="574" spans="1:18" s="4" customFormat="1" ht="15" hidden="1" customHeight="1">
      <c r="A574" s="64"/>
      <c r="B574" s="7">
        <f t="shared" si="150"/>
        <v>139</v>
      </c>
      <c r="C574" s="7"/>
      <c r="D574" s="7"/>
      <c r="E574" s="7"/>
      <c r="F574" s="7"/>
      <c r="G574" s="7"/>
      <c r="H574" s="91"/>
      <c r="I574" s="115"/>
      <c r="J574" s="116"/>
      <c r="K574" s="116"/>
      <c r="L574" s="116"/>
      <c r="M574" s="129"/>
      <c r="N574" s="129" t="e">
        <f t="shared" si="145"/>
        <v>#DIV/0!</v>
      </c>
      <c r="O574" s="129" t="e">
        <f t="shared" si="146"/>
        <v>#DIV/0!</v>
      </c>
      <c r="P574" s="114" t="e">
        <f t="shared" si="147"/>
        <v>#DIV/0!</v>
      </c>
      <c r="Q574" s="7" t="e">
        <f t="shared" si="148"/>
        <v>#DIV/0!</v>
      </c>
      <c r="R574" s="5" t="e">
        <f t="shared" si="149"/>
        <v>#DIV/0!</v>
      </c>
    </row>
    <row r="575" spans="1:18" s="4" customFormat="1" ht="15" hidden="1" customHeight="1">
      <c r="A575" s="64"/>
      <c r="B575" s="7">
        <f t="shared" si="150"/>
        <v>140</v>
      </c>
      <c r="C575" s="7"/>
      <c r="D575" s="7"/>
      <c r="E575" s="7"/>
      <c r="F575" s="7"/>
      <c r="G575" s="7"/>
      <c r="H575" s="91"/>
      <c r="I575" s="115"/>
      <c r="J575" s="116"/>
      <c r="K575" s="116"/>
      <c r="L575" s="116"/>
      <c r="M575" s="129"/>
      <c r="N575" s="129" t="e">
        <f t="shared" si="145"/>
        <v>#DIV/0!</v>
      </c>
      <c r="O575" s="129" t="e">
        <f t="shared" si="146"/>
        <v>#DIV/0!</v>
      </c>
      <c r="P575" s="114" t="e">
        <f t="shared" si="147"/>
        <v>#DIV/0!</v>
      </c>
      <c r="Q575" s="7" t="e">
        <f t="shared" si="148"/>
        <v>#DIV/0!</v>
      </c>
      <c r="R575" s="5" t="e">
        <f t="shared" si="149"/>
        <v>#DIV/0!</v>
      </c>
    </row>
    <row r="576" spans="1:18" s="4" customFormat="1" ht="15" hidden="1" customHeight="1">
      <c r="A576" s="64"/>
      <c r="B576" s="7">
        <f t="shared" si="150"/>
        <v>141</v>
      </c>
      <c r="C576" s="7"/>
      <c r="D576" s="7"/>
      <c r="E576" s="7"/>
      <c r="F576" s="7"/>
      <c r="G576" s="7"/>
      <c r="H576" s="91"/>
      <c r="I576" s="115"/>
      <c r="J576" s="116"/>
      <c r="K576" s="116"/>
      <c r="L576" s="116"/>
      <c r="M576" s="129"/>
      <c r="N576" s="129" t="e">
        <f t="shared" si="145"/>
        <v>#DIV/0!</v>
      </c>
      <c r="O576" s="129" t="e">
        <f t="shared" si="146"/>
        <v>#DIV/0!</v>
      </c>
      <c r="P576" s="114" t="e">
        <f t="shared" si="147"/>
        <v>#DIV/0!</v>
      </c>
      <c r="Q576" s="7" t="e">
        <f t="shared" si="148"/>
        <v>#DIV/0!</v>
      </c>
      <c r="R576" s="5" t="e">
        <f t="shared" si="149"/>
        <v>#DIV/0!</v>
      </c>
    </row>
    <row r="577" spans="1:18" s="4" customFormat="1" ht="15" hidden="1" customHeight="1">
      <c r="A577" s="64"/>
      <c r="B577" s="7">
        <f t="shared" si="150"/>
        <v>142</v>
      </c>
      <c r="C577" s="7"/>
      <c r="D577" s="7"/>
      <c r="E577" s="7"/>
      <c r="F577" s="7"/>
      <c r="G577" s="7"/>
      <c r="H577" s="91"/>
      <c r="I577" s="115"/>
      <c r="J577" s="116"/>
      <c r="K577" s="116"/>
      <c r="L577" s="116"/>
      <c r="M577" s="129"/>
      <c r="N577" s="129" t="e">
        <f t="shared" si="145"/>
        <v>#DIV/0!</v>
      </c>
      <c r="O577" s="129" t="e">
        <f t="shared" si="146"/>
        <v>#DIV/0!</v>
      </c>
      <c r="P577" s="114" t="e">
        <f t="shared" si="147"/>
        <v>#DIV/0!</v>
      </c>
      <c r="Q577" s="7" t="e">
        <f t="shared" si="148"/>
        <v>#DIV/0!</v>
      </c>
      <c r="R577" s="5" t="e">
        <f t="shared" si="149"/>
        <v>#DIV/0!</v>
      </c>
    </row>
    <row r="578" spans="1:18" s="4" customFormat="1" ht="15" hidden="1" customHeight="1">
      <c r="A578" s="64"/>
      <c r="B578" s="7">
        <f t="shared" si="150"/>
        <v>143</v>
      </c>
      <c r="C578" s="7"/>
      <c r="D578" s="7"/>
      <c r="E578" s="7"/>
      <c r="F578" s="7"/>
      <c r="G578" s="7"/>
      <c r="H578" s="91"/>
      <c r="I578" s="115"/>
      <c r="J578" s="116"/>
      <c r="K578" s="116"/>
      <c r="L578" s="116"/>
      <c r="M578" s="129"/>
      <c r="N578" s="129" t="e">
        <f t="shared" si="145"/>
        <v>#DIV/0!</v>
      </c>
      <c r="O578" s="129" t="e">
        <f t="shared" si="146"/>
        <v>#DIV/0!</v>
      </c>
      <c r="P578" s="114" t="e">
        <f t="shared" si="147"/>
        <v>#DIV/0!</v>
      </c>
      <c r="Q578" s="7" t="e">
        <f t="shared" si="148"/>
        <v>#DIV/0!</v>
      </c>
      <c r="R578" s="5" t="e">
        <f t="shared" si="149"/>
        <v>#DIV/0!</v>
      </c>
    </row>
    <row r="579" spans="1:18" s="4" customFormat="1" ht="15" hidden="1" customHeight="1">
      <c r="A579" s="64"/>
      <c r="B579" s="7">
        <f t="shared" si="150"/>
        <v>144</v>
      </c>
      <c r="C579" s="7"/>
      <c r="D579" s="7"/>
      <c r="E579" s="7"/>
      <c r="F579" s="7"/>
      <c r="G579" s="7"/>
      <c r="H579" s="91"/>
      <c r="I579" s="115"/>
      <c r="J579" s="116"/>
      <c r="K579" s="116"/>
      <c r="L579" s="116"/>
      <c r="M579" s="129"/>
      <c r="N579" s="129" t="e">
        <f t="shared" si="145"/>
        <v>#DIV/0!</v>
      </c>
      <c r="O579" s="129" t="e">
        <f t="shared" si="146"/>
        <v>#DIV/0!</v>
      </c>
      <c r="P579" s="114" t="e">
        <f t="shared" si="147"/>
        <v>#DIV/0!</v>
      </c>
      <c r="Q579" s="7" t="e">
        <f t="shared" si="148"/>
        <v>#DIV/0!</v>
      </c>
      <c r="R579" s="5" t="e">
        <f t="shared" si="149"/>
        <v>#DIV/0!</v>
      </c>
    </row>
    <row r="580" spans="1:18" s="4" customFormat="1" ht="15" hidden="1" customHeight="1">
      <c r="A580" s="64"/>
      <c r="B580" s="7">
        <f t="shared" si="150"/>
        <v>145</v>
      </c>
      <c r="C580" s="7"/>
      <c r="D580" s="7"/>
      <c r="E580" s="7"/>
      <c r="F580" s="7"/>
      <c r="G580" s="7"/>
      <c r="H580" s="91"/>
      <c r="I580" s="115"/>
      <c r="J580" s="116"/>
      <c r="K580" s="116"/>
      <c r="L580" s="116"/>
      <c r="M580" s="129"/>
      <c r="N580" s="129" t="e">
        <f t="shared" si="145"/>
        <v>#DIV/0!</v>
      </c>
      <c r="O580" s="129" t="e">
        <f t="shared" si="146"/>
        <v>#DIV/0!</v>
      </c>
      <c r="P580" s="114" t="e">
        <f t="shared" si="147"/>
        <v>#DIV/0!</v>
      </c>
      <c r="Q580" s="7" t="e">
        <f t="shared" si="148"/>
        <v>#DIV/0!</v>
      </c>
      <c r="R580" s="5" t="e">
        <f t="shared" si="149"/>
        <v>#DIV/0!</v>
      </c>
    </row>
    <row r="581" spans="1:18" s="4" customFormat="1" ht="15" hidden="1" customHeight="1">
      <c r="A581" s="64"/>
      <c r="B581" s="7">
        <f t="shared" si="150"/>
        <v>146</v>
      </c>
      <c r="C581" s="7"/>
      <c r="D581" s="7"/>
      <c r="E581" s="7"/>
      <c r="F581" s="7"/>
      <c r="G581" s="7"/>
      <c r="H581" s="91"/>
      <c r="I581" s="115"/>
      <c r="J581" s="116"/>
      <c r="K581" s="116"/>
      <c r="L581" s="116"/>
      <c r="M581" s="129"/>
      <c r="N581" s="129" t="e">
        <f t="shared" si="145"/>
        <v>#DIV/0!</v>
      </c>
      <c r="O581" s="129" t="e">
        <f t="shared" si="146"/>
        <v>#DIV/0!</v>
      </c>
      <c r="P581" s="114" t="e">
        <f t="shared" si="147"/>
        <v>#DIV/0!</v>
      </c>
      <c r="Q581" s="7" t="e">
        <f t="shared" si="148"/>
        <v>#DIV/0!</v>
      </c>
      <c r="R581" s="5" t="e">
        <f t="shared" si="149"/>
        <v>#DIV/0!</v>
      </c>
    </row>
    <row r="582" spans="1:18" s="4" customFormat="1" ht="15" hidden="1" customHeight="1">
      <c r="A582" s="64"/>
      <c r="B582" s="7">
        <f t="shared" si="150"/>
        <v>147</v>
      </c>
      <c r="C582" s="7"/>
      <c r="D582" s="7"/>
      <c r="E582" s="7"/>
      <c r="F582" s="7"/>
      <c r="G582" s="7"/>
      <c r="H582" s="91"/>
      <c r="I582" s="115"/>
      <c r="J582" s="116"/>
      <c r="K582" s="116"/>
      <c r="L582" s="116"/>
      <c r="M582" s="129"/>
      <c r="N582" s="129" t="e">
        <f t="shared" si="145"/>
        <v>#DIV/0!</v>
      </c>
      <c r="O582" s="129" t="e">
        <f t="shared" si="146"/>
        <v>#DIV/0!</v>
      </c>
      <c r="P582" s="114" t="e">
        <f t="shared" si="147"/>
        <v>#DIV/0!</v>
      </c>
      <c r="Q582" s="7" t="e">
        <f t="shared" si="148"/>
        <v>#DIV/0!</v>
      </c>
      <c r="R582" s="5" t="e">
        <f t="shared" si="149"/>
        <v>#DIV/0!</v>
      </c>
    </row>
    <row r="583" spans="1:18" s="4" customFormat="1" ht="15" hidden="1" customHeight="1">
      <c r="A583" s="64"/>
      <c r="B583" s="7">
        <f t="shared" si="150"/>
        <v>148</v>
      </c>
      <c r="C583" s="7"/>
      <c r="D583" s="7"/>
      <c r="E583" s="7"/>
      <c r="F583" s="7"/>
      <c r="G583" s="7"/>
      <c r="H583" s="91"/>
      <c r="I583" s="115"/>
      <c r="J583" s="116"/>
      <c r="K583" s="116"/>
      <c r="L583" s="116"/>
      <c r="M583" s="129"/>
      <c r="N583" s="129" t="e">
        <f t="shared" si="145"/>
        <v>#DIV/0!</v>
      </c>
      <c r="O583" s="129" t="e">
        <f t="shared" si="146"/>
        <v>#DIV/0!</v>
      </c>
      <c r="P583" s="114" t="e">
        <f t="shared" si="147"/>
        <v>#DIV/0!</v>
      </c>
      <c r="Q583" s="7" t="e">
        <f t="shared" si="148"/>
        <v>#DIV/0!</v>
      </c>
      <c r="R583" s="5" t="e">
        <f t="shared" si="149"/>
        <v>#DIV/0!</v>
      </c>
    </row>
    <row r="584" spans="1:18" s="4" customFormat="1" ht="15" hidden="1" customHeight="1">
      <c r="A584" s="64"/>
      <c r="B584" s="7">
        <f t="shared" si="150"/>
        <v>149</v>
      </c>
      <c r="C584" s="7"/>
      <c r="D584" s="7"/>
      <c r="E584" s="7"/>
      <c r="F584" s="7"/>
      <c r="G584" s="7"/>
      <c r="H584" s="91"/>
      <c r="I584" s="115"/>
      <c r="J584" s="116"/>
      <c r="K584" s="116"/>
      <c r="L584" s="116"/>
      <c r="M584" s="129"/>
      <c r="N584" s="129" t="e">
        <f t="shared" si="145"/>
        <v>#DIV/0!</v>
      </c>
      <c r="O584" s="129" t="e">
        <f t="shared" si="146"/>
        <v>#DIV/0!</v>
      </c>
      <c r="P584" s="114" t="e">
        <f t="shared" si="147"/>
        <v>#DIV/0!</v>
      </c>
      <c r="Q584" s="7" t="e">
        <f t="shared" si="148"/>
        <v>#DIV/0!</v>
      </c>
      <c r="R584" s="5" t="e">
        <f t="shared" si="149"/>
        <v>#DIV/0!</v>
      </c>
    </row>
    <row r="585" spans="1:18" s="4" customFormat="1" ht="15" hidden="1" customHeight="1">
      <c r="A585" s="64"/>
      <c r="B585" s="7">
        <f t="shared" si="150"/>
        <v>150</v>
      </c>
      <c r="C585" s="7"/>
      <c r="D585" s="7"/>
      <c r="E585" s="7"/>
      <c r="F585" s="7"/>
      <c r="G585" s="7"/>
      <c r="H585" s="91"/>
      <c r="I585" s="115"/>
      <c r="J585" s="116"/>
      <c r="K585" s="116"/>
      <c r="L585" s="116"/>
      <c r="M585" s="129"/>
      <c r="N585" s="129" t="e">
        <f t="shared" si="145"/>
        <v>#DIV/0!</v>
      </c>
      <c r="O585" s="129" t="e">
        <f t="shared" si="146"/>
        <v>#DIV/0!</v>
      </c>
      <c r="P585" s="114" t="e">
        <f t="shared" si="147"/>
        <v>#DIV/0!</v>
      </c>
      <c r="Q585" s="7" t="e">
        <f t="shared" si="148"/>
        <v>#DIV/0!</v>
      </c>
      <c r="R585" s="5" t="e">
        <f t="shared" si="149"/>
        <v>#DIV/0!</v>
      </c>
    </row>
    <row r="586" spans="1:18" s="4" customFormat="1" ht="15" hidden="1" customHeight="1">
      <c r="A586" s="64"/>
      <c r="B586" s="7">
        <f t="shared" si="150"/>
        <v>151</v>
      </c>
      <c r="C586" s="7"/>
      <c r="D586" s="7"/>
      <c r="E586" s="7"/>
      <c r="F586" s="7"/>
      <c r="G586" s="7"/>
      <c r="H586" s="91"/>
      <c r="I586" s="115"/>
      <c r="J586" s="116"/>
      <c r="K586" s="116"/>
      <c r="L586" s="116"/>
      <c r="M586" s="129"/>
      <c r="N586" s="129" t="e">
        <f t="shared" si="145"/>
        <v>#DIV/0!</v>
      </c>
      <c r="O586" s="129" t="e">
        <f t="shared" si="146"/>
        <v>#DIV/0!</v>
      </c>
      <c r="P586" s="114" t="e">
        <f t="shared" si="147"/>
        <v>#DIV/0!</v>
      </c>
      <c r="Q586" s="7" t="e">
        <f t="shared" si="148"/>
        <v>#DIV/0!</v>
      </c>
      <c r="R586" s="5" t="e">
        <f t="shared" si="149"/>
        <v>#DIV/0!</v>
      </c>
    </row>
    <row r="587" spans="1:18" s="4" customFormat="1" ht="15" hidden="1" customHeight="1">
      <c r="A587" s="64"/>
      <c r="B587" s="7">
        <f t="shared" si="150"/>
        <v>152</v>
      </c>
      <c r="C587" s="7"/>
      <c r="D587" s="7"/>
      <c r="E587" s="7"/>
      <c r="F587" s="7"/>
      <c r="G587" s="7"/>
      <c r="H587" s="91"/>
      <c r="I587" s="115"/>
      <c r="J587" s="116"/>
      <c r="K587" s="116"/>
      <c r="L587" s="116"/>
      <c r="M587" s="129"/>
      <c r="N587" s="129" t="e">
        <f t="shared" si="145"/>
        <v>#DIV/0!</v>
      </c>
      <c r="O587" s="129" t="e">
        <f t="shared" si="146"/>
        <v>#DIV/0!</v>
      </c>
      <c r="P587" s="114" t="e">
        <f t="shared" si="147"/>
        <v>#DIV/0!</v>
      </c>
      <c r="Q587" s="7" t="e">
        <f t="shared" si="148"/>
        <v>#DIV/0!</v>
      </c>
      <c r="R587" s="5" t="e">
        <f t="shared" si="149"/>
        <v>#DIV/0!</v>
      </c>
    </row>
    <row r="588" spans="1:18" s="4" customFormat="1" ht="15" hidden="1" customHeight="1">
      <c r="A588" s="64"/>
      <c r="B588" s="7">
        <f t="shared" si="150"/>
        <v>153</v>
      </c>
      <c r="C588" s="7"/>
      <c r="D588" s="7"/>
      <c r="E588" s="7"/>
      <c r="F588" s="7"/>
      <c r="G588" s="7"/>
      <c r="H588" s="91"/>
      <c r="I588" s="115"/>
      <c r="J588" s="116"/>
      <c r="K588" s="116"/>
      <c r="L588" s="116"/>
      <c r="M588" s="129"/>
      <c r="N588" s="129" t="e">
        <f t="shared" si="145"/>
        <v>#DIV/0!</v>
      </c>
      <c r="O588" s="129" t="e">
        <f t="shared" si="146"/>
        <v>#DIV/0!</v>
      </c>
      <c r="P588" s="114" t="e">
        <f t="shared" si="147"/>
        <v>#DIV/0!</v>
      </c>
      <c r="Q588" s="7" t="e">
        <f t="shared" si="148"/>
        <v>#DIV/0!</v>
      </c>
      <c r="R588" s="5" t="e">
        <f t="shared" si="149"/>
        <v>#DIV/0!</v>
      </c>
    </row>
    <row r="589" spans="1:18" s="4" customFormat="1" ht="15" customHeight="1">
      <c r="A589" s="64"/>
      <c r="B589" s="336" t="s">
        <v>22</v>
      </c>
      <c r="C589" s="337"/>
      <c r="D589" s="337"/>
      <c r="E589" s="338"/>
      <c r="F589" s="8">
        <f>+COUNTA(C436:C588)</f>
        <v>27</v>
      </c>
      <c r="G589" s="9"/>
      <c r="H589" s="7"/>
      <c r="I589" s="91"/>
      <c r="J589" s="91"/>
      <c r="K589" s="92"/>
      <c r="L589" s="92"/>
      <c r="M589" s="92"/>
      <c r="N589" s="129"/>
      <c r="O589" s="129"/>
      <c r="P589" s="129"/>
      <c r="Q589" s="114"/>
      <c r="R589" s="5" t="b">
        <f t="shared" si="149"/>
        <v>0</v>
      </c>
    </row>
    <row r="590" spans="1:18" s="4" customFormat="1" ht="15" customHeight="1">
      <c r="A590" s="64"/>
      <c r="B590" s="327" t="s">
        <v>340</v>
      </c>
      <c r="C590" s="328"/>
      <c r="D590" s="328"/>
      <c r="E590" s="328"/>
      <c r="F590" s="328"/>
      <c r="G590" s="328"/>
      <c r="H590" s="328"/>
      <c r="I590" s="328"/>
      <c r="J590" s="328"/>
      <c r="K590" s="328"/>
      <c r="L590" s="328"/>
      <c r="M590" s="328"/>
      <c r="N590" s="328"/>
      <c r="O590" s="328"/>
      <c r="P590" s="328"/>
      <c r="Q590" s="329"/>
      <c r="R590" s="5" t="b">
        <f t="shared" si="149"/>
        <v>0</v>
      </c>
    </row>
    <row r="591" spans="1:18" s="4" customFormat="1" ht="15" customHeight="1">
      <c r="A591" s="64"/>
      <c r="B591" s="7">
        <v>1</v>
      </c>
      <c r="C591" s="211" t="s">
        <v>10</v>
      </c>
      <c r="D591" s="211" t="s">
        <v>2268</v>
      </c>
      <c r="E591" s="211" t="s">
        <v>15</v>
      </c>
      <c r="F591" s="211" t="s">
        <v>30</v>
      </c>
      <c r="G591" s="211">
        <v>2011</v>
      </c>
      <c r="H591" s="211" t="s">
        <v>25</v>
      </c>
      <c r="I591" s="256" t="s">
        <v>26</v>
      </c>
      <c r="J591" s="240">
        <v>40041.199999999997</v>
      </c>
      <c r="K591" s="239">
        <v>316.13</v>
      </c>
      <c r="L591" s="239">
        <v>29.32</v>
      </c>
      <c r="M591" s="239">
        <v>374.54999999999995</v>
      </c>
      <c r="N591" s="129">
        <f t="shared" ref="N591:N617" si="151">+K591/(K591+L591)</f>
        <v>0.91512519901577649</v>
      </c>
      <c r="O591" s="129">
        <f t="shared" ref="O591:O617" si="152">+(K591+M591)/(K591+L591+M591)</f>
        <v>0.95927777777777767</v>
      </c>
      <c r="P591" s="129">
        <f t="shared" ref="P591:P617" si="153">+K591/(K591+M591)</f>
        <v>0.4577083453987375</v>
      </c>
      <c r="Q591" s="114">
        <f t="shared" ref="Q591:Q617" si="154">+J591/K591</f>
        <v>126.66055103912946</v>
      </c>
      <c r="R591" s="5" t="str">
        <f t="shared" si="149"/>
        <v>PAMA</v>
      </c>
    </row>
    <row r="592" spans="1:18" s="4" customFormat="1" ht="15" customHeight="1">
      <c r="A592" s="64"/>
      <c r="B592" s="7">
        <f>+B591+1</f>
        <v>2</v>
      </c>
      <c r="C592" s="211" t="s">
        <v>10</v>
      </c>
      <c r="D592" s="211" t="s">
        <v>2269</v>
      </c>
      <c r="E592" s="211" t="s">
        <v>15</v>
      </c>
      <c r="F592" s="211" t="s">
        <v>30</v>
      </c>
      <c r="G592" s="211">
        <v>2011</v>
      </c>
      <c r="H592" s="211" t="s">
        <v>25</v>
      </c>
      <c r="I592" s="256" t="s">
        <v>26</v>
      </c>
      <c r="J592" s="240">
        <v>32722.25</v>
      </c>
      <c r="K592" s="239">
        <v>307.25</v>
      </c>
      <c r="L592" s="239">
        <v>16.940000000000001</v>
      </c>
      <c r="M592" s="239">
        <v>395.80999999999995</v>
      </c>
      <c r="N592" s="129">
        <f t="shared" si="151"/>
        <v>0.94774669175483517</v>
      </c>
      <c r="O592" s="129">
        <f t="shared" si="152"/>
        <v>0.97647222222222219</v>
      </c>
      <c r="P592" s="129">
        <f t="shared" si="153"/>
        <v>0.43701817768042561</v>
      </c>
      <c r="Q592" s="114">
        <f t="shared" si="154"/>
        <v>106.50040683482506</v>
      </c>
      <c r="R592" s="5" t="str">
        <f t="shared" si="149"/>
        <v>PAMA</v>
      </c>
    </row>
    <row r="593" spans="1:18" s="4" customFormat="1" ht="15" customHeight="1">
      <c r="A593" s="64"/>
      <c r="B593" s="7">
        <f t="shared" ref="B593:B656" si="155">+B592+1</f>
        <v>3</v>
      </c>
      <c r="C593" s="211" t="s">
        <v>10</v>
      </c>
      <c r="D593" s="211" t="s">
        <v>2270</v>
      </c>
      <c r="E593" s="211" t="s">
        <v>15</v>
      </c>
      <c r="F593" s="211" t="s">
        <v>30</v>
      </c>
      <c r="G593" s="211">
        <v>2011</v>
      </c>
      <c r="H593" s="211" t="s">
        <v>25</v>
      </c>
      <c r="I593" s="256" t="s">
        <v>26</v>
      </c>
      <c r="J593" s="240">
        <v>24741.13</v>
      </c>
      <c r="K593" s="239">
        <v>271.38</v>
      </c>
      <c r="L593" s="239">
        <v>67.2</v>
      </c>
      <c r="M593" s="239">
        <v>381.41999999999996</v>
      </c>
      <c r="N593" s="129">
        <f t="shared" si="151"/>
        <v>0.80152401205032786</v>
      </c>
      <c r="O593" s="129">
        <f t="shared" si="152"/>
        <v>0.90666666666666662</v>
      </c>
      <c r="P593" s="129">
        <f t="shared" si="153"/>
        <v>0.41571691176470593</v>
      </c>
      <c r="Q593" s="114">
        <f t="shared" si="154"/>
        <v>91.167845825042377</v>
      </c>
      <c r="R593" s="5" t="str">
        <f t="shared" si="149"/>
        <v>PAMA</v>
      </c>
    </row>
    <row r="594" spans="1:18" s="4" customFormat="1" ht="15" customHeight="1">
      <c r="A594" s="64"/>
      <c r="B594" s="7">
        <f t="shared" si="155"/>
        <v>4</v>
      </c>
      <c r="C594" s="211" t="s">
        <v>10</v>
      </c>
      <c r="D594" s="211" t="s">
        <v>2271</v>
      </c>
      <c r="E594" s="211" t="s">
        <v>15</v>
      </c>
      <c r="F594" s="211" t="s">
        <v>30</v>
      </c>
      <c r="G594" s="211">
        <v>2011</v>
      </c>
      <c r="H594" s="211" t="s">
        <v>25</v>
      </c>
      <c r="I594" s="256" t="s">
        <v>26</v>
      </c>
      <c r="J594" s="240">
        <v>16115.05</v>
      </c>
      <c r="K594" s="239">
        <v>208.68</v>
      </c>
      <c r="L594" s="239">
        <v>9.8699999999999992</v>
      </c>
      <c r="M594" s="239">
        <v>501.45</v>
      </c>
      <c r="N594" s="129">
        <f t="shared" si="151"/>
        <v>0.95483870967741935</v>
      </c>
      <c r="O594" s="129">
        <f t="shared" si="152"/>
        <v>0.98629166666666668</v>
      </c>
      <c r="P594" s="129">
        <f t="shared" si="153"/>
        <v>0.29386168729669215</v>
      </c>
      <c r="Q594" s="114">
        <f t="shared" si="154"/>
        <v>77.223739697143941</v>
      </c>
      <c r="R594" s="5" t="str">
        <f t="shared" si="149"/>
        <v>PAMA</v>
      </c>
    </row>
    <row r="595" spans="1:18" s="4" customFormat="1" ht="15" customHeight="1">
      <c r="A595" s="64"/>
      <c r="B595" s="7">
        <f t="shared" si="155"/>
        <v>5</v>
      </c>
      <c r="C595" s="211" t="s">
        <v>10</v>
      </c>
      <c r="D595" s="211" t="s">
        <v>2272</v>
      </c>
      <c r="E595" s="211" t="s">
        <v>15</v>
      </c>
      <c r="F595" s="211" t="s">
        <v>30</v>
      </c>
      <c r="G595" s="211">
        <v>2011</v>
      </c>
      <c r="H595" s="211" t="s">
        <v>25</v>
      </c>
      <c r="I595" s="256" t="s">
        <v>26</v>
      </c>
      <c r="J595" s="240">
        <v>29930</v>
      </c>
      <c r="K595" s="239">
        <v>226.01</v>
      </c>
      <c r="L595" s="239">
        <v>16.98</v>
      </c>
      <c r="M595" s="239">
        <v>477.01</v>
      </c>
      <c r="N595" s="129">
        <f t="shared" si="151"/>
        <v>0.93012058109387219</v>
      </c>
      <c r="O595" s="129">
        <f t="shared" si="152"/>
        <v>0.9764166666666666</v>
      </c>
      <c r="P595" s="129">
        <f t="shared" si="153"/>
        <v>0.3214844527893943</v>
      </c>
      <c r="Q595" s="114">
        <f t="shared" si="154"/>
        <v>132.42776868280166</v>
      </c>
      <c r="R595" s="5" t="str">
        <f t="shared" si="149"/>
        <v>PAMA</v>
      </c>
    </row>
    <row r="596" spans="1:18" s="4" customFormat="1" ht="15" customHeight="1">
      <c r="A596" s="64"/>
      <c r="B596" s="7">
        <f t="shared" si="155"/>
        <v>6</v>
      </c>
      <c r="C596" s="211" t="s">
        <v>10</v>
      </c>
      <c r="D596" s="211" t="s">
        <v>2273</v>
      </c>
      <c r="E596" s="211" t="s">
        <v>15</v>
      </c>
      <c r="F596" s="211" t="s">
        <v>30</v>
      </c>
      <c r="G596" s="211">
        <v>2009</v>
      </c>
      <c r="H596" s="211" t="s">
        <v>25</v>
      </c>
      <c r="I596" s="256" t="s">
        <v>26</v>
      </c>
      <c r="J596" s="240">
        <v>19688.48</v>
      </c>
      <c r="K596" s="239">
        <v>275.56</v>
      </c>
      <c r="L596" s="239">
        <v>7.98</v>
      </c>
      <c r="M596" s="239">
        <v>436.46</v>
      </c>
      <c r="N596" s="129">
        <f t="shared" si="151"/>
        <v>0.97185582281159621</v>
      </c>
      <c r="O596" s="129">
        <f t="shared" si="152"/>
        <v>0.98891666666666667</v>
      </c>
      <c r="P596" s="129">
        <f t="shared" si="153"/>
        <v>0.38701160079773039</v>
      </c>
      <c r="Q596" s="114">
        <f t="shared" si="154"/>
        <v>71.448976629409202</v>
      </c>
      <c r="R596" s="5" t="str">
        <f t="shared" ref="R596:R744" si="156">IF(O596&gt;89.9999999999999%,"PAMA")</f>
        <v>PAMA</v>
      </c>
    </row>
    <row r="597" spans="1:18" s="4" customFormat="1" ht="15" customHeight="1">
      <c r="A597" s="64"/>
      <c r="B597" s="7">
        <f t="shared" si="155"/>
        <v>7</v>
      </c>
      <c r="C597" s="211" t="s">
        <v>10</v>
      </c>
      <c r="D597" s="211" t="s">
        <v>2274</v>
      </c>
      <c r="E597" s="211" t="s">
        <v>15</v>
      </c>
      <c r="F597" s="211" t="s">
        <v>30</v>
      </c>
      <c r="G597" s="211">
        <v>2009</v>
      </c>
      <c r="H597" s="211" t="s">
        <v>25</v>
      </c>
      <c r="I597" s="256" t="s">
        <v>26</v>
      </c>
      <c r="J597" s="240">
        <v>24505.26</v>
      </c>
      <c r="K597" s="239">
        <v>258.54000000000002</v>
      </c>
      <c r="L597" s="239">
        <v>14.71</v>
      </c>
      <c r="M597" s="239">
        <v>446.74999999999994</v>
      </c>
      <c r="N597" s="129">
        <f t="shared" si="151"/>
        <v>0.94616651418115283</v>
      </c>
      <c r="O597" s="129">
        <f t="shared" si="152"/>
        <v>0.97956944444444438</v>
      </c>
      <c r="P597" s="129">
        <f t="shared" si="153"/>
        <v>0.36657261551985715</v>
      </c>
      <c r="Q597" s="114">
        <f t="shared" si="154"/>
        <v>94.783244372244127</v>
      </c>
      <c r="R597" s="5" t="str">
        <f t="shared" si="156"/>
        <v>PAMA</v>
      </c>
    </row>
    <row r="598" spans="1:18" s="4" customFormat="1" ht="15" customHeight="1">
      <c r="A598" s="64"/>
      <c r="B598" s="7">
        <f t="shared" si="155"/>
        <v>8</v>
      </c>
      <c r="C598" s="211" t="s">
        <v>10</v>
      </c>
      <c r="D598" s="211" t="s">
        <v>2275</v>
      </c>
      <c r="E598" s="211" t="s">
        <v>15</v>
      </c>
      <c r="F598" s="211" t="s">
        <v>30</v>
      </c>
      <c r="G598" s="211">
        <v>2009</v>
      </c>
      <c r="H598" s="211" t="s">
        <v>25</v>
      </c>
      <c r="I598" s="256" t="s">
        <v>26</v>
      </c>
      <c r="J598" s="240">
        <v>33211.06</v>
      </c>
      <c r="K598" s="239">
        <v>303.64</v>
      </c>
      <c r="L598" s="239">
        <v>24.47</v>
      </c>
      <c r="M598" s="239">
        <v>391.89</v>
      </c>
      <c r="N598" s="129">
        <f t="shared" si="151"/>
        <v>0.92542135259516622</v>
      </c>
      <c r="O598" s="129">
        <f t="shared" si="152"/>
        <v>0.96601388888888884</v>
      </c>
      <c r="P598" s="129">
        <f t="shared" si="153"/>
        <v>0.43655917070435496</v>
      </c>
      <c r="Q598" s="114">
        <f t="shared" si="154"/>
        <v>109.37643261757344</v>
      </c>
      <c r="R598" s="5" t="str">
        <f t="shared" si="156"/>
        <v>PAMA</v>
      </c>
    </row>
    <row r="599" spans="1:18" s="4" customFormat="1" ht="15" customHeight="1">
      <c r="A599" s="64"/>
      <c r="B599" s="7">
        <f t="shared" si="155"/>
        <v>9</v>
      </c>
      <c r="C599" s="211" t="s">
        <v>10</v>
      </c>
      <c r="D599" s="211" t="s">
        <v>2276</v>
      </c>
      <c r="E599" s="211" t="s">
        <v>15</v>
      </c>
      <c r="F599" s="211" t="s">
        <v>30</v>
      </c>
      <c r="G599" s="211">
        <v>2009</v>
      </c>
      <c r="H599" s="211" t="s">
        <v>25</v>
      </c>
      <c r="I599" s="256" t="s">
        <v>26</v>
      </c>
      <c r="J599" s="240">
        <v>29077.26</v>
      </c>
      <c r="K599" s="239">
        <v>308.74</v>
      </c>
      <c r="L599" s="239">
        <v>12.55</v>
      </c>
      <c r="M599" s="239">
        <v>398.71000000000004</v>
      </c>
      <c r="N599" s="129">
        <f t="shared" si="151"/>
        <v>0.96093871580192347</v>
      </c>
      <c r="O599" s="129">
        <f t="shared" si="152"/>
        <v>0.9825694444444445</v>
      </c>
      <c r="P599" s="129">
        <f t="shared" si="153"/>
        <v>0.43641246731217753</v>
      </c>
      <c r="Q599" s="114">
        <f t="shared" si="154"/>
        <v>94.180410701561172</v>
      </c>
      <c r="R599" s="5" t="str">
        <f t="shared" si="156"/>
        <v>PAMA</v>
      </c>
    </row>
    <row r="600" spans="1:18" s="4" customFormat="1" ht="15" customHeight="1">
      <c r="A600" s="64"/>
      <c r="B600" s="7">
        <f t="shared" si="155"/>
        <v>10</v>
      </c>
      <c r="C600" s="211" t="s">
        <v>10</v>
      </c>
      <c r="D600" s="211" t="s">
        <v>2277</v>
      </c>
      <c r="E600" s="211" t="s">
        <v>15</v>
      </c>
      <c r="F600" s="211" t="s">
        <v>30</v>
      </c>
      <c r="G600" s="211">
        <v>2009</v>
      </c>
      <c r="H600" s="211" t="s">
        <v>25</v>
      </c>
      <c r="I600" s="256" t="s">
        <v>26</v>
      </c>
      <c r="J600" s="240">
        <v>15537.73</v>
      </c>
      <c r="K600" s="239">
        <v>153.74</v>
      </c>
      <c r="L600" s="239">
        <v>26.45</v>
      </c>
      <c r="M600" s="239">
        <v>539.80999999999995</v>
      </c>
      <c r="N600" s="129">
        <f t="shared" si="151"/>
        <v>0.85321050002774856</v>
      </c>
      <c r="O600" s="129">
        <f t="shared" si="152"/>
        <v>0.96326388888888881</v>
      </c>
      <c r="P600" s="129">
        <f t="shared" si="153"/>
        <v>0.22167111239276191</v>
      </c>
      <c r="Q600" s="114">
        <f t="shared" si="154"/>
        <v>101.06497983608689</v>
      </c>
      <c r="R600" s="5" t="str">
        <f t="shared" si="156"/>
        <v>PAMA</v>
      </c>
    </row>
    <row r="601" spans="1:18" s="4" customFormat="1" ht="15" customHeight="1">
      <c r="A601" s="64"/>
      <c r="B601" s="7">
        <f t="shared" si="155"/>
        <v>11</v>
      </c>
      <c r="C601" s="211" t="s">
        <v>10</v>
      </c>
      <c r="D601" s="211" t="s">
        <v>2278</v>
      </c>
      <c r="E601" s="211" t="s">
        <v>15</v>
      </c>
      <c r="F601" s="211" t="s">
        <v>30</v>
      </c>
      <c r="G601" s="211">
        <v>2010</v>
      </c>
      <c r="H601" s="211" t="s">
        <v>25</v>
      </c>
      <c r="I601" s="256" t="s">
        <v>26</v>
      </c>
      <c r="J601" s="240">
        <v>21549.72</v>
      </c>
      <c r="K601" s="239">
        <v>281.36</v>
      </c>
      <c r="L601" s="239">
        <v>6.27</v>
      </c>
      <c r="M601" s="239">
        <v>432.37</v>
      </c>
      <c r="N601" s="129">
        <f t="shared" si="151"/>
        <v>0.97820116121405976</v>
      </c>
      <c r="O601" s="129">
        <f t="shared" si="152"/>
        <v>0.99129166666666668</v>
      </c>
      <c r="P601" s="129">
        <f t="shared" si="153"/>
        <v>0.39421069592142688</v>
      </c>
      <c r="Q601" s="114">
        <f t="shared" si="154"/>
        <v>76.591270969576343</v>
      </c>
      <c r="R601" s="5" t="str">
        <f t="shared" si="156"/>
        <v>PAMA</v>
      </c>
    </row>
    <row r="602" spans="1:18" s="4" customFormat="1" ht="15" customHeight="1">
      <c r="A602" s="64"/>
      <c r="B602" s="7">
        <f t="shared" si="155"/>
        <v>12</v>
      </c>
      <c r="C602" s="211" t="s">
        <v>10</v>
      </c>
      <c r="D602" s="211" t="s">
        <v>2279</v>
      </c>
      <c r="E602" s="211" t="s">
        <v>15</v>
      </c>
      <c r="F602" s="211" t="s">
        <v>30</v>
      </c>
      <c r="G602" s="211">
        <v>2023</v>
      </c>
      <c r="H602" s="211" t="s">
        <v>25</v>
      </c>
      <c r="I602" s="256" t="s">
        <v>26</v>
      </c>
      <c r="J602" s="240">
        <v>21145.52</v>
      </c>
      <c r="K602" s="239">
        <v>272.83999999999997</v>
      </c>
      <c r="L602" s="239">
        <v>13.25</v>
      </c>
      <c r="M602" s="239">
        <v>433.91</v>
      </c>
      <c r="N602" s="129">
        <f t="shared" si="151"/>
        <v>0.95368590303750567</v>
      </c>
      <c r="O602" s="129">
        <f t="shared" si="152"/>
        <v>0.98159722222222223</v>
      </c>
      <c r="P602" s="129">
        <f t="shared" si="153"/>
        <v>0.38604881499823129</v>
      </c>
      <c r="Q602" s="114">
        <f t="shared" si="154"/>
        <v>77.501539363729663</v>
      </c>
      <c r="R602" s="5" t="str">
        <f t="shared" si="156"/>
        <v>PAMA</v>
      </c>
    </row>
    <row r="603" spans="1:18" s="4" customFormat="1" ht="15" customHeight="1">
      <c r="A603" s="64"/>
      <c r="B603" s="7">
        <f t="shared" si="155"/>
        <v>13</v>
      </c>
      <c r="C603" s="211" t="s">
        <v>10</v>
      </c>
      <c r="D603" s="211" t="s">
        <v>2280</v>
      </c>
      <c r="E603" s="211" t="s">
        <v>15</v>
      </c>
      <c r="F603" s="211" t="s">
        <v>30</v>
      </c>
      <c r="G603" s="211">
        <v>2023</v>
      </c>
      <c r="H603" s="211" t="s">
        <v>25</v>
      </c>
      <c r="I603" s="256" t="s">
        <v>26</v>
      </c>
      <c r="J603" s="240">
        <v>16749.900000000001</v>
      </c>
      <c r="K603" s="239">
        <v>229.24</v>
      </c>
      <c r="L603" s="239">
        <v>10.72</v>
      </c>
      <c r="M603" s="239">
        <v>480.03999999999996</v>
      </c>
      <c r="N603" s="129">
        <f t="shared" si="151"/>
        <v>0.95532588764794135</v>
      </c>
      <c r="O603" s="129">
        <f t="shared" si="152"/>
        <v>0.98511111111111105</v>
      </c>
      <c r="P603" s="129">
        <f t="shared" si="153"/>
        <v>0.32320099255583129</v>
      </c>
      <c r="Q603" s="114">
        <f t="shared" si="154"/>
        <v>73.06709125807015</v>
      </c>
      <c r="R603" s="5" t="str">
        <f t="shared" si="156"/>
        <v>PAMA</v>
      </c>
    </row>
    <row r="604" spans="1:18" s="4" customFormat="1" ht="15" customHeight="1">
      <c r="A604" s="64"/>
      <c r="B604" s="7">
        <f t="shared" si="155"/>
        <v>14</v>
      </c>
      <c r="C604" s="211" t="s">
        <v>10</v>
      </c>
      <c r="D604" s="211" t="s">
        <v>2281</v>
      </c>
      <c r="E604" s="211" t="s">
        <v>15</v>
      </c>
      <c r="F604" s="211" t="s">
        <v>30</v>
      </c>
      <c r="G604" s="211">
        <v>2023</v>
      </c>
      <c r="H604" s="211" t="s">
        <v>25</v>
      </c>
      <c r="I604" s="256" t="s">
        <v>26</v>
      </c>
      <c r="J604" s="240">
        <v>17947.64</v>
      </c>
      <c r="K604" s="239">
        <v>214.51</v>
      </c>
      <c r="L604" s="239">
        <v>5.28</v>
      </c>
      <c r="M604" s="239">
        <v>500.21000000000004</v>
      </c>
      <c r="N604" s="129">
        <f t="shared" si="151"/>
        <v>0.97597706902042858</v>
      </c>
      <c r="O604" s="129">
        <f t="shared" si="152"/>
        <v>0.9926666666666667</v>
      </c>
      <c r="P604" s="129">
        <f t="shared" si="153"/>
        <v>0.30013152003581822</v>
      </c>
      <c r="Q604" s="114">
        <f t="shared" si="154"/>
        <v>83.668080742156548</v>
      </c>
      <c r="R604" s="5" t="str">
        <f t="shared" si="156"/>
        <v>PAMA</v>
      </c>
    </row>
    <row r="605" spans="1:18" s="4" customFormat="1" ht="15" customHeight="1">
      <c r="A605" s="64"/>
      <c r="B605" s="7">
        <f t="shared" si="155"/>
        <v>15</v>
      </c>
      <c r="C605" s="211" t="s">
        <v>10</v>
      </c>
      <c r="D605" s="211" t="s">
        <v>2282</v>
      </c>
      <c r="E605" s="211" t="s">
        <v>15</v>
      </c>
      <c r="F605" s="211" t="s">
        <v>30</v>
      </c>
      <c r="G605" s="211">
        <v>2023</v>
      </c>
      <c r="H605" s="211" t="s">
        <v>25</v>
      </c>
      <c r="I605" s="256" t="s">
        <v>26</v>
      </c>
      <c r="J605" s="240">
        <v>15126.41</v>
      </c>
      <c r="K605" s="239">
        <v>216.29</v>
      </c>
      <c r="L605" s="239">
        <v>0</v>
      </c>
      <c r="M605" s="239">
        <v>503.71000000000004</v>
      </c>
      <c r="N605" s="129">
        <f t="shared" si="151"/>
        <v>1</v>
      </c>
      <c r="O605" s="129">
        <f t="shared" si="152"/>
        <v>1</v>
      </c>
      <c r="P605" s="129">
        <f t="shared" si="153"/>
        <v>0.30040277777777774</v>
      </c>
      <c r="Q605" s="114">
        <f t="shared" si="154"/>
        <v>69.935780664848124</v>
      </c>
      <c r="R605" s="5" t="str">
        <f t="shared" si="156"/>
        <v>PAMA</v>
      </c>
    </row>
    <row r="606" spans="1:18" s="4" customFormat="1" ht="15" customHeight="1">
      <c r="A606" s="64"/>
      <c r="B606" s="7">
        <f t="shared" si="155"/>
        <v>16</v>
      </c>
      <c r="C606" s="211" t="s">
        <v>10</v>
      </c>
      <c r="D606" s="211" t="s">
        <v>2283</v>
      </c>
      <c r="E606" s="211" t="s">
        <v>15</v>
      </c>
      <c r="F606" s="211" t="s">
        <v>30</v>
      </c>
      <c r="G606" s="211">
        <v>2023</v>
      </c>
      <c r="H606" s="211" t="s">
        <v>25</v>
      </c>
      <c r="I606" s="256" t="s">
        <v>26</v>
      </c>
      <c r="J606" s="240">
        <v>21304.61</v>
      </c>
      <c r="K606" s="239">
        <v>218.34</v>
      </c>
      <c r="L606" s="239">
        <v>0</v>
      </c>
      <c r="M606" s="239">
        <v>501.65999999999997</v>
      </c>
      <c r="N606" s="129">
        <f t="shared" si="151"/>
        <v>1</v>
      </c>
      <c r="O606" s="129">
        <f t="shared" si="152"/>
        <v>1</v>
      </c>
      <c r="P606" s="129">
        <f t="shared" si="153"/>
        <v>0.30325000000000002</v>
      </c>
      <c r="Q606" s="114">
        <f t="shared" si="154"/>
        <v>97.575387011083635</v>
      </c>
      <c r="R606" s="5" t="str">
        <f t="shared" si="156"/>
        <v>PAMA</v>
      </c>
    </row>
    <row r="607" spans="1:18" s="4" customFormat="1" ht="15" customHeight="1">
      <c r="A607" s="64"/>
      <c r="B607" s="7">
        <f t="shared" si="155"/>
        <v>17</v>
      </c>
      <c r="C607" s="211" t="s">
        <v>10</v>
      </c>
      <c r="D607" s="211" t="s">
        <v>2284</v>
      </c>
      <c r="E607" s="211" t="s">
        <v>15</v>
      </c>
      <c r="F607" s="211" t="s">
        <v>30</v>
      </c>
      <c r="G607" s="211">
        <v>2023</v>
      </c>
      <c r="H607" s="211" t="s">
        <v>25</v>
      </c>
      <c r="I607" s="256" t="s">
        <v>26</v>
      </c>
      <c r="J607" s="240">
        <v>20866.7</v>
      </c>
      <c r="K607" s="239">
        <v>289.8</v>
      </c>
      <c r="L607" s="239">
        <v>26.97</v>
      </c>
      <c r="M607" s="239">
        <v>403.22999999999996</v>
      </c>
      <c r="N607" s="129">
        <f t="shared" si="151"/>
        <v>0.91485936168197757</v>
      </c>
      <c r="O607" s="129">
        <f t="shared" si="152"/>
        <v>0.96254166666666663</v>
      </c>
      <c r="P607" s="129">
        <f t="shared" si="153"/>
        <v>0.41816371585645645</v>
      </c>
      <c r="Q607" s="114">
        <f t="shared" si="154"/>
        <v>72.003795721187032</v>
      </c>
      <c r="R607" s="5" t="str">
        <f t="shared" si="156"/>
        <v>PAMA</v>
      </c>
    </row>
    <row r="608" spans="1:18" s="4" customFormat="1" ht="15" customHeight="1">
      <c r="A608" s="64"/>
      <c r="B608" s="7">
        <f t="shared" si="155"/>
        <v>18</v>
      </c>
      <c r="C608" s="211" t="s">
        <v>10</v>
      </c>
      <c r="D608" s="211" t="s">
        <v>2285</v>
      </c>
      <c r="E608" s="211" t="s">
        <v>15</v>
      </c>
      <c r="F608" s="211" t="s">
        <v>30</v>
      </c>
      <c r="G608" s="211">
        <v>2023</v>
      </c>
      <c r="H608" s="211" t="s">
        <v>25</v>
      </c>
      <c r="I608" s="256" t="s">
        <v>26</v>
      </c>
      <c r="J608" s="240">
        <v>13791.01</v>
      </c>
      <c r="K608" s="239">
        <v>191.08</v>
      </c>
      <c r="L608" s="239">
        <v>12.22</v>
      </c>
      <c r="M608" s="239">
        <v>516.69999999999993</v>
      </c>
      <c r="N608" s="129">
        <f t="shared" si="151"/>
        <v>0.93989178553861286</v>
      </c>
      <c r="O608" s="129">
        <f t="shared" si="152"/>
        <v>0.98302777777777772</v>
      </c>
      <c r="P608" s="129">
        <f t="shared" si="153"/>
        <v>0.26997089491084802</v>
      </c>
      <c r="Q608" s="114">
        <f t="shared" si="154"/>
        <v>72.17401088549299</v>
      </c>
      <c r="R608" s="5" t="str">
        <f t="shared" si="156"/>
        <v>PAMA</v>
      </c>
    </row>
    <row r="609" spans="1:18" s="4" customFormat="1" ht="15" customHeight="1">
      <c r="A609" s="64"/>
      <c r="B609" s="7">
        <f t="shared" si="155"/>
        <v>19</v>
      </c>
      <c r="C609" s="211" t="s">
        <v>10</v>
      </c>
      <c r="D609" s="211" t="s">
        <v>2286</v>
      </c>
      <c r="E609" s="211" t="s">
        <v>15</v>
      </c>
      <c r="F609" s="211" t="s">
        <v>30</v>
      </c>
      <c r="G609" s="211">
        <v>2023</v>
      </c>
      <c r="H609" s="211" t="s">
        <v>25</v>
      </c>
      <c r="I609" s="256" t="s">
        <v>26</v>
      </c>
      <c r="J609" s="240">
        <v>5376</v>
      </c>
      <c r="K609" s="239">
        <v>37.25</v>
      </c>
      <c r="L609" s="239">
        <v>0</v>
      </c>
      <c r="M609" s="239">
        <v>682.75</v>
      </c>
      <c r="N609" s="129">
        <f t="shared" si="151"/>
        <v>1</v>
      </c>
      <c r="O609" s="129">
        <f t="shared" si="152"/>
        <v>1</v>
      </c>
      <c r="P609" s="129">
        <f t="shared" si="153"/>
        <v>5.1736111111111108E-2</v>
      </c>
      <c r="Q609" s="114">
        <f t="shared" si="154"/>
        <v>144.3221476510067</v>
      </c>
      <c r="R609" s="5" t="str">
        <f t="shared" si="156"/>
        <v>PAMA</v>
      </c>
    </row>
    <row r="610" spans="1:18" s="4" customFormat="1" ht="15" customHeight="1">
      <c r="A610" s="64"/>
      <c r="B610" s="7">
        <f t="shared" si="155"/>
        <v>20</v>
      </c>
      <c r="C610" s="211" t="s">
        <v>10</v>
      </c>
      <c r="D610" s="211" t="s">
        <v>2287</v>
      </c>
      <c r="E610" s="211" t="s">
        <v>15</v>
      </c>
      <c r="F610" s="211" t="s">
        <v>30</v>
      </c>
      <c r="G610" s="211">
        <v>2023</v>
      </c>
      <c r="H610" s="211" t="s">
        <v>25</v>
      </c>
      <c r="I610" s="256" t="s">
        <v>26</v>
      </c>
      <c r="J610" s="240">
        <v>15390.81</v>
      </c>
      <c r="K610" s="239">
        <v>212.35</v>
      </c>
      <c r="L610" s="239">
        <v>0</v>
      </c>
      <c r="M610" s="239">
        <v>507.65</v>
      </c>
      <c r="N610" s="129">
        <f t="shared" si="151"/>
        <v>1</v>
      </c>
      <c r="O610" s="129">
        <f t="shared" si="152"/>
        <v>1</v>
      </c>
      <c r="P610" s="129">
        <f t="shared" si="153"/>
        <v>0.29493055555555553</v>
      </c>
      <c r="Q610" s="114">
        <f t="shared" si="154"/>
        <v>72.478502472333417</v>
      </c>
      <c r="R610" s="5" t="str">
        <f t="shared" si="156"/>
        <v>PAMA</v>
      </c>
    </row>
    <row r="611" spans="1:18" s="4" customFormat="1" ht="15" customHeight="1">
      <c r="A611" s="64"/>
      <c r="B611" s="7">
        <f t="shared" si="155"/>
        <v>21</v>
      </c>
      <c r="C611" s="211" t="s">
        <v>10</v>
      </c>
      <c r="D611" s="211" t="s">
        <v>2288</v>
      </c>
      <c r="E611" s="211" t="s">
        <v>15</v>
      </c>
      <c r="F611" s="211" t="s">
        <v>30</v>
      </c>
      <c r="G611" s="211">
        <v>2023</v>
      </c>
      <c r="H611" s="211" t="s">
        <v>25</v>
      </c>
      <c r="I611" s="256" t="s">
        <v>26</v>
      </c>
      <c r="J611" s="240">
        <v>20692.75</v>
      </c>
      <c r="K611" s="239">
        <v>237.67</v>
      </c>
      <c r="L611" s="239">
        <v>1.75</v>
      </c>
      <c r="M611" s="239">
        <v>480.58000000000004</v>
      </c>
      <c r="N611" s="129">
        <f t="shared" si="151"/>
        <v>0.99269066911703285</v>
      </c>
      <c r="O611" s="129">
        <f t="shared" si="152"/>
        <v>0.9975694444444444</v>
      </c>
      <c r="P611" s="129">
        <f t="shared" si="153"/>
        <v>0.33090149669335189</v>
      </c>
      <c r="Q611" s="114">
        <f t="shared" si="154"/>
        <v>87.06504817604241</v>
      </c>
      <c r="R611" s="5" t="str">
        <f t="shared" si="156"/>
        <v>PAMA</v>
      </c>
    </row>
    <row r="612" spans="1:18" s="4" customFormat="1" ht="15" customHeight="1">
      <c r="A612" s="64"/>
      <c r="B612" s="7">
        <f t="shared" si="155"/>
        <v>22</v>
      </c>
      <c r="C612" s="211" t="s">
        <v>10</v>
      </c>
      <c r="D612" s="211" t="s">
        <v>2289</v>
      </c>
      <c r="E612" s="211" t="s">
        <v>15</v>
      </c>
      <c r="F612" s="211" t="s">
        <v>30</v>
      </c>
      <c r="G612" s="211">
        <v>2023</v>
      </c>
      <c r="H612" s="211" t="s">
        <v>25</v>
      </c>
      <c r="I612" s="256" t="s">
        <v>26</v>
      </c>
      <c r="J612" s="240">
        <v>19802.87</v>
      </c>
      <c r="K612" s="239">
        <v>227.1</v>
      </c>
      <c r="L612" s="239">
        <v>0</v>
      </c>
      <c r="M612" s="239">
        <v>492.9</v>
      </c>
      <c r="N612" s="129">
        <f t="shared" si="151"/>
        <v>1</v>
      </c>
      <c r="O612" s="129">
        <f t="shared" si="152"/>
        <v>1</v>
      </c>
      <c r="P612" s="129">
        <f t="shared" si="153"/>
        <v>0.31541666666666668</v>
      </c>
      <c r="Q612" s="114">
        <f t="shared" si="154"/>
        <v>87.19889916336416</v>
      </c>
      <c r="R612" s="5" t="str">
        <f t="shared" si="156"/>
        <v>PAMA</v>
      </c>
    </row>
    <row r="613" spans="1:18" s="4" customFormat="1" ht="15" customHeight="1">
      <c r="A613" s="64"/>
      <c r="B613" s="7">
        <f t="shared" si="155"/>
        <v>23</v>
      </c>
      <c r="C613" s="211" t="s">
        <v>10</v>
      </c>
      <c r="D613" s="211" t="s">
        <v>2290</v>
      </c>
      <c r="E613" s="211" t="s">
        <v>15</v>
      </c>
      <c r="F613" s="211" t="s">
        <v>30</v>
      </c>
      <c r="G613" s="211">
        <v>2023</v>
      </c>
      <c r="H613" s="211" t="s">
        <v>25</v>
      </c>
      <c r="I613" s="256" t="s">
        <v>26</v>
      </c>
      <c r="J613" s="240">
        <v>18561.72</v>
      </c>
      <c r="K613" s="239">
        <v>223.66</v>
      </c>
      <c r="L613" s="239">
        <v>24.68</v>
      </c>
      <c r="M613" s="239">
        <v>471.66000000000008</v>
      </c>
      <c r="N613" s="129">
        <f t="shared" si="151"/>
        <v>0.90062011758073601</v>
      </c>
      <c r="O613" s="129">
        <f t="shared" si="152"/>
        <v>0.96572222222222215</v>
      </c>
      <c r="P613" s="129">
        <f t="shared" si="153"/>
        <v>0.32166484496347003</v>
      </c>
      <c r="Q613" s="114">
        <f t="shared" si="154"/>
        <v>82.990789591344011</v>
      </c>
      <c r="R613" s="5" t="str">
        <f t="shared" si="156"/>
        <v>PAMA</v>
      </c>
    </row>
    <row r="614" spans="1:18" s="4" customFormat="1" ht="15" customHeight="1">
      <c r="A614" s="64"/>
      <c r="B614" s="7">
        <f t="shared" si="155"/>
        <v>24</v>
      </c>
      <c r="C614" s="211" t="s">
        <v>10</v>
      </c>
      <c r="D614" s="211" t="s">
        <v>2291</v>
      </c>
      <c r="E614" s="211" t="s">
        <v>15</v>
      </c>
      <c r="F614" s="211" t="s">
        <v>30</v>
      </c>
      <c r="G614" s="211">
        <v>2023</v>
      </c>
      <c r="H614" s="211" t="s">
        <v>25</v>
      </c>
      <c r="I614" s="256" t="s">
        <v>26</v>
      </c>
      <c r="J614" s="240">
        <v>33069.58</v>
      </c>
      <c r="K614" s="239">
        <v>247.35</v>
      </c>
      <c r="L614" s="239">
        <v>8.77</v>
      </c>
      <c r="M614" s="239">
        <v>463.88</v>
      </c>
      <c r="N614" s="129">
        <f t="shared" si="151"/>
        <v>0.96575823832578478</v>
      </c>
      <c r="O614" s="129">
        <f t="shared" si="152"/>
        <v>0.98781944444444447</v>
      </c>
      <c r="P614" s="129">
        <f t="shared" si="153"/>
        <v>0.3477777934001659</v>
      </c>
      <c r="Q614" s="114">
        <f t="shared" si="154"/>
        <v>133.69549221750557</v>
      </c>
      <c r="R614" s="5" t="str">
        <f t="shared" si="156"/>
        <v>PAMA</v>
      </c>
    </row>
    <row r="615" spans="1:18" s="4" customFormat="1" ht="15" customHeight="1">
      <c r="A615" s="64"/>
      <c r="B615" s="7">
        <f t="shared" si="155"/>
        <v>25</v>
      </c>
      <c r="C615" s="211" t="s">
        <v>10</v>
      </c>
      <c r="D615" s="211" t="s">
        <v>2292</v>
      </c>
      <c r="E615" s="211" t="s">
        <v>15</v>
      </c>
      <c r="F615" s="211" t="s">
        <v>30</v>
      </c>
      <c r="G615" s="211">
        <v>2023</v>
      </c>
      <c r="H615" s="211" t="s">
        <v>25</v>
      </c>
      <c r="I615" s="256" t="s">
        <v>26</v>
      </c>
      <c r="J615" s="240">
        <v>20683.32</v>
      </c>
      <c r="K615" s="239">
        <v>265.14999999999998</v>
      </c>
      <c r="L615" s="239">
        <v>10.18</v>
      </c>
      <c r="M615" s="239">
        <v>444.67000000000007</v>
      </c>
      <c r="N615" s="129">
        <f t="shared" si="151"/>
        <v>0.9630261867577089</v>
      </c>
      <c r="O615" s="129">
        <f t="shared" si="152"/>
        <v>0.98586111111111119</v>
      </c>
      <c r="P615" s="129">
        <f t="shared" si="153"/>
        <v>0.37354540587754637</v>
      </c>
      <c r="Q615" s="114">
        <f t="shared" si="154"/>
        <v>78.006109749198572</v>
      </c>
      <c r="R615" s="5" t="str">
        <f t="shared" si="156"/>
        <v>PAMA</v>
      </c>
    </row>
    <row r="616" spans="1:18" s="4" customFormat="1" ht="15" customHeight="1">
      <c r="A616" s="64"/>
      <c r="B616" s="7">
        <f t="shared" si="155"/>
        <v>26</v>
      </c>
      <c r="C616" s="211" t="s">
        <v>10</v>
      </c>
      <c r="D616" s="211" t="s">
        <v>2293</v>
      </c>
      <c r="E616" s="211" t="s">
        <v>15</v>
      </c>
      <c r="F616" s="211" t="s">
        <v>30</v>
      </c>
      <c r="G616" s="211">
        <v>2023</v>
      </c>
      <c r="H616" s="211" t="s">
        <v>25</v>
      </c>
      <c r="I616" s="256" t="s">
        <v>26</v>
      </c>
      <c r="J616" s="240">
        <v>18452.39</v>
      </c>
      <c r="K616" s="239">
        <v>228.53</v>
      </c>
      <c r="L616" s="239">
        <v>2.5</v>
      </c>
      <c r="M616" s="239">
        <v>488.97</v>
      </c>
      <c r="N616" s="129">
        <f t="shared" si="151"/>
        <v>0.98917889451586372</v>
      </c>
      <c r="O616" s="129">
        <f t="shared" si="152"/>
        <v>0.99652777777777779</v>
      </c>
      <c r="P616" s="129">
        <f t="shared" si="153"/>
        <v>0.31850871080139376</v>
      </c>
      <c r="Q616" s="114">
        <f t="shared" si="154"/>
        <v>80.743841071194154</v>
      </c>
      <c r="R616" s="5" t="str">
        <f t="shared" si="156"/>
        <v>PAMA</v>
      </c>
    </row>
    <row r="617" spans="1:18" s="4" customFormat="1" ht="15" hidden="1" customHeight="1">
      <c r="A617" s="64"/>
      <c r="B617" s="7">
        <f t="shared" si="155"/>
        <v>27</v>
      </c>
      <c r="C617" s="211"/>
      <c r="D617" s="211"/>
      <c r="E617" s="211"/>
      <c r="F617" s="211"/>
      <c r="G617" s="211"/>
      <c r="H617" s="211"/>
      <c r="I617" s="256"/>
      <c r="J617" s="240"/>
      <c r="K617" s="239"/>
      <c r="L617" s="239"/>
      <c r="M617" s="239"/>
      <c r="N617" s="129" t="e">
        <f t="shared" si="151"/>
        <v>#DIV/0!</v>
      </c>
      <c r="O617" s="129" t="e">
        <f t="shared" si="152"/>
        <v>#DIV/0!</v>
      </c>
      <c r="P617" s="129" t="e">
        <f t="shared" si="153"/>
        <v>#DIV/0!</v>
      </c>
      <c r="Q617" s="114" t="e">
        <f t="shared" si="154"/>
        <v>#DIV/0!</v>
      </c>
      <c r="R617" s="5" t="e">
        <f t="shared" si="156"/>
        <v>#DIV/0!</v>
      </c>
    </row>
    <row r="618" spans="1:18" s="4" customFormat="1" ht="15" hidden="1" customHeight="1">
      <c r="A618" s="64"/>
      <c r="B618" s="7">
        <f t="shared" si="155"/>
        <v>28</v>
      </c>
      <c r="C618" s="211"/>
      <c r="D618" s="211"/>
      <c r="E618" s="211"/>
      <c r="F618" s="211"/>
      <c r="G618" s="211"/>
      <c r="H618" s="211"/>
      <c r="I618" s="256"/>
      <c r="J618" s="240"/>
      <c r="K618" s="239"/>
      <c r="L618" s="239"/>
      <c r="M618" s="239"/>
      <c r="N618" s="129"/>
      <c r="O618" s="129"/>
      <c r="P618" s="129"/>
      <c r="Q618" s="114"/>
      <c r="R618" s="5" t="b">
        <f t="shared" si="156"/>
        <v>0</v>
      </c>
    </row>
    <row r="619" spans="1:18" s="4" customFormat="1" ht="15" hidden="1" customHeight="1">
      <c r="A619" s="64"/>
      <c r="B619" s="7">
        <f t="shared" si="155"/>
        <v>29</v>
      </c>
      <c r="C619" s="211"/>
      <c r="D619" s="211"/>
      <c r="E619" s="211"/>
      <c r="F619" s="211"/>
      <c r="G619" s="211"/>
      <c r="H619" s="211"/>
      <c r="I619" s="256"/>
      <c r="J619" s="240"/>
      <c r="K619" s="239"/>
      <c r="L619" s="239"/>
      <c r="M619" s="239"/>
      <c r="N619" s="129"/>
      <c r="O619" s="129"/>
      <c r="P619" s="129"/>
      <c r="Q619" s="114"/>
      <c r="R619" s="5" t="b">
        <f t="shared" si="156"/>
        <v>0</v>
      </c>
    </row>
    <row r="620" spans="1:18" s="4" customFormat="1" ht="15" hidden="1" customHeight="1">
      <c r="A620" s="64"/>
      <c r="B620" s="7">
        <f t="shared" si="155"/>
        <v>30</v>
      </c>
      <c r="C620" s="211"/>
      <c r="D620" s="211"/>
      <c r="E620" s="211"/>
      <c r="F620" s="211"/>
      <c r="G620" s="211"/>
      <c r="H620" s="211"/>
      <c r="I620" s="256"/>
      <c r="J620" s="240"/>
      <c r="K620" s="239"/>
      <c r="L620" s="239"/>
      <c r="M620" s="239"/>
      <c r="N620" s="129"/>
      <c r="O620" s="129"/>
      <c r="P620" s="129"/>
      <c r="Q620" s="114"/>
      <c r="R620" s="5" t="b">
        <f t="shared" si="156"/>
        <v>0</v>
      </c>
    </row>
    <row r="621" spans="1:18" s="4" customFormat="1" ht="15" hidden="1" customHeight="1">
      <c r="A621" s="64"/>
      <c r="B621" s="7">
        <f>+B620+1</f>
        <v>31</v>
      </c>
      <c r="C621" s="211"/>
      <c r="D621" s="211"/>
      <c r="E621" s="211"/>
      <c r="F621" s="211"/>
      <c r="G621" s="211"/>
      <c r="H621" s="211"/>
      <c r="I621" s="256"/>
      <c r="J621" s="240"/>
      <c r="K621" s="239"/>
      <c r="L621" s="239"/>
      <c r="M621" s="239"/>
      <c r="N621" s="129"/>
      <c r="O621" s="129"/>
      <c r="P621" s="129"/>
      <c r="Q621" s="114"/>
      <c r="R621" s="5" t="b">
        <f t="shared" si="156"/>
        <v>0</v>
      </c>
    </row>
    <row r="622" spans="1:18" s="4" customFormat="1" ht="15" hidden="1" customHeight="1">
      <c r="A622" s="64"/>
      <c r="B622" s="7">
        <f t="shared" si="155"/>
        <v>32</v>
      </c>
      <c r="C622" s="211"/>
      <c r="D622" s="211"/>
      <c r="E622" s="211"/>
      <c r="F622" s="211"/>
      <c r="G622" s="211"/>
      <c r="H622" s="211"/>
      <c r="I622" s="256"/>
      <c r="J622" s="240"/>
      <c r="K622" s="239"/>
      <c r="L622" s="239"/>
      <c r="M622" s="239"/>
      <c r="N622" s="129"/>
      <c r="O622" s="129"/>
      <c r="P622" s="129"/>
      <c r="Q622" s="114"/>
      <c r="R622" s="5" t="b">
        <f t="shared" si="156"/>
        <v>0</v>
      </c>
    </row>
    <row r="623" spans="1:18" s="4" customFormat="1" ht="15" hidden="1" customHeight="1">
      <c r="A623" s="64"/>
      <c r="B623" s="7">
        <f t="shared" si="155"/>
        <v>33</v>
      </c>
      <c r="C623" s="211"/>
      <c r="D623" s="211"/>
      <c r="E623" s="211"/>
      <c r="F623" s="211"/>
      <c r="G623" s="211"/>
      <c r="H623" s="211"/>
      <c r="I623" s="256"/>
      <c r="J623" s="240"/>
      <c r="K623" s="239"/>
      <c r="L623" s="239"/>
      <c r="M623" s="239"/>
      <c r="N623" s="129"/>
      <c r="O623" s="129"/>
      <c r="P623" s="129"/>
      <c r="Q623" s="114"/>
      <c r="R623" s="5" t="b">
        <f t="shared" si="156"/>
        <v>0</v>
      </c>
    </row>
    <row r="624" spans="1:18" s="4" customFormat="1" ht="15" hidden="1" customHeight="1">
      <c r="A624" s="64"/>
      <c r="B624" s="7">
        <f t="shared" si="155"/>
        <v>34</v>
      </c>
      <c r="C624" s="211"/>
      <c r="D624" s="211"/>
      <c r="E624" s="211"/>
      <c r="F624" s="211"/>
      <c r="G624" s="211"/>
      <c r="H624" s="211"/>
      <c r="I624" s="256"/>
      <c r="J624" s="240"/>
      <c r="K624" s="239"/>
      <c r="L624" s="239"/>
      <c r="M624" s="239"/>
      <c r="N624" s="129"/>
      <c r="O624" s="129"/>
      <c r="P624" s="129"/>
      <c r="Q624" s="114"/>
      <c r="R624" s="5" t="b">
        <f t="shared" si="156"/>
        <v>0</v>
      </c>
    </row>
    <row r="625" spans="1:18" s="4" customFormat="1" ht="15" hidden="1" customHeight="1">
      <c r="A625" s="64"/>
      <c r="B625" s="7">
        <f t="shared" si="155"/>
        <v>35</v>
      </c>
      <c r="C625" s="211"/>
      <c r="D625" s="211"/>
      <c r="E625" s="211"/>
      <c r="F625" s="211"/>
      <c r="G625" s="211"/>
      <c r="H625" s="211"/>
      <c r="I625" s="256"/>
      <c r="J625" s="240"/>
      <c r="K625" s="239"/>
      <c r="L625" s="239"/>
      <c r="M625" s="239"/>
      <c r="N625" s="129"/>
      <c r="O625" s="129"/>
      <c r="P625" s="129"/>
      <c r="Q625" s="114"/>
      <c r="R625" s="5" t="b">
        <f t="shared" si="156"/>
        <v>0</v>
      </c>
    </row>
    <row r="626" spans="1:18" s="4" customFormat="1" ht="15" hidden="1" customHeight="1">
      <c r="A626" s="64"/>
      <c r="B626" s="7">
        <f t="shared" si="155"/>
        <v>36</v>
      </c>
      <c r="C626" s="211"/>
      <c r="D626" s="211"/>
      <c r="E626" s="211"/>
      <c r="F626" s="211"/>
      <c r="G626" s="211"/>
      <c r="H626" s="211"/>
      <c r="I626" s="256"/>
      <c r="J626" s="240"/>
      <c r="K626" s="239"/>
      <c r="L626" s="239"/>
      <c r="M626" s="239"/>
      <c r="N626" s="129"/>
      <c r="O626" s="129"/>
      <c r="P626" s="129"/>
      <c r="Q626" s="114"/>
      <c r="R626" s="5" t="b">
        <f t="shared" si="156"/>
        <v>0</v>
      </c>
    </row>
    <row r="627" spans="1:18" s="4" customFormat="1" ht="15" hidden="1" customHeight="1">
      <c r="A627" s="64"/>
      <c r="B627" s="7">
        <f t="shared" si="155"/>
        <v>37</v>
      </c>
      <c r="C627" s="211"/>
      <c r="D627" s="211"/>
      <c r="E627" s="211"/>
      <c r="F627" s="211"/>
      <c r="G627" s="211"/>
      <c r="H627" s="211"/>
      <c r="I627" s="256"/>
      <c r="J627" s="240"/>
      <c r="K627" s="239"/>
      <c r="L627" s="239"/>
      <c r="M627" s="239"/>
      <c r="N627" s="129"/>
      <c r="O627" s="129"/>
      <c r="P627" s="129"/>
      <c r="Q627" s="114"/>
      <c r="R627" s="5" t="b">
        <f t="shared" si="156"/>
        <v>0</v>
      </c>
    </row>
    <row r="628" spans="1:18" s="4" customFormat="1" ht="15" hidden="1" customHeight="1">
      <c r="A628" s="64"/>
      <c r="B628" s="7">
        <f t="shared" si="155"/>
        <v>38</v>
      </c>
      <c r="C628" s="7"/>
      <c r="D628" s="7"/>
      <c r="E628" s="7"/>
      <c r="F628" s="7"/>
      <c r="G628" s="7"/>
      <c r="H628" s="91"/>
      <c r="I628" s="115"/>
      <c r="J628" s="116"/>
      <c r="K628" s="116"/>
      <c r="L628" s="116"/>
      <c r="M628" s="258"/>
      <c r="N628" s="129"/>
      <c r="O628" s="129"/>
      <c r="P628" s="129"/>
      <c r="Q628" s="114"/>
      <c r="R628" s="5" t="b">
        <f t="shared" si="156"/>
        <v>0</v>
      </c>
    </row>
    <row r="629" spans="1:18" s="4" customFormat="1" ht="15" hidden="1" customHeight="1">
      <c r="A629" s="64"/>
      <c r="B629" s="7">
        <f t="shared" si="155"/>
        <v>39</v>
      </c>
      <c r="C629" s="7"/>
      <c r="D629" s="7"/>
      <c r="E629" s="7"/>
      <c r="F629" s="7"/>
      <c r="G629" s="7"/>
      <c r="H629" s="91"/>
      <c r="I629" s="115"/>
      <c r="J629" s="116"/>
      <c r="K629" s="116"/>
      <c r="L629" s="116"/>
      <c r="M629" s="258"/>
      <c r="N629" s="129"/>
      <c r="O629" s="129"/>
      <c r="P629" s="129"/>
      <c r="Q629" s="114"/>
      <c r="R629" s="5" t="b">
        <f t="shared" si="156"/>
        <v>0</v>
      </c>
    </row>
    <row r="630" spans="1:18" s="4" customFormat="1" ht="15" hidden="1" customHeight="1">
      <c r="A630" s="64"/>
      <c r="B630" s="7">
        <f t="shared" si="155"/>
        <v>40</v>
      </c>
      <c r="C630" s="7"/>
      <c r="D630" s="7"/>
      <c r="E630" s="7"/>
      <c r="F630" s="7"/>
      <c r="G630" s="7"/>
      <c r="H630" s="91"/>
      <c r="I630" s="115"/>
      <c r="J630" s="116"/>
      <c r="K630" s="116"/>
      <c r="L630" s="116"/>
      <c r="M630" s="129"/>
      <c r="N630" s="129" t="e">
        <f t="shared" ref="N630:N640" si="157">+K630/(K630+L630)</f>
        <v>#DIV/0!</v>
      </c>
      <c r="O630" s="129" t="e">
        <f t="shared" ref="O630:O640" si="158">+(K630+M630)/(K630+L630+M630)</f>
        <v>#DIV/0!</v>
      </c>
      <c r="P630" s="114" t="e">
        <f t="shared" ref="P630:P640" si="159">+K630/(K630+M630)</f>
        <v>#DIV/0!</v>
      </c>
      <c r="Q630" s="7" t="e">
        <f t="shared" ref="Q630:Q640" si="160">+J630/K630</f>
        <v>#DIV/0!</v>
      </c>
      <c r="R630" s="5" t="e">
        <f t="shared" si="156"/>
        <v>#DIV/0!</v>
      </c>
    </row>
    <row r="631" spans="1:18" s="4" customFormat="1" ht="15" hidden="1" customHeight="1">
      <c r="A631" s="64"/>
      <c r="B631" s="7">
        <f t="shared" si="155"/>
        <v>41</v>
      </c>
      <c r="C631" s="7"/>
      <c r="D631" s="7"/>
      <c r="E631" s="7"/>
      <c r="F631" s="7"/>
      <c r="G631" s="7"/>
      <c r="H631" s="91"/>
      <c r="I631" s="115"/>
      <c r="J631" s="116"/>
      <c r="K631" s="116"/>
      <c r="L631" s="116"/>
      <c r="M631" s="129"/>
      <c r="N631" s="129" t="e">
        <f t="shared" si="157"/>
        <v>#DIV/0!</v>
      </c>
      <c r="O631" s="129" t="e">
        <f t="shared" si="158"/>
        <v>#DIV/0!</v>
      </c>
      <c r="P631" s="114" t="e">
        <f t="shared" si="159"/>
        <v>#DIV/0!</v>
      </c>
      <c r="Q631" s="7" t="e">
        <f t="shared" si="160"/>
        <v>#DIV/0!</v>
      </c>
      <c r="R631" s="5" t="e">
        <f t="shared" si="156"/>
        <v>#DIV/0!</v>
      </c>
    </row>
    <row r="632" spans="1:18" s="4" customFormat="1" ht="15" hidden="1" customHeight="1">
      <c r="A632" s="64"/>
      <c r="B632" s="7">
        <f t="shared" si="155"/>
        <v>42</v>
      </c>
      <c r="C632" s="7"/>
      <c r="D632" s="7"/>
      <c r="E632" s="7"/>
      <c r="F632" s="7"/>
      <c r="G632" s="7"/>
      <c r="H632" s="91"/>
      <c r="I632" s="115"/>
      <c r="J632" s="116"/>
      <c r="K632" s="116"/>
      <c r="L632" s="116"/>
      <c r="M632" s="129"/>
      <c r="N632" s="129" t="e">
        <f t="shared" si="157"/>
        <v>#DIV/0!</v>
      </c>
      <c r="O632" s="129" t="e">
        <f t="shared" si="158"/>
        <v>#DIV/0!</v>
      </c>
      <c r="P632" s="114" t="e">
        <f t="shared" si="159"/>
        <v>#DIV/0!</v>
      </c>
      <c r="Q632" s="7" t="e">
        <f t="shared" si="160"/>
        <v>#DIV/0!</v>
      </c>
      <c r="R632" s="5" t="e">
        <f t="shared" si="156"/>
        <v>#DIV/0!</v>
      </c>
    </row>
    <row r="633" spans="1:18" s="4" customFormat="1" ht="15" hidden="1" customHeight="1">
      <c r="A633" s="64"/>
      <c r="B633" s="7">
        <f t="shared" si="155"/>
        <v>43</v>
      </c>
      <c r="C633" s="7"/>
      <c r="D633" s="7"/>
      <c r="E633" s="7"/>
      <c r="F633" s="7"/>
      <c r="G633" s="7"/>
      <c r="H633" s="91"/>
      <c r="I633" s="115"/>
      <c r="J633" s="116"/>
      <c r="K633" s="116"/>
      <c r="L633" s="116"/>
      <c r="M633" s="129"/>
      <c r="N633" s="129" t="e">
        <f t="shared" si="157"/>
        <v>#DIV/0!</v>
      </c>
      <c r="O633" s="129" t="e">
        <f t="shared" si="158"/>
        <v>#DIV/0!</v>
      </c>
      <c r="P633" s="114" t="e">
        <f t="shared" si="159"/>
        <v>#DIV/0!</v>
      </c>
      <c r="Q633" s="7" t="e">
        <f t="shared" si="160"/>
        <v>#DIV/0!</v>
      </c>
      <c r="R633" s="5" t="e">
        <f t="shared" si="156"/>
        <v>#DIV/0!</v>
      </c>
    </row>
    <row r="634" spans="1:18" s="4" customFormat="1" ht="15" hidden="1" customHeight="1">
      <c r="A634" s="64"/>
      <c r="B634" s="7">
        <f t="shared" si="155"/>
        <v>44</v>
      </c>
      <c r="C634" s="7"/>
      <c r="D634" s="7"/>
      <c r="E634" s="7"/>
      <c r="F634" s="7"/>
      <c r="G634" s="7"/>
      <c r="H634" s="91"/>
      <c r="I634" s="115"/>
      <c r="J634" s="116"/>
      <c r="K634" s="116"/>
      <c r="L634" s="116"/>
      <c r="M634" s="129"/>
      <c r="N634" s="129" t="e">
        <f t="shared" si="157"/>
        <v>#DIV/0!</v>
      </c>
      <c r="O634" s="129" t="e">
        <f t="shared" si="158"/>
        <v>#DIV/0!</v>
      </c>
      <c r="P634" s="114" t="e">
        <f t="shared" si="159"/>
        <v>#DIV/0!</v>
      </c>
      <c r="Q634" s="7" t="e">
        <f t="shared" si="160"/>
        <v>#DIV/0!</v>
      </c>
      <c r="R634" s="5" t="e">
        <f t="shared" si="156"/>
        <v>#DIV/0!</v>
      </c>
    </row>
    <row r="635" spans="1:18" s="4" customFormat="1" ht="15" hidden="1" customHeight="1">
      <c r="A635" s="64"/>
      <c r="B635" s="7">
        <f t="shared" si="155"/>
        <v>45</v>
      </c>
      <c r="C635" s="7"/>
      <c r="D635" s="7"/>
      <c r="E635" s="7"/>
      <c r="F635" s="7"/>
      <c r="G635" s="7"/>
      <c r="H635" s="91"/>
      <c r="I635" s="115"/>
      <c r="J635" s="116"/>
      <c r="K635" s="116"/>
      <c r="L635" s="116"/>
      <c r="M635" s="129"/>
      <c r="N635" s="129" t="e">
        <f t="shared" si="157"/>
        <v>#DIV/0!</v>
      </c>
      <c r="O635" s="129" t="e">
        <f t="shared" si="158"/>
        <v>#DIV/0!</v>
      </c>
      <c r="P635" s="114" t="e">
        <f t="shared" si="159"/>
        <v>#DIV/0!</v>
      </c>
      <c r="Q635" s="7" t="e">
        <f t="shared" si="160"/>
        <v>#DIV/0!</v>
      </c>
      <c r="R635" s="5" t="e">
        <f t="shared" si="156"/>
        <v>#DIV/0!</v>
      </c>
    </row>
    <row r="636" spans="1:18" s="4" customFormat="1" ht="15" hidden="1" customHeight="1">
      <c r="A636" s="64"/>
      <c r="B636" s="7">
        <f t="shared" si="155"/>
        <v>46</v>
      </c>
      <c r="C636" s="7"/>
      <c r="D636" s="7"/>
      <c r="E636" s="7"/>
      <c r="F636" s="7"/>
      <c r="G636" s="7"/>
      <c r="H636" s="91"/>
      <c r="I636" s="115"/>
      <c r="J636" s="116"/>
      <c r="K636" s="116"/>
      <c r="L636" s="116"/>
      <c r="M636" s="129"/>
      <c r="N636" s="129" t="e">
        <f t="shared" si="157"/>
        <v>#DIV/0!</v>
      </c>
      <c r="O636" s="129" t="e">
        <f t="shared" si="158"/>
        <v>#DIV/0!</v>
      </c>
      <c r="P636" s="114" t="e">
        <f t="shared" si="159"/>
        <v>#DIV/0!</v>
      </c>
      <c r="Q636" s="7" t="e">
        <f t="shared" si="160"/>
        <v>#DIV/0!</v>
      </c>
      <c r="R636" s="5" t="e">
        <f t="shared" si="156"/>
        <v>#DIV/0!</v>
      </c>
    </row>
    <row r="637" spans="1:18" s="4" customFormat="1" ht="15" hidden="1" customHeight="1">
      <c r="A637" s="64"/>
      <c r="B637" s="7">
        <f t="shared" si="155"/>
        <v>47</v>
      </c>
      <c r="C637" s="7"/>
      <c r="D637" s="7"/>
      <c r="E637" s="7"/>
      <c r="F637" s="7"/>
      <c r="G637" s="7"/>
      <c r="H637" s="91"/>
      <c r="I637" s="115"/>
      <c r="J637" s="116"/>
      <c r="K637" s="116"/>
      <c r="L637" s="116"/>
      <c r="M637" s="129"/>
      <c r="N637" s="129" t="e">
        <f t="shared" si="157"/>
        <v>#DIV/0!</v>
      </c>
      <c r="O637" s="129" t="e">
        <f t="shared" si="158"/>
        <v>#DIV/0!</v>
      </c>
      <c r="P637" s="114" t="e">
        <f t="shared" si="159"/>
        <v>#DIV/0!</v>
      </c>
      <c r="Q637" s="7" t="e">
        <f t="shared" si="160"/>
        <v>#DIV/0!</v>
      </c>
      <c r="R637" s="5" t="e">
        <f t="shared" si="156"/>
        <v>#DIV/0!</v>
      </c>
    </row>
    <row r="638" spans="1:18" s="4" customFormat="1" ht="15" hidden="1" customHeight="1">
      <c r="A638" s="64"/>
      <c r="B638" s="7">
        <f t="shared" si="155"/>
        <v>48</v>
      </c>
      <c r="C638" s="7"/>
      <c r="D638" s="7"/>
      <c r="E638" s="7"/>
      <c r="F638" s="7"/>
      <c r="G638" s="7"/>
      <c r="H638" s="91"/>
      <c r="I638" s="115"/>
      <c r="J638" s="116"/>
      <c r="K638" s="116"/>
      <c r="L638" s="116"/>
      <c r="M638" s="129"/>
      <c r="N638" s="129" t="e">
        <f t="shared" si="157"/>
        <v>#DIV/0!</v>
      </c>
      <c r="O638" s="129" t="e">
        <f t="shared" si="158"/>
        <v>#DIV/0!</v>
      </c>
      <c r="P638" s="114" t="e">
        <f t="shared" si="159"/>
        <v>#DIV/0!</v>
      </c>
      <c r="Q638" s="7" t="e">
        <f t="shared" si="160"/>
        <v>#DIV/0!</v>
      </c>
      <c r="R638" s="5" t="e">
        <f t="shared" si="156"/>
        <v>#DIV/0!</v>
      </c>
    </row>
    <row r="639" spans="1:18" s="4" customFormat="1" ht="15" hidden="1" customHeight="1">
      <c r="A639" s="64"/>
      <c r="B639" s="7">
        <f t="shared" si="155"/>
        <v>49</v>
      </c>
      <c r="C639" s="7"/>
      <c r="D639" s="7"/>
      <c r="E639" s="7"/>
      <c r="F639" s="7"/>
      <c r="G639" s="7"/>
      <c r="H639" s="91"/>
      <c r="I639" s="115"/>
      <c r="J639" s="116"/>
      <c r="K639" s="116"/>
      <c r="L639" s="116"/>
      <c r="M639" s="129"/>
      <c r="N639" s="129" t="e">
        <f t="shared" si="157"/>
        <v>#DIV/0!</v>
      </c>
      <c r="O639" s="129" t="e">
        <f t="shared" si="158"/>
        <v>#DIV/0!</v>
      </c>
      <c r="P639" s="114" t="e">
        <f t="shared" si="159"/>
        <v>#DIV/0!</v>
      </c>
      <c r="Q639" s="7" t="e">
        <f t="shared" si="160"/>
        <v>#DIV/0!</v>
      </c>
      <c r="R639" s="5" t="e">
        <f t="shared" si="156"/>
        <v>#DIV/0!</v>
      </c>
    </row>
    <row r="640" spans="1:18" s="4" customFormat="1" ht="15" hidden="1" customHeight="1">
      <c r="A640" s="64"/>
      <c r="B640" s="7">
        <f t="shared" si="155"/>
        <v>50</v>
      </c>
      <c r="C640" s="7"/>
      <c r="D640" s="7"/>
      <c r="E640" s="7"/>
      <c r="F640" s="7"/>
      <c r="G640" s="7"/>
      <c r="H640" s="91"/>
      <c r="I640" s="115"/>
      <c r="J640" s="116"/>
      <c r="K640" s="116"/>
      <c r="L640" s="116"/>
      <c r="M640" s="129"/>
      <c r="N640" s="129" t="e">
        <f t="shared" si="157"/>
        <v>#DIV/0!</v>
      </c>
      <c r="O640" s="129" t="e">
        <f t="shared" si="158"/>
        <v>#DIV/0!</v>
      </c>
      <c r="P640" s="114" t="e">
        <f t="shared" si="159"/>
        <v>#DIV/0!</v>
      </c>
      <c r="Q640" s="7" t="e">
        <f t="shared" si="160"/>
        <v>#DIV/0!</v>
      </c>
      <c r="R640" s="5" t="e">
        <f t="shared" si="156"/>
        <v>#DIV/0!</v>
      </c>
    </row>
    <row r="641" spans="1:18" s="4" customFormat="1" ht="15" hidden="1" customHeight="1">
      <c r="A641" s="64"/>
      <c r="B641" s="7">
        <f t="shared" si="155"/>
        <v>51</v>
      </c>
      <c r="C641" s="7"/>
      <c r="D641" s="7"/>
      <c r="E641" s="7"/>
      <c r="F641" s="7"/>
      <c r="G641" s="7"/>
      <c r="H641" s="91"/>
      <c r="I641" s="115"/>
      <c r="J641" s="116"/>
      <c r="K641" s="116"/>
      <c r="L641" s="116"/>
      <c r="M641" s="129"/>
      <c r="N641" s="129"/>
      <c r="O641" s="129"/>
      <c r="P641" s="114"/>
      <c r="Q641" s="7"/>
      <c r="R641" s="5" t="b">
        <f t="shared" si="156"/>
        <v>0</v>
      </c>
    </row>
    <row r="642" spans="1:18" s="4" customFormat="1" ht="15" hidden="1" customHeight="1">
      <c r="A642" s="64"/>
      <c r="B642" s="7">
        <f t="shared" si="155"/>
        <v>52</v>
      </c>
      <c r="C642" s="7"/>
      <c r="D642" s="7"/>
      <c r="E642" s="7"/>
      <c r="F642" s="7"/>
      <c r="G642" s="7"/>
      <c r="H642" s="91"/>
      <c r="I642" s="115"/>
      <c r="J642" s="116"/>
      <c r="K642" s="116"/>
      <c r="L642" s="116"/>
      <c r="M642" s="129"/>
      <c r="N642" s="129"/>
      <c r="O642" s="129"/>
      <c r="P642" s="114"/>
      <c r="Q642" s="7"/>
      <c r="R642" s="5" t="b">
        <f t="shared" si="156"/>
        <v>0</v>
      </c>
    </row>
    <row r="643" spans="1:18" s="4" customFormat="1" ht="15" hidden="1" customHeight="1">
      <c r="A643" s="64"/>
      <c r="B643" s="7">
        <f t="shared" si="155"/>
        <v>53</v>
      </c>
      <c r="C643" s="7"/>
      <c r="D643" s="7"/>
      <c r="E643" s="7"/>
      <c r="F643" s="7"/>
      <c r="G643" s="7"/>
      <c r="H643" s="91"/>
      <c r="I643" s="115"/>
      <c r="J643" s="116"/>
      <c r="K643" s="116"/>
      <c r="L643" s="116"/>
      <c r="M643" s="129"/>
      <c r="N643" s="129"/>
      <c r="O643" s="129"/>
      <c r="P643" s="114"/>
      <c r="Q643" s="7"/>
      <c r="R643" s="5" t="b">
        <f t="shared" si="156"/>
        <v>0</v>
      </c>
    </row>
    <row r="644" spans="1:18" s="4" customFormat="1" ht="15" hidden="1" customHeight="1">
      <c r="A644" s="64"/>
      <c r="B644" s="7">
        <f t="shared" si="155"/>
        <v>54</v>
      </c>
      <c r="C644" s="7"/>
      <c r="D644" s="7"/>
      <c r="E644" s="7"/>
      <c r="F644" s="7"/>
      <c r="G644" s="7"/>
      <c r="H644" s="91"/>
      <c r="I644" s="115"/>
      <c r="J644" s="116"/>
      <c r="K644" s="116"/>
      <c r="L644" s="116"/>
      <c r="M644" s="129"/>
      <c r="N644" s="129"/>
      <c r="O644" s="129"/>
      <c r="P644" s="114"/>
      <c r="Q644" s="7"/>
      <c r="R644" s="5" t="b">
        <f t="shared" si="156"/>
        <v>0</v>
      </c>
    </row>
    <row r="645" spans="1:18" s="4" customFormat="1" ht="15" hidden="1" customHeight="1">
      <c r="A645" s="64"/>
      <c r="B645" s="7">
        <f t="shared" si="155"/>
        <v>55</v>
      </c>
      <c r="C645" s="7"/>
      <c r="D645" s="7"/>
      <c r="E645" s="7"/>
      <c r="F645" s="7"/>
      <c r="G645" s="7"/>
      <c r="H645" s="91"/>
      <c r="I645" s="115"/>
      <c r="J645" s="116"/>
      <c r="K645" s="116"/>
      <c r="L645" s="116"/>
      <c r="M645" s="129"/>
      <c r="N645" s="129" t="e">
        <f t="shared" ref="N645" si="161">+K645/(K645+L645)</f>
        <v>#DIV/0!</v>
      </c>
      <c r="O645" s="129" t="e">
        <f t="shared" ref="O645" si="162">+(K645+M645)/(K645+L645+M645)</f>
        <v>#DIV/0!</v>
      </c>
      <c r="P645" s="114" t="e">
        <f>+K645/(K645+M645)</f>
        <v>#DIV/0!</v>
      </c>
      <c r="Q645" s="7" t="e">
        <f>+J645/K645</f>
        <v>#DIV/0!</v>
      </c>
      <c r="R645" s="5" t="e">
        <f t="shared" si="156"/>
        <v>#DIV/0!</v>
      </c>
    </row>
    <row r="646" spans="1:18" s="4" customFormat="1" ht="15" hidden="1" customHeight="1">
      <c r="A646" s="64"/>
      <c r="B646" s="7">
        <f t="shared" si="155"/>
        <v>56</v>
      </c>
      <c r="C646" s="7"/>
      <c r="D646" s="7"/>
      <c r="E646" s="7"/>
      <c r="F646" s="7"/>
      <c r="G646" s="7"/>
      <c r="H646" s="91"/>
      <c r="I646" s="115"/>
      <c r="J646" s="116"/>
      <c r="K646" s="116"/>
      <c r="L646" s="116"/>
      <c r="M646" s="129"/>
      <c r="N646" s="129"/>
      <c r="O646" s="129"/>
      <c r="P646" s="114"/>
      <c r="Q646" s="7"/>
      <c r="R646" s="5" t="b">
        <f t="shared" si="156"/>
        <v>0</v>
      </c>
    </row>
    <row r="647" spans="1:18" s="4" customFormat="1" ht="15" hidden="1" customHeight="1">
      <c r="A647" s="64"/>
      <c r="B647" s="7">
        <f t="shared" si="155"/>
        <v>57</v>
      </c>
      <c r="C647" s="7"/>
      <c r="D647" s="7"/>
      <c r="E647" s="7"/>
      <c r="F647" s="7"/>
      <c r="G647" s="7"/>
      <c r="H647" s="91"/>
      <c r="I647" s="115"/>
      <c r="J647" s="116"/>
      <c r="K647" s="116"/>
      <c r="L647" s="116"/>
      <c r="M647" s="129"/>
      <c r="N647" s="129"/>
      <c r="O647" s="129"/>
      <c r="P647" s="114"/>
      <c r="Q647" s="7"/>
      <c r="R647" s="5" t="b">
        <f t="shared" si="156"/>
        <v>0</v>
      </c>
    </row>
    <row r="648" spans="1:18" s="4" customFormat="1" ht="15" hidden="1" customHeight="1">
      <c r="A648" s="64"/>
      <c r="B648" s="7">
        <f t="shared" si="155"/>
        <v>58</v>
      </c>
      <c r="C648" s="7"/>
      <c r="D648" s="7"/>
      <c r="E648" s="7"/>
      <c r="F648" s="7"/>
      <c r="G648" s="7"/>
      <c r="H648" s="91"/>
      <c r="I648" s="115"/>
      <c r="J648" s="116"/>
      <c r="K648" s="116"/>
      <c r="L648" s="116"/>
      <c r="M648" s="129"/>
      <c r="N648" s="129" t="e">
        <f t="shared" ref="N648" si="163">+K648/(K648+L648)</f>
        <v>#DIV/0!</v>
      </c>
      <c r="O648" s="129" t="e">
        <f t="shared" ref="O648" si="164">+(K648+M648)/(K648+L648+M648)</f>
        <v>#DIV/0!</v>
      </c>
      <c r="P648" s="114" t="e">
        <f>+K648/(K648+M648)</f>
        <v>#DIV/0!</v>
      </c>
      <c r="Q648" s="7" t="e">
        <f>+J648/K648</f>
        <v>#DIV/0!</v>
      </c>
      <c r="R648" s="5" t="e">
        <f t="shared" si="156"/>
        <v>#DIV/0!</v>
      </c>
    </row>
    <row r="649" spans="1:18" s="4" customFormat="1" ht="15" hidden="1" customHeight="1">
      <c r="A649" s="64"/>
      <c r="B649" s="7">
        <f t="shared" si="155"/>
        <v>59</v>
      </c>
      <c r="C649" s="7"/>
      <c r="D649" s="7"/>
      <c r="E649" s="7"/>
      <c r="F649" s="7"/>
      <c r="G649" s="7"/>
      <c r="H649" s="91"/>
      <c r="I649" s="115"/>
      <c r="J649" s="116"/>
      <c r="K649" s="116"/>
      <c r="L649" s="116"/>
      <c r="M649" s="129"/>
      <c r="N649" s="129"/>
      <c r="O649" s="129"/>
      <c r="P649" s="114"/>
      <c r="Q649" s="7"/>
      <c r="R649" s="5" t="b">
        <f t="shared" si="156"/>
        <v>0</v>
      </c>
    </row>
    <row r="650" spans="1:18" s="4" customFormat="1" ht="15" hidden="1" customHeight="1">
      <c r="A650" s="64"/>
      <c r="B650" s="7">
        <f t="shared" si="155"/>
        <v>60</v>
      </c>
      <c r="C650" s="7"/>
      <c r="D650" s="7"/>
      <c r="E650" s="7"/>
      <c r="F650" s="7"/>
      <c r="G650" s="7"/>
      <c r="H650" s="91"/>
      <c r="I650" s="115"/>
      <c r="J650" s="116"/>
      <c r="K650" s="116"/>
      <c r="L650" s="116"/>
      <c r="M650" s="129"/>
      <c r="N650" s="129"/>
      <c r="O650" s="129"/>
      <c r="P650" s="114"/>
      <c r="Q650" s="7"/>
      <c r="R650" s="5" t="b">
        <f t="shared" si="156"/>
        <v>0</v>
      </c>
    </row>
    <row r="651" spans="1:18" s="4" customFormat="1" ht="15" hidden="1" customHeight="1">
      <c r="A651" s="64"/>
      <c r="B651" s="7">
        <f t="shared" si="155"/>
        <v>61</v>
      </c>
      <c r="C651" s="7"/>
      <c r="D651" s="7"/>
      <c r="E651" s="7"/>
      <c r="F651" s="7"/>
      <c r="G651" s="7"/>
      <c r="H651" s="91"/>
      <c r="I651" s="115"/>
      <c r="J651" s="116"/>
      <c r="K651" s="116"/>
      <c r="L651" s="116"/>
      <c r="M651" s="129"/>
      <c r="N651" s="129" t="e">
        <f t="shared" ref="N651" si="165">+K651/(K651+L651)</f>
        <v>#DIV/0!</v>
      </c>
      <c r="O651" s="129" t="e">
        <f t="shared" ref="O651" si="166">+(K651+M651)/(K651+L651+M651)</f>
        <v>#DIV/0!</v>
      </c>
      <c r="P651" s="114" t="e">
        <f>+K651/(K651+M651)</f>
        <v>#DIV/0!</v>
      </c>
      <c r="Q651" s="7" t="e">
        <f>+J651/K651</f>
        <v>#DIV/0!</v>
      </c>
      <c r="R651" s="5" t="e">
        <f t="shared" si="156"/>
        <v>#DIV/0!</v>
      </c>
    </row>
    <row r="652" spans="1:18" s="4" customFormat="1" ht="15" hidden="1" customHeight="1">
      <c r="A652" s="64"/>
      <c r="B652" s="7">
        <f t="shared" si="155"/>
        <v>62</v>
      </c>
      <c r="C652" s="7"/>
      <c r="D652" s="7"/>
      <c r="E652" s="7"/>
      <c r="F652" s="7"/>
      <c r="G652" s="7"/>
      <c r="H652" s="91"/>
      <c r="I652" s="115"/>
      <c r="J652" s="116"/>
      <c r="K652" s="116"/>
      <c r="L652" s="116"/>
      <c r="M652" s="129"/>
      <c r="N652" s="129"/>
      <c r="O652" s="129"/>
      <c r="P652" s="114"/>
      <c r="Q652" s="7"/>
      <c r="R652" s="5" t="b">
        <f t="shared" si="156"/>
        <v>0</v>
      </c>
    </row>
    <row r="653" spans="1:18" s="4" customFormat="1" ht="15" hidden="1" customHeight="1">
      <c r="A653" s="64"/>
      <c r="B653" s="7">
        <f t="shared" si="155"/>
        <v>63</v>
      </c>
      <c r="C653" s="7"/>
      <c r="D653" s="7"/>
      <c r="E653" s="7"/>
      <c r="F653" s="7"/>
      <c r="G653" s="7"/>
      <c r="H653" s="91"/>
      <c r="I653" s="115"/>
      <c r="J653" s="116"/>
      <c r="K653" s="116"/>
      <c r="L653" s="116"/>
      <c r="M653" s="129"/>
      <c r="N653" s="129" t="e">
        <f t="shared" ref="N653:N679" si="167">+K653/(K653+L653)</f>
        <v>#DIV/0!</v>
      </c>
      <c r="O653" s="129" t="e">
        <f t="shared" ref="O653:O679" si="168">+(K653+M653)/(K653+L653+M653)</f>
        <v>#DIV/0!</v>
      </c>
      <c r="P653" s="114" t="e">
        <f t="shared" ref="P653:P679" si="169">+K653/(K653+M653)</f>
        <v>#DIV/0!</v>
      </c>
      <c r="Q653" s="7" t="e">
        <f t="shared" ref="Q653:Q679" si="170">+J653/K653</f>
        <v>#DIV/0!</v>
      </c>
      <c r="R653" s="5" t="e">
        <f t="shared" si="156"/>
        <v>#DIV/0!</v>
      </c>
    </row>
    <row r="654" spans="1:18" s="4" customFormat="1" ht="15" hidden="1" customHeight="1">
      <c r="A654" s="64"/>
      <c r="B654" s="7">
        <f t="shared" si="155"/>
        <v>64</v>
      </c>
      <c r="C654" s="7"/>
      <c r="D654" s="7"/>
      <c r="E654" s="7"/>
      <c r="F654" s="7"/>
      <c r="G654" s="7"/>
      <c r="H654" s="91"/>
      <c r="I654" s="115"/>
      <c r="J654" s="116"/>
      <c r="K654" s="116"/>
      <c r="L654" s="116"/>
      <c r="M654" s="129"/>
      <c r="N654" s="129" t="e">
        <f t="shared" si="167"/>
        <v>#DIV/0!</v>
      </c>
      <c r="O654" s="129" t="e">
        <f t="shared" si="168"/>
        <v>#DIV/0!</v>
      </c>
      <c r="P654" s="114" t="e">
        <f t="shared" si="169"/>
        <v>#DIV/0!</v>
      </c>
      <c r="Q654" s="7" t="e">
        <f t="shared" si="170"/>
        <v>#DIV/0!</v>
      </c>
      <c r="R654" s="5" t="e">
        <f t="shared" si="156"/>
        <v>#DIV/0!</v>
      </c>
    </row>
    <row r="655" spans="1:18" s="4" customFormat="1" ht="15" hidden="1" customHeight="1">
      <c r="A655" s="64"/>
      <c r="B655" s="7">
        <f t="shared" si="155"/>
        <v>65</v>
      </c>
      <c r="C655" s="7"/>
      <c r="D655" s="7"/>
      <c r="E655" s="7"/>
      <c r="F655" s="7"/>
      <c r="G655" s="7"/>
      <c r="H655" s="91"/>
      <c r="I655" s="115"/>
      <c r="J655" s="116"/>
      <c r="K655" s="116"/>
      <c r="L655" s="116"/>
      <c r="M655" s="129"/>
      <c r="N655" s="129" t="e">
        <f t="shared" si="167"/>
        <v>#DIV/0!</v>
      </c>
      <c r="O655" s="129" t="e">
        <f t="shared" si="168"/>
        <v>#DIV/0!</v>
      </c>
      <c r="P655" s="114" t="e">
        <f t="shared" si="169"/>
        <v>#DIV/0!</v>
      </c>
      <c r="Q655" s="7" t="e">
        <f t="shared" si="170"/>
        <v>#DIV/0!</v>
      </c>
      <c r="R655" s="5" t="e">
        <f t="shared" si="156"/>
        <v>#DIV/0!</v>
      </c>
    </row>
    <row r="656" spans="1:18" s="4" customFormat="1" ht="15" hidden="1" customHeight="1">
      <c r="A656" s="64"/>
      <c r="B656" s="7">
        <f t="shared" si="155"/>
        <v>66</v>
      </c>
      <c r="C656" s="7"/>
      <c r="D656" s="7"/>
      <c r="E656" s="7"/>
      <c r="F656" s="7"/>
      <c r="G656" s="7"/>
      <c r="H656" s="91"/>
      <c r="I656" s="115"/>
      <c r="J656" s="116"/>
      <c r="K656" s="116"/>
      <c r="L656" s="116"/>
      <c r="M656" s="129"/>
      <c r="N656" s="129" t="e">
        <f t="shared" si="167"/>
        <v>#DIV/0!</v>
      </c>
      <c r="O656" s="129" t="e">
        <f t="shared" si="168"/>
        <v>#DIV/0!</v>
      </c>
      <c r="P656" s="114" t="e">
        <f t="shared" si="169"/>
        <v>#DIV/0!</v>
      </c>
      <c r="Q656" s="7" t="e">
        <f t="shared" si="170"/>
        <v>#DIV/0!</v>
      </c>
      <c r="R656" s="5" t="e">
        <f t="shared" si="156"/>
        <v>#DIV/0!</v>
      </c>
    </row>
    <row r="657" spans="1:18" s="4" customFormat="1" ht="15" hidden="1" customHeight="1">
      <c r="A657" s="64"/>
      <c r="B657" s="7">
        <f t="shared" ref="B657:B720" si="171">+B656+1</f>
        <v>67</v>
      </c>
      <c r="C657" s="7"/>
      <c r="D657" s="7"/>
      <c r="E657" s="7"/>
      <c r="F657" s="7"/>
      <c r="G657" s="7"/>
      <c r="H657" s="91"/>
      <c r="I657" s="115"/>
      <c r="J657" s="116"/>
      <c r="K657" s="116"/>
      <c r="L657" s="116"/>
      <c r="M657" s="129"/>
      <c r="N657" s="129" t="e">
        <f t="shared" si="167"/>
        <v>#DIV/0!</v>
      </c>
      <c r="O657" s="129" t="e">
        <f t="shared" si="168"/>
        <v>#DIV/0!</v>
      </c>
      <c r="P657" s="114" t="e">
        <f t="shared" si="169"/>
        <v>#DIV/0!</v>
      </c>
      <c r="Q657" s="7" t="e">
        <f t="shared" si="170"/>
        <v>#DIV/0!</v>
      </c>
      <c r="R657" s="5" t="e">
        <f t="shared" si="156"/>
        <v>#DIV/0!</v>
      </c>
    </row>
    <row r="658" spans="1:18" s="4" customFormat="1" ht="15" hidden="1" customHeight="1">
      <c r="A658" s="64"/>
      <c r="B658" s="7">
        <f t="shared" si="171"/>
        <v>68</v>
      </c>
      <c r="C658" s="7"/>
      <c r="D658" s="7"/>
      <c r="E658" s="7"/>
      <c r="F658" s="7"/>
      <c r="G658" s="7"/>
      <c r="H658" s="91"/>
      <c r="I658" s="115"/>
      <c r="J658" s="116"/>
      <c r="K658" s="116"/>
      <c r="L658" s="116"/>
      <c r="M658" s="129"/>
      <c r="N658" s="129" t="e">
        <f t="shared" si="167"/>
        <v>#DIV/0!</v>
      </c>
      <c r="O658" s="129" t="e">
        <f t="shared" si="168"/>
        <v>#DIV/0!</v>
      </c>
      <c r="P658" s="114" t="e">
        <f t="shared" si="169"/>
        <v>#DIV/0!</v>
      </c>
      <c r="Q658" s="7" t="e">
        <f t="shared" si="170"/>
        <v>#DIV/0!</v>
      </c>
      <c r="R658" s="5" t="e">
        <f t="shared" si="156"/>
        <v>#DIV/0!</v>
      </c>
    </row>
    <row r="659" spans="1:18" s="4" customFormat="1" ht="15" hidden="1" customHeight="1">
      <c r="A659" s="64"/>
      <c r="B659" s="7">
        <f t="shared" si="171"/>
        <v>69</v>
      </c>
      <c r="C659" s="7"/>
      <c r="D659" s="7"/>
      <c r="E659" s="7"/>
      <c r="F659" s="7"/>
      <c r="G659" s="7"/>
      <c r="H659" s="91"/>
      <c r="I659" s="115"/>
      <c r="J659" s="116"/>
      <c r="K659" s="116"/>
      <c r="L659" s="116"/>
      <c r="M659" s="129"/>
      <c r="N659" s="129" t="e">
        <f t="shared" si="167"/>
        <v>#DIV/0!</v>
      </c>
      <c r="O659" s="129" t="e">
        <f t="shared" si="168"/>
        <v>#DIV/0!</v>
      </c>
      <c r="P659" s="114" t="e">
        <f t="shared" si="169"/>
        <v>#DIV/0!</v>
      </c>
      <c r="Q659" s="7" t="e">
        <f t="shared" si="170"/>
        <v>#DIV/0!</v>
      </c>
      <c r="R659" s="5" t="e">
        <f t="shared" si="156"/>
        <v>#DIV/0!</v>
      </c>
    </row>
    <row r="660" spans="1:18" s="4" customFormat="1" ht="15" hidden="1" customHeight="1">
      <c r="A660" s="64"/>
      <c r="B660" s="7">
        <f t="shared" si="171"/>
        <v>70</v>
      </c>
      <c r="C660" s="7"/>
      <c r="D660" s="7"/>
      <c r="E660" s="7"/>
      <c r="F660" s="7"/>
      <c r="G660" s="7"/>
      <c r="H660" s="91"/>
      <c r="I660" s="115"/>
      <c r="J660" s="116"/>
      <c r="K660" s="116"/>
      <c r="L660" s="116"/>
      <c r="M660" s="129"/>
      <c r="N660" s="129" t="e">
        <f t="shared" si="167"/>
        <v>#DIV/0!</v>
      </c>
      <c r="O660" s="129" t="e">
        <f t="shared" si="168"/>
        <v>#DIV/0!</v>
      </c>
      <c r="P660" s="114" t="e">
        <f t="shared" si="169"/>
        <v>#DIV/0!</v>
      </c>
      <c r="Q660" s="7" t="e">
        <f t="shared" si="170"/>
        <v>#DIV/0!</v>
      </c>
      <c r="R660" s="5" t="e">
        <f t="shared" si="156"/>
        <v>#DIV/0!</v>
      </c>
    </row>
    <row r="661" spans="1:18" s="4" customFormat="1" ht="15" hidden="1" customHeight="1">
      <c r="A661" s="64"/>
      <c r="B661" s="7">
        <f t="shared" si="171"/>
        <v>71</v>
      </c>
      <c r="C661" s="7"/>
      <c r="D661" s="7"/>
      <c r="E661" s="7"/>
      <c r="F661" s="7"/>
      <c r="G661" s="7"/>
      <c r="H661" s="91"/>
      <c r="I661" s="115"/>
      <c r="J661" s="116"/>
      <c r="K661" s="116"/>
      <c r="L661" s="116"/>
      <c r="M661" s="129"/>
      <c r="N661" s="129" t="e">
        <f t="shared" si="167"/>
        <v>#DIV/0!</v>
      </c>
      <c r="O661" s="129" t="e">
        <f t="shared" si="168"/>
        <v>#DIV/0!</v>
      </c>
      <c r="P661" s="114" t="e">
        <f t="shared" si="169"/>
        <v>#DIV/0!</v>
      </c>
      <c r="Q661" s="7" t="e">
        <f t="shared" si="170"/>
        <v>#DIV/0!</v>
      </c>
      <c r="R661" s="5" t="e">
        <f t="shared" si="156"/>
        <v>#DIV/0!</v>
      </c>
    </row>
    <row r="662" spans="1:18" s="4" customFormat="1" ht="15" hidden="1" customHeight="1">
      <c r="A662" s="64"/>
      <c r="B662" s="7">
        <f t="shared" si="171"/>
        <v>72</v>
      </c>
      <c r="C662" s="7"/>
      <c r="D662" s="7"/>
      <c r="E662" s="7"/>
      <c r="F662" s="7"/>
      <c r="G662" s="7"/>
      <c r="H662" s="91"/>
      <c r="I662" s="115"/>
      <c r="J662" s="116"/>
      <c r="K662" s="116"/>
      <c r="L662" s="116"/>
      <c r="M662" s="129"/>
      <c r="N662" s="129" t="e">
        <f t="shared" si="167"/>
        <v>#DIV/0!</v>
      </c>
      <c r="O662" s="129" t="e">
        <f t="shared" si="168"/>
        <v>#DIV/0!</v>
      </c>
      <c r="P662" s="114" t="e">
        <f t="shared" si="169"/>
        <v>#DIV/0!</v>
      </c>
      <c r="Q662" s="7" t="e">
        <f t="shared" si="170"/>
        <v>#DIV/0!</v>
      </c>
      <c r="R662" s="5" t="e">
        <f t="shared" si="156"/>
        <v>#DIV/0!</v>
      </c>
    </row>
    <row r="663" spans="1:18" s="4" customFormat="1" ht="15" hidden="1" customHeight="1">
      <c r="A663" s="64"/>
      <c r="B663" s="7">
        <f t="shared" si="171"/>
        <v>73</v>
      </c>
      <c r="C663" s="7"/>
      <c r="D663" s="7"/>
      <c r="E663" s="7"/>
      <c r="F663" s="7"/>
      <c r="G663" s="7"/>
      <c r="H663" s="91"/>
      <c r="I663" s="115"/>
      <c r="J663" s="116"/>
      <c r="K663" s="116"/>
      <c r="L663" s="116"/>
      <c r="M663" s="129"/>
      <c r="N663" s="129" t="e">
        <f t="shared" si="167"/>
        <v>#DIV/0!</v>
      </c>
      <c r="O663" s="129" t="e">
        <f t="shared" si="168"/>
        <v>#DIV/0!</v>
      </c>
      <c r="P663" s="114" t="e">
        <f t="shared" si="169"/>
        <v>#DIV/0!</v>
      </c>
      <c r="Q663" s="7" t="e">
        <f t="shared" si="170"/>
        <v>#DIV/0!</v>
      </c>
      <c r="R663" s="5" t="e">
        <f t="shared" si="156"/>
        <v>#DIV/0!</v>
      </c>
    </row>
    <row r="664" spans="1:18" s="4" customFormat="1" ht="15" hidden="1" customHeight="1">
      <c r="A664" s="64"/>
      <c r="B664" s="7">
        <f t="shared" si="171"/>
        <v>74</v>
      </c>
      <c r="C664" s="7"/>
      <c r="D664" s="7"/>
      <c r="E664" s="7"/>
      <c r="F664" s="7"/>
      <c r="G664" s="7"/>
      <c r="H664" s="91"/>
      <c r="I664" s="115"/>
      <c r="J664" s="116"/>
      <c r="K664" s="116"/>
      <c r="L664" s="116"/>
      <c r="M664" s="129"/>
      <c r="N664" s="129" t="e">
        <f t="shared" si="167"/>
        <v>#DIV/0!</v>
      </c>
      <c r="O664" s="129" t="e">
        <f t="shared" si="168"/>
        <v>#DIV/0!</v>
      </c>
      <c r="P664" s="114" t="e">
        <f t="shared" si="169"/>
        <v>#DIV/0!</v>
      </c>
      <c r="Q664" s="7" t="e">
        <f t="shared" si="170"/>
        <v>#DIV/0!</v>
      </c>
      <c r="R664" s="5" t="e">
        <f t="shared" si="156"/>
        <v>#DIV/0!</v>
      </c>
    </row>
    <row r="665" spans="1:18" s="4" customFormat="1" ht="15" hidden="1" customHeight="1">
      <c r="A665" s="64"/>
      <c r="B665" s="7">
        <f t="shared" si="171"/>
        <v>75</v>
      </c>
      <c r="C665" s="7"/>
      <c r="D665" s="7"/>
      <c r="E665" s="7"/>
      <c r="F665" s="7"/>
      <c r="G665" s="7"/>
      <c r="H665" s="91"/>
      <c r="I665" s="115"/>
      <c r="J665" s="116"/>
      <c r="K665" s="116"/>
      <c r="L665" s="116"/>
      <c r="M665" s="129"/>
      <c r="N665" s="129" t="e">
        <f t="shared" si="167"/>
        <v>#DIV/0!</v>
      </c>
      <c r="O665" s="129" t="e">
        <f t="shared" si="168"/>
        <v>#DIV/0!</v>
      </c>
      <c r="P665" s="114" t="e">
        <f t="shared" si="169"/>
        <v>#DIV/0!</v>
      </c>
      <c r="Q665" s="7" t="e">
        <f t="shared" si="170"/>
        <v>#DIV/0!</v>
      </c>
      <c r="R665" s="5" t="e">
        <f t="shared" si="156"/>
        <v>#DIV/0!</v>
      </c>
    </row>
    <row r="666" spans="1:18" s="4" customFormat="1" ht="15" hidden="1" customHeight="1">
      <c r="A666" s="64"/>
      <c r="B666" s="7">
        <f t="shared" si="171"/>
        <v>76</v>
      </c>
      <c r="C666" s="7"/>
      <c r="D666" s="7"/>
      <c r="E666" s="7"/>
      <c r="F666" s="7"/>
      <c r="G666" s="7"/>
      <c r="H666" s="91"/>
      <c r="I666" s="115"/>
      <c r="J666" s="116"/>
      <c r="K666" s="116"/>
      <c r="L666" s="116"/>
      <c r="M666" s="129"/>
      <c r="N666" s="129" t="e">
        <f t="shared" si="167"/>
        <v>#DIV/0!</v>
      </c>
      <c r="O666" s="129" t="e">
        <f t="shared" si="168"/>
        <v>#DIV/0!</v>
      </c>
      <c r="P666" s="114" t="e">
        <f t="shared" si="169"/>
        <v>#DIV/0!</v>
      </c>
      <c r="Q666" s="7" t="e">
        <f t="shared" si="170"/>
        <v>#DIV/0!</v>
      </c>
      <c r="R666" s="5" t="e">
        <f t="shared" si="156"/>
        <v>#DIV/0!</v>
      </c>
    </row>
    <row r="667" spans="1:18" s="4" customFormat="1" ht="15" hidden="1" customHeight="1">
      <c r="A667" s="64"/>
      <c r="B667" s="7">
        <f t="shared" si="171"/>
        <v>77</v>
      </c>
      <c r="C667" s="7"/>
      <c r="D667" s="7"/>
      <c r="E667" s="7"/>
      <c r="F667" s="7"/>
      <c r="G667" s="7"/>
      <c r="H667" s="91"/>
      <c r="I667" s="115"/>
      <c r="J667" s="116"/>
      <c r="K667" s="116"/>
      <c r="L667" s="116"/>
      <c r="M667" s="129"/>
      <c r="N667" s="129" t="e">
        <f t="shared" si="167"/>
        <v>#DIV/0!</v>
      </c>
      <c r="O667" s="129" t="e">
        <f t="shared" si="168"/>
        <v>#DIV/0!</v>
      </c>
      <c r="P667" s="114" t="e">
        <f t="shared" si="169"/>
        <v>#DIV/0!</v>
      </c>
      <c r="Q667" s="7" t="e">
        <f t="shared" si="170"/>
        <v>#DIV/0!</v>
      </c>
      <c r="R667" s="5" t="e">
        <f t="shared" si="156"/>
        <v>#DIV/0!</v>
      </c>
    </row>
    <row r="668" spans="1:18" s="4" customFormat="1" ht="15" hidden="1" customHeight="1">
      <c r="A668" s="64"/>
      <c r="B668" s="7">
        <f t="shared" si="171"/>
        <v>78</v>
      </c>
      <c r="C668" s="7"/>
      <c r="D668" s="7"/>
      <c r="E668" s="7"/>
      <c r="F668" s="7"/>
      <c r="G668" s="7"/>
      <c r="H668" s="91"/>
      <c r="I668" s="115"/>
      <c r="J668" s="116"/>
      <c r="K668" s="116"/>
      <c r="L668" s="116"/>
      <c r="M668" s="129"/>
      <c r="N668" s="129" t="e">
        <f t="shared" si="167"/>
        <v>#DIV/0!</v>
      </c>
      <c r="O668" s="129" t="e">
        <f t="shared" si="168"/>
        <v>#DIV/0!</v>
      </c>
      <c r="P668" s="114" t="e">
        <f t="shared" si="169"/>
        <v>#DIV/0!</v>
      </c>
      <c r="Q668" s="7" t="e">
        <f t="shared" si="170"/>
        <v>#DIV/0!</v>
      </c>
      <c r="R668" s="5" t="e">
        <f t="shared" si="156"/>
        <v>#DIV/0!</v>
      </c>
    </row>
    <row r="669" spans="1:18" s="4" customFormat="1" ht="15" hidden="1" customHeight="1">
      <c r="A669" s="64"/>
      <c r="B669" s="7">
        <f t="shared" si="171"/>
        <v>79</v>
      </c>
      <c r="C669" s="7"/>
      <c r="D669" s="7"/>
      <c r="E669" s="7"/>
      <c r="F669" s="7"/>
      <c r="G669" s="7"/>
      <c r="H669" s="91"/>
      <c r="I669" s="115"/>
      <c r="J669" s="116"/>
      <c r="K669" s="116"/>
      <c r="L669" s="116"/>
      <c r="M669" s="129"/>
      <c r="N669" s="129" t="e">
        <f t="shared" si="167"/>
        <v>#DIV/0!</v>
      </c>
      <c r="O669" s="129" t="e">
        <f t="shared" si="168"/>
        <v>#DIV/0!</v>
      </c>
      <c r="P669" s="114" t="e">
        <f t="shared" si="169"/>
        <v>#DIV/0!</v>
      </c>
      <c r="Q669" s="7" t="e">
        <f t="shared" si="170"/>
        <v>#DIV/0!</v>
      </c>
      <c r="R669" s="5" t="e">
        <f t="shared" si="156"/>
        <v>#DIV/0!</v>
      </c>
    </row>
    <row r="670" spans="1:18" s="4" customFormat="1" ht="15" hidden="1" customHeight="1">
      <c r="A670" s="64"/>
      <c r="B670" s="7">
        <f t="shared" si="171"/>
        <v>80</v>
      </c>
      <c r="C670" s="7"/>
      <c r="D670" s="7"/>
      <c r="E670" s="7"/>
      <c r="F670" s="7"/>
      <c r="G670" s="7"/>
      <c r="H670" s="91"/>
      <c r="I670" s="115"/>
      <c r="J670" s="116"/>
      <c r="K670" s="116"/>
      <c r="L670" s="116"/>
      <c r="M670" s="129"/>
      <c r="N670" s="129" t="e">
        <f t="shared" si="167"/>
        <v>#DIV/0!</v>
      </c>
      <c r="O670" s="129" t="e">
        <f t="shared" si="168"/>
        <v>#DIV/0!</v>
      </c>
      <c r="P670" s="114" t="e">
        <f t="shared" si="169"/>
        <v>#DIV/0!</v>
      </c>
      <c r="Q670" s="7" t="e">
        <f t="shared" si="170"/>
        <v>#DIV/0!</v>
      </c>
      <c r="R670" s="5" t="e">
        <f t="shared" si="156"/>
        <v>#DIV/0!</v>
      </c>
    </row>
    <row r="671" spans="1:18" s="4" customFormat="1" ht="15" hidden="1" customHeight="1">
      <c r="A671" s="64"/>
      <c r="B671" s="7">
        <f t="shared" si="171"/>
        <v>81</v>
      </c>
      <c r="C671" s="7"/>
      <c r="D671" s="7"/>
      <c r="E671" s="7"/>
      <c r="F671" s="7"/>
      <c r="G671" s="7"/>
      <c r="H671" s="91"/>
      <c r="I671" s="115"/>
      <c r="J671" s="116"/>
      <c r="K671" s="116"/>
      <c r="L671" s="116"/>
      <c r="M671" s="129"/>
      <c r="N671" s="129" t="e">
        <f t="shared" si="167"/>
        <v>#DIV/0!</v>
      </c>
      <c r="O671" s="129" t="e">
        <f t="shared" si="168"/>
        <v>#DIV/0!</v>
      </c>
      <c r="P671" s="114" t="e">
        <f t="shared" si="169"/>
        <v>#DIV/0!</v>
      </c>
      <c r="Q671" s="7" t="e">
        <f t="shared" si="170"/>
        <v>#DIV/0!</v>
      </c>
      <c r="R671" s="5" t="e">
        <f t="shared" si="156"/>
        <v>#DIV/0!</v>
      </c>
    </row>
    <row r="672" spans="1:18" s="4" customFormat="1" ht="15" hidden="1" customHeight="1">
      <c r="A672" s="64"/>
      <c r="B672" s="7">
        <f t="shared" si="171"/>
        <v>82</v>
      </c>
      <c r="C672" s="7"/>
      <c r="D672" s="7"/>
      <c r="E672" s="7"/>
      <c r="F672" s="7"/>
      <c r="G672" s="7"/>
      <c r="H672" s="91"/>
      <c r="I672" s="115"/>
      <c r="J672" s="116"/>
      <c r="K672" s="116"/>
      <c r="L672" s="116"/>
      <c r="M672" s="129"/>
      <c r="N672" s="129" t="e">
        <f t="shared" si="167"/>
        <v>#DIV/0!</v>
      </c>
      <c r="O672" s="129" t="e">
        <f t="shared" si="168"/>
        <v>#DIV/0!</v>
      </c>
      <c r="P672" s="114" t="e">
        <f t="shared" si="169"/>
        <v>#DIV/0!</v>
      </c>
      <c r="Q672" s="7" t="e">
        <f t="shared" si="170"/>
        <v>#DIV/0!</v>
      </c>
      <c r="R672" s="5" t="e">
        <f t="shared" si="156"/>
        <v>#DIV/0!</v>
      </c>
    </row>
    <row r="673" spans="1:18" s="4" customFormat="1" ht="15" hidden="1" customHeight="1">
      <c r="A673" s="64"/>
      <c r="B673" s="7">
        <f t="shared" si="171"/>
        <v>83</v>
      </c>
      <c r="C673" s="7"/>
      <c r="D673" s="7"/>
      <c r="E673" s="7"/>
      <c r="F673" s="7"/>
      <c r="G673" s="7"/>
      <c r="H673" s="91"/>
      <c r="I673" s="115"/>
      <c r="J673" s="116"/>
      <c r="K673" s="116"/>
      <c r="L673" s="116"/>
      <c r="M673" s="129"/>
      <c r="N673" s="129" t="e">
        <f t="shared" si="167"/>
        <v>#DIV/0!</v>
      </c>
      <c r="O673" s="129" t="e">
        <f t="shared" si="168"/>
        <v>#DIV/0!</v>
      </c>
      <c r="P673" s="114" t="e">
        <f t="shared" si="169"/>
        <v>#DIV/0!</v>
      </c>
      <c r="Q673" s="7" t="e">
        <f t="shared" si="170"/>
        <v>#DIV/0!</v>
      </c>
      <c r="R673" s="5" t="e">
        <f t="shared" si="156"/>
        <v>#DIV/0!</v>
      </c>
    </row>
    <row r="674" spans="1:18" s="4" customFormat="1" ht="15" hidden="1" customHeight="1">
      <c r="A674" s="64"/>
      <c r="B674" s="7">
        <f t="shared" si="171"/>
        <v>84</v>
      </c>
      <c r="C674" s="7"/>
      <c r="D674" s="7"/>
      <c r="E674" s="7"/>
      <c r="F674" s="7"/>
      <c r="G674" s="7"/>
      <c r="H674" s="91"/>
      <c r="I674" s="115"/>
      <c r="J674" s="116"/>
      <c r="K674" s="116"/>
      <c r="L674" s="116"/>
      <c r="M674" s="129"/>
      <c r="N674" s="129" t="e">
        <f t="shared" si="167"/>
        <v>#DIV/0!</v>
      </c>
      <c r="O674" s="129" t="e">
        <f t="shared" si="168"/>
        <v>#DIV/0!</v>
      </c>
      <c r="P674" s="114" t="e">
        <f t="shared" si="169"/>
        <v>#DIV/0!</v>
      </c>
      <c r="Q674" s="7" t="e">
        <f t="shared" si="170"/>
        <v>#DIV/0!</v>
      </c>
      <c r="R674" s="5" t="e">
        <f t="shared" si="156"/>
        <v>#DIV/0!</v>
      </c>
    </row>
    <row r="675" spans="1:18" s="4" customFormat="1" ht="15" hidden="1" customHeight="1">
      <c r="A675" s="64"/>
      <c r="B675" s="7">
        <f t="shared" si="171"/>
        <v>85</v>
      </c>
      <c r="C675" s="7"/>
      <c r="D675" s="7"/>
      <c r="E675" s="7"/>
      <c r="F675" s="7"/>
      <c r="G675" s="7"/>
      <c r="H675" s="91"/>
      <c r="I675" s="115"/>
      <c r="J675" s="116"/>
      <c r="K675" s="116"/>
      <c r="L675" s="116"/>
      <c r="M675" s="129"/>
      <c r="N675" s="129" t="e">
        <f t="shared" si="167"/>
        <v>#DIV/0!</v>
      </c>
      <c r="O675" s="129" t="e">
        <f t="shared" si="168"/>
        <v>#DIV/0!</v>
      </c>
      <c r="P675" s="114" t="e">
        <f t="shared" si="169"/>
        <v>#DIV/0!</v>
      </c>
      <c r="Q675" s="7" t="e">
        <f t="shared" si="170"/>
        <v>#DIV/0!</v>
      </c>
      <c r="R675" s="5" t="e">
        <f t="shared" si="156"/>
        <v>#DIV/0!</v>
      </c>
    </row>
    <row r="676" spans="1:18" s="4" customFormat="1" ht="15" hidden="1" customHeight="1">
      <c r="A676" s="64"/>
      <c r="B676" s="7">
        <f t="shared" si="171"/>
        <v>86</v>
      </c>
      <c r="C676" s="7"/>
      <c r="D676" s="7"/>
      <c r="E676" s="7"/>
      <c r="F676" s="7"/>
      <c r="G676" s="7"/>
      <c r="H676" s="91"/>
      <c r="I676" s="115"/>
      <c r="J676" s="116"/>
      <c r="K676" s="116"/>
      <c r="L676" s="116"/>
      <c r="M676" s="129"/>
      <c r="N676" s="129" t="e">
        <f t="shared" si="167"/>
        <v>#DIV/0!</v>
      </c>
      <c r="O676" s="129" t="e">
        <f t="shared" si="168"/>
        <v>#DIV/0!</v>
      </c>
      <c r="P676" s="114" t="e">
        <f t="shared" si="169"/>
        <v>#DIV/0!</v>
      </c>
      <c r="Q676" s="7" t="e">
        <f t="shared" si="170"/>
        <v>#DIV/0!</v>
      </c>
      <c r="R676" s="5" t="e">
        <f t="shared" si="156"/>
        <v>#DIV/0!</v>
      </c>
    </row>
    <row r="677" spans="1:18" s="4" customFormat="1" ht="15" hidden="1" customHeight="1">
      <c r="A677" s="64"/>
      <c r="B677" s="7">
        <f t="shared" si="171"/>
        <v>87</v>
      </c>
      <c r="C677" s="7"/>
      <c r="D677" s="7"/>
      <c r="E677" s="7"/>
      <c r="F677" s="7"/>
      <c r="G677" s="7"/>
      <c r="H677" s="91"/>
      <c r="I677" s="115"/>
      <c r="J677" s="116"/>
      <c r="K677" s="116"/>
      <c r="L677" s="116"/>
      <c r="M677" s="129"/>
      <c r="N677" s="129" t="e">
        <f t="shared" si="167"/>
        <v>#DIV/0!</v>
      </c>
      <c r="O677" s="129" t="e">
        <f t="shared" si="168"/>
        <v>#DIV/0!</v>
      </c>
      <c r="P677" s="114" t="e">
        <f t="shared" si="169"/>
        <v>#DIV/0!</v>
      </c>
      <c r="Q677" s="7" t="e">
        <f t="shared" si="170"/>
        <v>#DIV/0!</v>
      </c>
      <c r="R677" s="5" t="e">
        <f t="shared" si="156"/>
        <v>#DIV/0!</v>
      </c>
    </row>
    <row r="678" spans="1:18" s="4" customFormat="1" ht="15" hidden="1" customHeight="1">
      <c r="A678" s="64"/>
      <c r="B678" s="7">
        <f t="shared" si="171"/>
        <v>88</v>
      </c>
      <c r="C678" s="7"/>
      <c r="D678" s="7"/>
      <c r="E678" s="7"/>
      <c r="F678" s="7"/>
      <c r="G678" s="7"/>
      <c r="H678" s="91"/>
      <c r="I678" s="115"/>
      <c r="J678" s="116"/>
      <c r="K678" s="116"/>
      <c r="L678" s="116"/>
      <c r="M678" s="129"/>
      <c r="N678" s="129" t="e">
        <f t="shared" si="167"/>
        <v>#DIV/0!</v>
      </c>
      <c r="O678" s="129" t="e">
        <f t="shared" si="168"/>
        <v>#DIV/0!</v>
      </c>
      <c r="P678" s="114" t="e">
        <f t="shared" si="169"/>
        <v>#DIV/0!</v>
      </c>
      <c r="Q678" s="7" t="e">
        <f t="shared" si="170"/>
        <v>#DIV/0!</v>
      </c>
      <c r="R678" s="5" t="e">
        <f t="shared" si="156"/>
        <v>#DIV/0!</v>
      </c>
    </row>
    <row r="679" spans="1:18" s="4" customFormat="1" ht="15" hidden="1" customHeight="1">
      <c r="A679" s="64"/>
      <c r="B679" s="7">
        <f t="shared" si="171"/>
        <v>89</v>
      </c>
      <c r="C679" s="7"/>
      <c r="D679" s="7"/>
      <c r="E679" s="7"/>
      <c r="F679" s="7"/>
      <c r="G679" s="7"/>
      <c r="H679" s="91"/>
      <c r="I679" s="115"/>
      <c r="J679" s="116"/>
      <c r="K679" s="116"/>
      <c r="L679" s="116"/>
      <c r="M679" s="129"/>
      <c r="N679" s="129" t="e">
        <f t="shared" si="167"/>
        <v>#DIV/0!</v>
      </c>
      <c r="O679" s="129" t="e">
        <f t="shared" si="168"/>
        <v>#DIV/0!</v>
      </c>
      <c r="P679" s="114" t="e">
        <f t="shared" si="169"/>
        <v>#DIV/0!</v>
      </c>
      <c r="Q679" s="7" t="e">
        <f t="shared" si="170"/>
        <v>#DIV/0!</v>
      </c>
      <c r="R679" s="5" t="e">
        <f t="shared" si="156"/>
        <v>#DIV/0!</v>
      </c>
    </row>
    <row r="680" spans="1:18" s="4" customFormat="1" ht="15" hidden="1" customHeight="1">
      <c r="A680" s="64"/>
      <c r="B680" s="7">
        <f t="shared" si="171"/>
        <v>90</v>
      </c>
      <c r="C680" s="7"/>
      <c r="D680" s="7"/>
      <c r="E680" s="7"/>
      <c r="F680" s="7"/>
      <c r="G680" s="7"/>
      <c r="H680" s="91"/>
      <c r="I680" s="115"/>
      <c r="J680" s="116"/>
      <c r="K680" s="116"/>
      <c r="L680" s="116"/>
      <c r="M680" s="129"/>
      <c r="N680" s="129"/>
      <c r="O680" s="129"/>
      <c r="P680" s="114"/>
      <c r="Q680" s="7"/>
      <c r="R680" s="5" t="b">
        <f t="shared" si="156"/>
        <v>0</v>
      </c>
    </row>
    <row r="681" spans="1:18" s="4" customFormat="1" ht="15" hidden="1" customHeight="1">
      <c r="A681" s="64"/>
      <c r="B681" s="7">
        <f t="shared" si="171"/>
        <v>91</v>
      </c>
      <c r="C681" s="7"/>
      <c r="D681" s="7"/>
      <c r="E681" s="7"/>
      <c r="F681" s="7"/>
      <c r="G681" s="7"/>
      <c r="H681" s="91"/>
      <c r="I681" s="115"/>
      <c r="J681" s="116"/>
      <c r="K681" s="116"/>
      <c r="L681" s="116"/>
      <c r="M681" s="129"/>
      <c r="N681" s="129"/>
      <c r="O681" s="129"/>
      <c r="P681" s="114"/>
      <c r="Q681" s="7"/>
      <c r="R681" s="5" t="b">
        <f t="shared" si="156"/>
        <v>0</v>
      </c>
    </row>
    <row r="682" spans="1:18" s="4" customFormat="1" ht="15" hidden="1" customHeight="1">
      <c r="A682" s="64"/>
      <c r="B682" s="7">
        <f t="shared" si="171"/>
        <v>92</v>
      </c>
      <c r="C682" s="7"/>
      <c r="D682" s="7"/>
      <c r="E682" s="7"/>
      <c r="F682" s="7"/>
      <c r="G682" s="7"/>
      <c r="H682" s="91"/>
      <c r="I682" s="115"/>
      <c r="J682" s="116"/>
      <c r="K682" s="116"/>
      <c r="L682" s="116"/>
      <c r="M682" s="129"/>
      <c r="N682" s="129" t="e">
        <f t="shared" ref="N682:N743" si="172">+K682/(K682+L682)</f>
        <v>#DIV/0!</v>
      </c>
      <c r="O682" s="129" t="e">
        <f t="shared" ref="O682:O743" si="173">+(K682+M682)/(K682+L682+M682)</f>
        <v>#DIV/0!</v>
      </c>
      <c r="P682" s="114" t="e">
        <f t="shared" ref="P682:P743" si="174">+K682/(K682+M682)</f>
        <v>#DIV/0!</v>
      </c>
      <c r="Q682" s="7" t="e">
        <f t="shared" ref="Q682:Q743" si="175">+J682/K682</f>
        <v>#DIV/0!</v>
      </c>
      <c r="R682" s="5" t="e">
        <f t="shared" si="156"/>
        <v>#DIV/0!</v>
      </c>
    </row>
    <row r="683" spans="1:18" s="4" customFormat="1" ht="15" hidden="1" customHeight="1">
      <c r="A683" s="64"/>
      <c r="B683" s="7">
        <f t="shared" si="171"/>
        <v>93</v>
      </c>
      <c r="C683" s="7"/>
      <c r="D683" s="7"/>
      <c r="E683" s="7"/>
      <c r="F683" s="7"/>
      <c r="G683" s="7"/>
      <c r="H683" s="91"/>
      <c r="I683" s="115"/>
      <c r="J683" s="116"/>
      <c r="K683" s="116"/>
      <c r="L683" s="116"/>
      <c r="M683" s="129"/>
      <c r="N683" s="129" t="e">
        <f t="shared" si="172"/>
        <v>#DIV/0!</v>
      </c>
      <c r="O683" s="129" t="e">
        <f t="shared" si="173"/>
        <v>#DIV/0!</v>
      </c>
      <c r="P683" s="114" t="e">
        <f t="shared" si="174"/>
        <v>#DIV/0!</v>
      </c>
      <c r="Q683" s="7" t="e">
        <f t="shared" si="175"/>
        <v>#DIV/0!</v>
      </c>
      <c r="R683" s="5" t="e">
        <f t="shared" si="156"/>
        <v>#DIV/0!</v>
      </c>
    </row>
    <row r="684" spans="1:18" s="4" customFormat="1" ht="15" hidden="1" customHeight="1">
      <c r="A684" s="64"/>
      <c r="B684" s="7">
        <f t="shared" si="171"/>
        <v>94</v>
      </c>
      <c r="C684" s="7"/>
      <c r="D684" s="7"/>
      <c r="E684" s="7"/>
      <c r="F684" s="7"/>
      <c r="G684" s="7"/>
      <c r="H684" s="91"/>
      <c r="I684" s="115"/>
      <c r="J684" s="116"/>
      <c r="K684" s="116"/>
      <c r="L684" s="116"/>
      <c r="M684" s="129"/>
      <c r="N684" s="129" t="e">
        <f t="shared" si="172"/>
        <v>#DIV/0!</v>
      </c>
      <c r="O684" s="129" t="e">
        <f t="shared" si="173"/>
        <v>#DIV/0!</v>
      </c>
      <c r="P684" s="114" t="e">
        <f t="shared" si="174"/>
        <v>#DIV/0!</v>
      </c>
      <c r="Q684" s="7" t="e">
        <f t="shared" si="175"/>
        <v>#DIV/0!</v>
      </c>
      <c r="R684" s="5" t="e">
        <f t="shared" si="156"/>
        <v>#DIV/0!</v>
      </c>
    </row>
    <row r="685" spans="1:18" s="4" customFormat="1" ht="15" hidden="1" customHeight="1">
      <c r="A685" s="64"/>
      <c r="B685" s="7">
        <f t="shared" si="171"/>
        <v>95</v>
      </c>
      <c r="C685" s="7"/>
      <c r="D685" s="7"/>
      <c r="E685" s="7"/>
      <c r="F685" s="7"/>
      <c r="G685" s="7"/>
      <c r="H685" s="91"/>
      <c r="I685" s="115"/>
      <c r="J685" s="116"/>
      <c r="K685" s="116"/>
      <c r="L685" s="116"/>
      <c r="M685" s="129"/>
      <c r="N685" s="129" t="e">
        <f t="shared" si="172"/>
        <v>#DIV/0!</v>
      </c>
      <c r="O685" s="129" t="e">
        <f t="shared" si="173"/>
        <v>#DIV/0!</v>
      </c>
      <c r="P685" s="114" t="e">
        <f t="shared" si="174"/>
        <v>#DIV/0!</v>
      </c>
      <c r="Q685" s="7" t="e">
        <f t="shared" si="175"/>
        <v>#DIV/0!</v>
      </c>
      <c r="R685" s="5" t="e">
        <f t="shared" si="156"/>
        <v>#DIV/0!</v>
      </c>
    </row>
    <row r="686" spans="1:18" s="4" customFormat="1" ht="15" hidden="1" customHeight="1">
      <c r="A686" s="64"/>
      <c r="B686" s="7">
        <f t="shared" si="171"/>
        <v>96</v>
      </c>
      <c r="C686" s="7"/>
      <c r="D686" s="7"/>
      <c r="E686" s="7"/>
      <c r="F686" s="7"/>
      <c r="G686" s="7"/>
      <c r="H686" s="91"/>
      <c r="I686" s="115"/>
      <c r="J686" s="116"/>
      <c r="K686" s="116"/>
      <c r="L686" s="116"/>
      <c r="M686" s="129"/>
      <c r="N686" s="129" t="e">
        <f t="shared" si="172"/>
        <v>#DIV/0!</v>
      </c>
      <c r="O686" s="129" t="e">
        <f t="shared" si="173"/>
        <v>#DIV/0!</v>
      </c>
      <c r="P686" s="114" t="e">
        <f t="shared" si="174"/>
        <v>#DIV/0!</v>
      </c>
      <c r="Q686" s="7" t="e">
        <f t="shared" si="175"/>
        <v>#DIV/0!</v>
      </c>
      <c r="R686" s="5" t="e">
        <f t="shared" si="156"/>
        <v>#DIV/0!</v>
      </c>
    </row>
    <row r="687" spans="1:18" s="4" customFormat="1" ht="15" hidden="1" customHeight="1">
      <c r="A687" s="64"/>
      <c r="B687" s="7">
        <f t="shared" si="171"/>
        <v>97</v>
      </c>
      <c r="C687" s="7"/>
      <c r="D687" s="7"/>
      <c r="E687" s="7"/>
      <c r="F687" s="7"/>
      <c r="G687" s="7"/>
      <c r="H687" s="91"/>
      <c r="I687" s="115"/>
      <c r="J687" s="116"/>
      <c r="K687" s="116"/>
      <c r="L687" s="116"/>
      <c r="M687" s="129"/>
      <c r="N687" s="129" t="e">
        <f t="shared" si="172"/>
        <v>#DIV/0!</v>
      </c>
      <c r="O687" s="129" t="e">
        <f t="shared" si="173"/>
        <v>#DIV/0!</v>
      </c>
      <c r="P687" s="114" t="e">
        <f t="shared" si="174"/>
        <v>#DIV/0!</v>
      </c>
      <c r="Q687" s="7" t="e">
        <f t="shared" si="175"/>
        <v>#DIV/0!</v>
      </c>
      <c r="R687" s="5" t="e">
        <f t="shared" si="156"/>
        <v>#DIV/0!</v>
      </c>
    </row>
    <row r="688" spans="1:18" s="4" customFormat="1" ht="15" hidden="1" customHeight="1">
      <c r="A688" s="64"/>
      <c r="B688" s="7">
        <f t="shared" si="171"/>
        <v>98</v>
      </c>
      <c r="C688" s="7"/>
      <c r="D688" s="7"/>
      <c r="E688" s="7"/>
      <c r="F688" s="7"/>
      <c r="G688" s="7"/>
      <c r="H688" s="91"/>
      <c r="I688" s="115"/>
      <c r="J688" s="116"/>
      <c r="K688" s="116"/>
      <c r="L688" s="116"/>
      <c r="M688" s="129"/>
      <c r="N688" s="129" t="e">
        <f t="shared" si="172"/>
        <v>#DIV/0!</v>
      </c>
      <c r="O688" s="129" t="e">
        <f t="shared" si="173"/>
        <v>#DIV/0!</v>
      </c>
      <c r="P688" s="114" t="e">
        <f t="shared" si="174"/>
        <v>#DIV/0!</v>
      </c>
      <c r="Q688" s="7" t="e">
        <f t="shared" si="175"/>
        <v>#DIV/0!</v>
      </c>
      <c r="R688" s="5" t="e">
        <f t="shared" si="156"/>
        <v>#DIV/0!</v>
      </c>
    </row>
    <row r="689" spans="1:18" s="4" customFormat="1" ht="15" hidden="1" customHeight="1">
      <c r="A689" s="64"/>
      <c r="B689" s="7">
        <f t="shared" si="171"/>
        <v>99</v>
      </c>
      <c r="C689" s="7"/>
      <c r="D689" s="7"/>
      <c r="E689" s="7"/>
      <c r="F689" s="7"/>
      <c r="G689" s="7"/>
      <c r="H689" s="91"/>
      <c r="I689" s="115"/>
      <c r="J689" s="116"/>
      <c r="K689" s="116"/>
      <c r="L689" s="116"/>
      <c r="M689" s="129"/>
      <c r="N689" s="129" t="e">
        <f t="shared" si="172"/>
        <v>#DIV/0!</v>
      </c>
      <c r="O689" s="129" t="e">
        <f t="shared" si="173"/>
        <v>#DIV/0!</v>
      </c>
      <c r="P689" s="114" t="e">
        <f t="shared" si="174"/>
        <v>#DIV/0!</v>
      </c>
      <c r="Q689" s="7" t="e">
        <f t="shared" si="175"/>
        <v>#DIV/0!</v>
      </c>
      <c r="R689" s="5" t="e">
        <f t="shared" si="156"/>
        <v>#DIV/0!</v>
      </c>
    </row>
    <row r="690" spans="1:18" s="4" customFormat="1" ht="15" hidden="1" customHeight="1">
      <c r="A690" s="64"/>
      <c r="B690" s="7">
        <f t="shared" si="171"/>
        <v>100</v>
      </c>
      <c r="C690" s="7"/>
      <c r="D690" s="7"/>
      <c r="E690" s="7"/>
      <c r="F690" s="7"/>
      <c r="G690" s="7"/>
      <c r="H690" s="91"/>
      <c r="I690" s="115"/>
      <c r="J690" s="116"/>
      <c r="K690" s="116"/>
      <c r="L690" s="116"/>
      <c r="M690" s="129"/>
      <c r="N690" s="129" t="e">
        <f t="shared" si="172"/>
        <v>#DIV/0!</v>
      </c>
      <c r="O690" s="129" t="e">
        <f t="shared" si="173"/>
        <v>#DIV/0!</v>
      </c>
      <c r="P690" s="114" t="e">
        <f t="shared" si="174"/>
        <v>#DIV/0!</v>
      </c>
      <c r="Q690" s="7" t="e">
        <f t="shared" si="175"/>
        <v>#DIV/0!</v>
      </c>
      <c r="R690" s="5" t="e">
        <f t="shared" si="156"/>
        <v>#DIV/0!</v>
      </c>
    </row>
    <row r="691" spans="1:18" s="4" customFormat="1" ht="15" hidden="1" customHeight="1">
      <c r="A691" s="64"/>
      <c r="B691" s="7">
        <f t="shared" si="171"/>
        <v>101</v>
      </c>
      <c r="C691" s="7"/>
      <c r="D691" s="7"/>
      <c r="E691" s="7"/>
      <c r="F691" s="7"/>
      <c r="G691" s="7"/>
      <c r="H691" s="91"/>
      <c r="I691" s="115"/>
      <c r="J691" s="116"/>
      <c r="K691" s="116"/>
      <c r="L691" s="116"/>
      <c r="M691" s="129"/>
      <c r="N691" s="129" t="e">
        <f t="shared" si="172"/>
        <v>#DIV/0!</v>
      </c>
      <c r="O691" s="129" t="e">
        <f t="shared" si="173"/>
        <v>#DIV/0!</v>
      </c>
      <c r="P691" s="114" t="e">
        <f t="shared" si="174"/>
        <v>#DIV/0!</v>
      </c>
      <c r="Q691" s="7" t="e">
        <f t="shared" si="175"/>
        <v>#DIV/0!</v>
      </c>
      <c r="R691" s="5" t="e">
        <f t="shared" si="156"/>
        <v>#DIV/0!</v>
      </c>
    </row>
    <row r="692" spans="1:18" s="4" customFormat="1" ht="15" hidden="1" customHeight="1">
      <c r="A692" s="64"/>
      <c r="B692" s="7">
        <f t="shared" si="171"/>
        <v>102</v>
      </c>
      <c r="C692" s="7"/>
      <c r="D692" s="7"/>
      <c r="E692" s="7"/>
      <c r="F692" s="7"/>
      <c r="G692" s="7"/>
      <c r="H692" s="91"/>
      <c r="I692" s="115"/>
      <c r="J692" s="116"/>
      <c r="K692" s="116"/>
      <c r="L692" s="116"/>
      <c r="M692" s="129"/>
      <c r="N692" s="129" t="e">
        <f t="shared" si="172"/>
        <v>#DIV/0!</v>
      </c>
      <c r="O692" s="129" t="e">
        <f t="shared" si="173"/>
        <v>#DIV/0!</v>
      </c>
      <c r="P692" s="114" t="e">
        <f t="shared" si="174"/>
        <v>#DIV/0!</v>
      </c>
      <c r="Q692" s="7" t="e">
        <f t="shared" si="175"/>
        <v>#DIV/0!</v>
      </c>
      <c r="R692" s="5" t="e">
        <f t="shared" si="156"/>
        <v>#DIV/0!</v>
      </c>
    </row>
    <row r="693" spans="1:18" s="4" customFormat="1" ht="15" hidden="1" customHeight="1">
      <c r="A693" s="64"/>
      <c r="B693" s="7">
        <f t="shared" si="171"/>
        <v>103</v>
      </c>
      <c r="C693" s="7"/>
      <c r="D693" s="7"/>
      <c r="E693" s="7"/>
      <c r="F693" s="7"/>
      <c r="G693" s="7"/>
      <c r="H693" s="91"/>
      <c r="I693" s="115"/>
      <c r="J693" s="116"/>
      <c r="K693" s="116"/>
      <c r="L693" s="116"/>
      <c r="M693" s="129"/>
      <c r="N693" s="129" t="e">
        <f t="shared" si="172"/>
        <v>#DIV/0!</v>
      </c>
      <c r="O693" s="129" t="e">
        <f t="shared" si="173"/>
        <v>#DIV/0!</v>
      </c>
      <c r="P693" s="114" t="e">
        <f t="shared" si="174"/>
        <v>#DIV/0!</v>
      </c>
      <c r="Q693" s="7" t="e">
        <f t="shared" si="175"/>
        <v>#DIV/0!</v>
      </c>
      <c r="R693" s="5" t="e">
        <f t="shared" si="156"/>
        <v>#DIV/0!</v>
      </c>
    </row>
    <row r="694" spans="1:18" s="4" customFormat="1" ht="15" hidden="1" customHeight="1">
      <c r="A694" s="64"/>
      <c r="B694" s="7">
        <f t="shared" si="171"/>
        <v>104</v>
      </c>
      <c r="C694" s="7"/>
      <c r="D694" s="7"/>
      <c r="E694" s="7"/>
      <c r="F694" s="7"/>
      <c r="G694" s="7"/>
      <c r="H694" s="91"/>
      <c r="I694" s="115"/>
      <c r="J694" s="116"/>
      <c r="K694" s="116"/>
      <c r="L694" s="116"/>
      <c r="M694" s="129"/>
      <c r="N694" s="129" t="e">
        <f t="shared" si="172"/>
        <v>#DIV/0!</v>
      </c>
      <c r="O694" s="129" t="e">
        <f t="shared" si="173"/>
        <v>#DIV/0!</v>
      </c>
      <c r="P694" s="114" t="e">
        <f t="shared" si="174"/>
        <v>#DIV/0!</v>
      </c>
      <c r="Q694" s="7" t="e">
        <f t="shared" si="175"/>
        <v>#DIV/0!</v>
      </c>
      <c r="R694" s="5" t="e">
        <f t="shared" si="156"/>
        <v>#DIV/0!</v>
      </c>
    </row>
    <row r="695" spans="1:18" s="4" customFormat="1" ht="15" hidden="1" customHeight="1">
      <c r="A695" s="64"/>
      <c r="B695" s="7">
        <f t="shared" si="171"/>
        <v>105</v>
      </c>
      <c r="C695" s="7"/>
      <c r="D695" s="7"/>
      <c r="E695" s="7"/>
      <c r="F695" s="7"/>
      <c r="G695" s="7"/>
      <c r="H695" s="91"/>
      <c r="I695" s="115"/>
      <c r="J695" s="116"/>
      <c r="K695" s="116"/>
      <c r="L695" s="116"/>
      <c r="M695" s="129"/>
      <c r="N695" s="129" t="e">
        <f t="shared" si="172"/>
        <v>#DIV/0!</v>
      </c>
      <c r="O695" s="129" t="e">
        <f t="shared" si="173"/>
        <v>#DIV/0!</v>
      </c>
      <c r="P695" s="114" t="e">
        <f t="shared" si="174"/>
        <v>#DIV/0!</v>
      </c>
      <c r="Q695" s="7" t="e">
        <f t="shared" si="175"/>
        <v>#DIV/0!</v>
      </c>
      <c r="R695" s="5" t="e">
        <f t="shared" si="156"/>
        <v>#DIV/0!</v>
      </c>
    </row>
    <row r="696" spans="1:18" s="4" customFormat="1" ht="15" hidden="1" customHeight="1">
      <c r="A696" s="64"/>
      <c r="B696" s="7">
        <f t="shared" si="171"/>
        <v>106</v>
      </c>
      <c r="C696" s="7"/>
      <c r="D696" s="7"/>
      <c r="E696" s="7"/>
      <c r="F696" s="7"/>
      <c r="G696" s="7"/>
      <c r="H696" s="91"/>
      <c r="I696" s="115"/>
      <c r="J696" s="116"/>
      <c r="K696" s="116"/>
      <c r="L696" s="116"/>
      <c r="M696" s="129"/>
      <c r="N696" s="129" t="e">
        <f t="shared" si="172"/>
        <v>#DIV/0!</v>
      </c>
      <c r="O696" s="129" t="e">
        <f t="shared" si="173"/>
        <v>#DIV/0!</v>
      </c>
      <c r="P696" s="114" t="e">
        <f t="shared" si="174"/>
        <v>#DIV/0!</v>
      </c>
      <c r="Q696" s="7" t="e">
        <f t="shared" si="175"/>
        <v>#DIV/0!</v>
      </c>
      <c r="R696" s="5" t="e">
        <f t="shared" si="156"/>
        <v>#DIV/0!</v>
      </c>
    </row>
    <row r="697" spans="1:18" s="4" customFormat="1" ht="15" hidden="1" customHeight="1">
      <c r="A697" s="64"/>
      <c r="B697" s="7">
        <f t="shared" si="171"/>
        <v>107</v>
      </c>
      <c r="C697" s="7"/>
      <c r="D697" s="7"/>
      <c r="E697" s="7"/>
      <c r="F697" s="7"/>
      <c r="G697" s="7"/>
      <c r="H697" s="91"/>
      <c r="I697" s="115"/>
      <c r="J697" s="116"/>
      <c r="K697" s="116"/>
      <c r="L697" s="116"/>
      <c r="M697" s="129"/>
      <c r="N697" s="129" t="e">
        <f t="shared" si="172"/>
        <v>#DIV/0!</v>
      </c>
      <c r="O697" s="129" t="e">
        <f t="shared" si="173"/>
        <v>#DIV/0!</v>
      </c>
      <c r="P697" s="114" t="e">
        <f t="shared" si="174"/>
        <v>#DIV/0!</v>
      </c>
      <c r="Q697" s="7" t="e">
        <f t="shared" si="175"/>
        <v>#DIV/0!</v>
      </c>
      <c r="R697" s="5" t="e">
        <f t="shared" si="156"/>
        <v>#DIV/0!</v>
      </c>
    </row>
    <row r="698" spans="1:18" s="4" customFormat="1" ht="15" hidden="1" customHeight="1">
      <c r="A698" s="64"/>
      <c r="B698" s="7">
        <f t="shared" si="171"/>
        <v>108</v>
      </c>
      <c r="C698" s="7"/>
      <c r="D698" s="7"/>
      <c r="E698" s="7"/>
      <c r="F698" s="7"/>
      <c r="G698" s="7"/>
      <c r="H698" s="91"/>
      <c r="I698" s="115"/>
      <c r="J698" s="116"/>
      <c r="K698" s="116"/>
      <c r="L698" s="116"/>
      <c r="M698" s="129"/>
      <c r="N698" s="129" t="e">
        <f t="shared" si="172"/>
        <v>#DIV/0!</v>
      </c>
      <c r="O698" s="129" t="e">
        <f t="shared" si="173"/>
        <v>#DIV/0!</v>
      </c>
      <c r="P698" s="114" t="e">
        <f t="shared" si="174"/>
        <v>#DIV/0!</v>
      </c>
      <c r="Q698" s="7" t="e">
        <f t="shared" si="175"/>
        <v>#DIV/0!</v>
      </c>
      <c r="R698" s="5" t="e">
        <f t="shared" si="156"/>
        <v>#DIV/0!</v>
      </c>
    </row>
    <row r="699" spans="1:18" s="4" customFormat="1" ht="15" hidden="1" customHeight="1">
      <c r="A699" s="64"/>
      <c r="B699" s="7">
        <f t="shared" si="171"/>
        <v>109</v>
      </c>
      <c r="C699" s="7"/>
      <c r="D699" s="7"/>
      <c r="E699" s="7"/>
      <c r="F699" s="7"/>
      <c r="G699" s="7"/>
      <c r="H699" s="91"/>
      <c r="I699" s="115"/>
      <c r="J699" s="116"/>
      <c r="K699" s="116"/>
      <c r="L699" s="116"/>
      <c r="M699" s="129"/>
      <c r="N699" s="129" t="e">
        <f t="shared" si="172"/>
        <v>#DIV/0!</v>
      </c>
      <c r="O699" s="129" t="e">
        <f t="shared" si="173"/>
        <v>#DIV/0!</v>
      </c>
      <c r="P699" s="114" t="e">
        <f t="shared" si="174"/>
        <v>#DIV/0!</v>
      </c>
      <c r="Q699" s="7" t="e">
        <f t="shared" si="175"/>
        <v>#DIV/0!</v>
      </c>
      <c r="R699" s="5" t="e">
        <f t="shared" si="156"/>
        <v>#DIV/0!</v>
      </c>
    </row>
    <row r="700" spans="1:18" s="4" customFormat="1" ht="15" hidden="1" customHeight="1">
      <c r="A700" s="64"/>
      <c r="B700" s="7">
        <f t="shared" si="171"/>
        <v>110</v>
      </c>
      <c r="C700" s="7"/>
      <c r="D700" s="7"/>
      <c r="E700" s="7"/>
      <c r="F700" s="7"/>
      <c r="G700" s="7"/>
      <c r="H700" s="91"/>
      <c r="I700" s="115"/>
      <c r="J700" s="116"/>
      <c r="K700" s="116"/>
      <c r="L700" s="116"/>
      <c r="M700" s="129"/>
      <c r="N700" s="129" t="e">
        <f t="shared" si="172"/>
        <v>#DIV/0!</v>
      </c>
      <c r="O700" s="129" t="e">
        <f t="shared" si="173"/>
        <v>#DIV/0!</v>
      </c>
      <c r="P700" s="114" t="e">
        <f t="shared" si="174"/>
        <v>#DIV/0!</v>
      </c>
      <c r="Q700" s="7" t="e">
        <f t="shared" si="175"/>
        <v>#DIV/0!</v>
      </c>
      <c r="R700" s="5" t="e">
        <f t="shared" si="156"/>
        <v>#DIV/0!</v>
      </c>
    </row>
    <row r="701" spans="1:18" s="4" customFormat="1" ht="15" hidden="1" customHeight="1">
      <c r="A701" s="64"/>
      <c r="B701" s="7">
        <f t="shared" si="171"/>
        <v>111</v>
      </c>
      <c r="C701" s="7"/>
      <c r="D701" s="7"/>
      <c r="E701" s="7"/>
      <c r="F701" s="7"/>
      <c r="G701" s="7"/>
      <c r="H701" s="91"/>
      <c r="I701" s="115"/>
      <c r="J701" s="116"/>
      <c r="K701" s="116"/>
      <c r="L701" s="116"/>
      <c r="M701" s="129"/>
      <c r="N701" s="129" t="e">
        <f t="shared" si="172"/>
        <v>#DIV/0!</v>
      </c>
      <c r="O701" s="129" t="e">
        <f t="shared" si="173"/>
        <v>#DIV/0!</v>
      </c>
      <c r="P701" s="114" t="e">
        <f t="shared" si="174"/>
        <v>#DIV/0!</v>
      </c>
      <c r="Q701" s="7" t="e">
        <f t="shared" si="175"/>
        <v>#DIV/0!</v>
      </c>
      <c r="R701" s="5" t="e">
        <f t="shared" si="156"/>
        <v>#DIV/0!</v>
      </c>
    </row>
    <row r="702" spans="1:18" s="4" customFormat="1" ht="15" hidden="1" customHeight="1">
      <c r="A702" s="64"/>
      <c r="B702" s="7">
        <f t="shared" si="171"/>
        <v>112</v>
      </c>
      <c r="C702" s="7"/>
      <c r="D702" s="7"/>
      <c r="E702" s="7"/>
      <c r="F702" s="7"/>
      <c r="G702" s="7"/>
      <c r="H702" s="91"/>
      <c r="I702" s="115"/>
      <c r="J702" s="116"/>
      <c r="K702" s="116"/>
      <c r="L702" s="116"/>
      <c r="M702" s="129"/>
      <c r="N702" s="129" t="e">
        <f t="shared" si="172"/>
        <v>#DIV/0!</v>
      </c>
      <c r="O702" s="129" t="e">
        <f t="shared" si="173"/>
        <v>#DIV/0!</v>
      </c>
      <c r="P702" s="114" t="e">
        <f t="shared" si="174"/>
        <v>#DIV/0!</v>
      </c>
      <c r="Q702" s="7" t="e">
        <f t="shared" si="175"/>
        <v>#DIV/0!</v>
      </c>
      <c r="R702" s="5" t="e">
        <f t="shared" si="156"/>
        <v>#DIV/0!</v>
      </c>
    </row>
    <row r="703" spans="1:18" s="4" customFormat="1" ht="15" hidden="1" customHeight="1">
      <c r="A703" s="64"/>
      <c r="B703" s="7">
        <f t="shared" si="171"/>
        <v>113</v>
      </c>
      <c r="C703" s="7"/>
      <c r="D703" s="7"/>
      <c r="E703" s="7"/>
      <c r="F703" s="7"/>
      <c r="G703" s="7"/>
      <c r="H703" s="91"/>
      <c r="I703" s="115"/>
      <c r="J703" s="116"/>
      <c r="K703" s="116"/>
      <c r="L703" s="116"/>
      <c r="M703" s="129"/>
      <c r="N703" s="129" t="e">
        <f t="shared" si="172"/>
        <v>#DIV/0!</v>
      </c>
      <c r="O703" s="129" t="e">
        <f t="shared" si="173"/>
        <v>#DIV/0!</v>
      </c>
      <c r="P703" s="114" t="e">
        <f t="shared" si="174"/>
        <v>#DIV/0!</v>
      </c>
      <c r="Q703" s="7" t="e">
        <f t="shared" si="175"/>
        <v>#DIV/0!</v>
      </c>
      <c r="R703" s="5" t="e">
        <f t="shared" si="156"/>
        <v>#DIV/0!</v>
      </c>
    </row>
    <row r="704" spans="1:18" s="4" customFormat="1" ht="15" hidden="1" customHeight="1">
      <c r="A704" s="64"/>
      <c r="B704" s="7">
        <f t="shared" si="171"/>
        <v>114</v>
      </c>
      <c r="C704" s="7"/>
      <c r="D704" s="7"/>
      <c r="E704" s="7"/>
      <c r="F704" s="7"/>
      <c r="G704" s="7"/>
      <c r="H704" s="91"/>
      <c r="I704" s="115"/>
      <c r="J704" s="116"/>
      <c r="K704" s="116"/>
      <c r="L704" s="116"/>
      <c r="M704" s="129"/>
      <c r="N704" s="129" t="e">
        <f t="shared" si="172"/>
        <v>#DIV/0!</v>
      </c>
      <c r="O704" s="129" t="e">
        <f t="shared" si="173"/>
        <v>#DIV/0!</v>
      </c>
      <c r="P704" s="114" t="e">
        <f t="shared" si="174"/>
        <v>#DIV/0!</v>
      </c>
      <c r="Q704" s="7" t="e">
        <f t="shared" si="175"/>
        <v>#DIV/0!</v>
      </c>
      <c r="R704" s="5" t="e">
        <f t="shared" si="156"/>
        <v>#DIV/0!</v>
      </c>
    </row>
    <row r="705" spans="1:18" s="4" customFormat="1" ht="15" hidden="1" customHeight="1">
      <c r="A705" s="64"/>
      <c r="B705" s="7">
        <f t="shared" si="171"/>
        <v>115</v>
      </c>
      <c r="C705" s="7"/>
      <c r="D705" s="7"/>
      <c r="E705" s="7"/>
      <c r="F705" s="7"/>
      <c r="G705" s="7"/>
      <c r="H705" s="91"/>
      <c r="I705" s="115"/>
      <c r="J705" s="116"/>
      <c r="K705" s="116"/>
      <c r="L705" s="116"/>
      <c r="M705" s="129"/>
      <c r="N705" s="129" t="e">
        <f t="shared" si="172"/>
        <v>#DIV/0!</v>
      </c>
      <c r="O705" s="129" t="e">
        <f t="shared" si="173"/>
        <v>#DIV/0!</v>
      </c>
      <c r="P705" s="114" t="e">
        <f t="shared" si="174"/>
        <v>#DIV/0!</v>
      </c>
      <c r="Q705" s="7" t="e">
        <f t="shared" si="175"/>
        <v>#DIV/0!</v>
      </c>
      <c r="R705" s="5" t="e">
        <f t="shared" si="156"/>
        <v>#DIV/0!</v>
      </c>
    </row>
    <row r="706" spans="1:18" s="4" customFormat="1" ht="15" hidden="1" customHeight="1">
      <c r="A706" s="64"/>
      <c r="B706" s="7">
        <f t="shared" si="171"/>
        <v>116</v>
      </c>
      <c r="C706" s="7"/>
      <c r="D706" s="7"/>
      <c r="E706" s="7"/>
      <c r="F706" s="7"/>
      <c r="G706" s="7"/>
      <c r="H706" s="91"/>
      <c r="I706" s="115"/>
      <c r="J706" s="116"/>
      <c r="K706" s="116"/>
      <c r="L706" s="116"/>
      <c r="M706" s="129"/>
      <c r="N706" s="129" t="e">
        <f t="shared" si="172"/>
        <v>#DIV/0!</v>
      </c>
      <c r="O706" s="129" t="e">
        <f t="shared" si="173"/>
        <v>#DIV/0!</v>
      </c>
      <c r="P706" s="114" t="e">
        <f t="shared" si="174"/>
        <v>#DIV/0!</v>
      </c>
      <c r="Q706" s="7" t="e">
        <f t="shared" si="175"/>
        <v>#DIV/0!</v>
      </c>
      <c r="R706" s="5" t="e">
        <f t="shared" si="156"/>
        <v>#DIV/0!</v>
      </c>
    </row>
    <row r="707" spans="1:18" s="4" customFormat="1" ht="15" hidden="1" customHeight="1">
      <c r="A707" s="64"/>
      <c r="B707" s="7">
        <f t="shared" si="171"/>
        <v>117</v>
      </c>
      <c r="C707" s="7"/>
      <c r="D707" s="7"/>
      <c r="E707" s="7"/>
      <c r="F707" s="7"/>
      <c r="G707" s="7"/>
      <c r="H707" s="91"/>
      <c r="I707" s="115"/>
      <c r="J707" s="116"/>
      <c r="K707" s="116"/>
      <c r="L707" s="116"/>
      <c r="M707" s="129"/>
      <c r="N707" s="129" t="e">
        <f t="shared" si="172"/>
        <v>#DIV/0!</v>
      </c>
      <c r="O707" s="129" t="e">
        <f t="shared" si="173"/>
        <v>#DIV/0!</v>
      </c>
      <c r="P707" s="114" t="e">
        <f t="shared" si="174"/>
        <v>#DIV/0!</v>
      </c>
      <c r="Q707" s="7" t="e">
        <f t="shared" si="175"/>
        <v>#DIV/0!</v>
      </c>
      <c r="R707" s="5" t="e">
        <f t="shared" si="156"/>
        <v>#DIV/0!</v>
      </c>
    </row>
    <row r="708" spans="1:18" s="4" customFormat="1" ht="15" hidden="1" customHeight="1">
      <c r="A708" s="64"/>
      <c r="B708" s="7">
        <f t="shared" si="171"/>
        <v>118</v>
      </c>
      <c r="C708" s="7"/>
      <c r="D708" s="7"/>
      <c r="E708" s="7"/>
      <c r="F708" s="7"/>
      <c r="G708" s="7"/>
      <c r="H708" s="91"/>
      <c r="I708" s="115"/>
      <c r="J708" s="116"/>
      <c r="K708" s="116"/>
      <c r="L708" s="116"/>
      <c r="M708" s="129"/>
      <c r="N708" s="129" t="e">
        <f t="shared" si="172"/>
        <v>#DIV/0!</v>
      </c>
      <c r="O708" s="129" t="e">
        <f t="shared" si="173"/>
        <v>#DIV/0!</v>
      </c>
      <c r="P708" s="114" t="e">
        <f t="shared" si="174"/>
        <v>#DIV/0!</v>
      </c>
      <c r="Q708" s="7" t="e">
        <f t="shared" si="175"/>
        <v>#DIV/0!</v>
      </c>
      <c r="R708" s="5" t="e">
        <f t="shared" si="156"/>
        <v>#DIV/0!</v>
      </c>
    </row>
    <row r="709" spans="1:18" s="4" customFormat="1" ht="15" hidden="1" customHeight="1">
      <c r="A709" s="64"/>
      <c r="B709" s="7">
        <f t="shared" si="171"/>
        <v>119</v>
      </c>
      <c r="C709" s="7"/>
      <c r="D709" s="7"/>
      <c r="E709" s="7"/>
      <c r="F709" s="7"/>
      <c r="G709" s="7"/>
      <c r="H709" s="91"/>
      <c r="I709" s="115"/>
      <c r="J709" s="116"/>
      <c r="K709" s="116"/>
      <c r="L709" s="116"/>
      <c r="M709" s="129"/>
      <c r="N709" s="129" t="e">
        <f t="shared" si="172"/>
        <v>#DIV/0!</v>
      </c>
      <c r="O709" s="129" t="e">
        <f t="shared" si="173"/>
        <v>#DIV/0!</v>
      </c>
      <c r="P709" s="114" t="e">
        <f t="shared" si="174"/>
        <v>#DIV/0!</v>
      </c>
      <c r="Q709" s="7" t="e">
        <f t="shared" si="175"/>
        <v>#DIV/0!</v>
      </c>
      <c r="R709" s="5" t="e">
        <f t="shared" si="156"/>
        <v>#DIV/0!</v>
      </c>
    </row>
    <row r="710" spans="1:18" s="4" customFormat="1" ht="15" hidden="1" customHeight="1">
      <c r="A710" s="64"/>
      <c r="B710" s="7">
        <f t="shared" si="171"/>
        <v>120</v>
      </c>
      <c r="C710" s="7"/>
      <c r="D710" s="7"/>
      <c r="E710" s="7"/>
      <c r="F710" s="7"/>
      <c r="G710" s="7"/>
      <c r="H710" s="91"/>
      <c r="I710" s="115"/>
      <c r="J710" s="116"/>
      <c r="K710" s="116"/>
      <c r="L710" s="116"/>
      <c r="M710" s="129"/>
      <c r="N710" s="129" t="e">
        <f t="shared" si="172"/>
        <v>#DIV/0!</v>
      </c>
      <c r="O710" s="129" t="e">
        <f t="shared" si="173"/>
        <v>#DIV/0!</v>
      </c>
      <c r="P710" s="114" t="e">
        <f t="shared" si="174"/>
        <v>#DIV/0!</v>
      </c>
      <c r="Q710" s="7" t="e">
        <f t="shared" si="175"/>
        <v>#DIV/0!</v>
      </c>
      <c r="R710" s="5" t="e">
        <f t="shared" si="156"/>
        <v>#DIV/0!</v>
      </c>
    </row>
    <row r="711" spans="1:18" s="4" customFormat="1" ht="15" hidden="1" customHeight="1">
      <c r="A711" s="64"/>
      <c r="B711" s="7">
        <f t="shared" si="171"/>
        <v>121</v>
      </c>
      <c r="C711" s="7"/>
      <c r="D711" s="7"/>
      <c r="E711" s="7"/>
      <c r="F711" s="7"/>
      <c r="G711" s="7"/>
      <c r="H711" s="91"/>
      <c r="I711" s="115"/>
      <c r="J711" s="116"/>
      <c r="K711" s="116"/>
      <c r="L711" s="116"/>
      <c r="M711" s="129"/>
      <c r="N711" s="129" t="e">
        <f t="shared" si="172"/>
        <v>#DIV/0!</v>
      </c>
      <c r="O711" s="129" t="e">
        <f t="shared" si="173"/>
        <v>#DIV/0!</v>
      </c>
      <c r="P711" s="114" t="e">
        <f t="shared" si="174"/>
        <v>#DIV/0!</v>
      </c>
      <c r="Q711" s="7" t="e">
        <f t="shared" si="175"/>
        <v>#DIV/0!</v>
      </c>
      <c r="R711" s="5" t="e">
        <f t="shared" si="156"/>
        <v>#DIV/0!</v>
      </c>
    </row>
    <row r="712" spans="1:18" s="4" customFormat="1" ht="15" hidden="1" customHeight="1">
      <c r="A712" s="64"/>
      <c r="B712" s="7">
        <f t="shared" si="171"/>
        <v>122</v>
      </c>
      <c r="C712" s="7"/>
      <c r="D712" s="7"/>
      <c r="E712" s="7"/>
      <c r="F712" s="7"/>
      <c r="G712" s="7"/>
      <c r="H712" s="91"/>
      <c r="I712" s="115"/>
      <c r="J712" s="116"/>
      <c r="K712" s="116"/>
      <c r="L712" s="116"/>
      <c r="M712" s="129"/>
      <c r="N712" s="129" t="e">
        <f t="shared" si="172"/>
        <v>#DIV/0!</v>
      </c>
      <c r="O712" s="129" t="e">
        <f t="shared" si="173"/>
        <v>#DIV/0!</v>
      </c>
      <c r="P712" s="114" t="e">
        <f t="shared" si="174"/>
        <v>#DIV/0!</v>
      </c>
      <c r="Q712" s="7" t="e">
        <f t="shared" si="175"/>
        <v>#DIV/0!</v>
      </c>
      <c r="R712" s="5" t="e">
        <f t="shared" si="156"/>
        <v>#DIV/0!</v>
      </c>
    </row>
    <row r="713" spans="1:18" s="4" customFormat="1" ht="15" hidden="1" customHeight="1">
      <c r="A713" s="64"/>
      <c r="B713" s="7">
        <f t="shared" si="171"/>
        <v>123</v>
      </c>
      <c r="C713" s="7"/>
      <c r="D713" s="7"/>
      <c r="E713" s="7"/>
      <c r="F713" s="7"/>
      <c r="G713" s="7"/>
      <c r="H713" s="91"/>
      <c r="I713" s="115"/>
      <c r="J713" s="116"/>
      <c r="K713" s="116"/>
      <c r="L713" s="116"/>
      <c r="M713" s="129"/>
      <c r="N713" s="129" t="e">
        <f t="shared" si="172"/>
        <v>#DIV/0!</v>
      </c>
      <c r="O713" s="129" t="e">
        <f t="shared" si="173"/>
        <v>#DIV/0!</v>
      </c>
      <c r="P713" s="114" t="e">
        <f t="shared" si="174"/>
        <v>#DIV/0!</v>
      </c>
      <c r="Q713" s="7" t="e">
        <f t="shared" si="175"/>
        <v>#DIV/0!</v>
      </c>
      <c r="R713" s="5" t="e">
        <f t="shared" si="156"/>
        <v>#DIV/0!</v>
      </c>
    </row>
    <row r="714" spans="1:18" s="4" customFormat="1" ht="15" hidden="1" customHeight="1">
      <c r="A714" s="64"/>
      <c r="B714" s="7">
        <f t="shared" si="171"/>
        <v>124</v>
      </c>
      <c r="C714" s="7"/>
      <c r="D714" s="7"/>
      <c r="E714" s="7"/>
      <c r="F714" s="7"/>
      <c r="G714" s="7"/>
      <c r="H714" s="91"/>
      <c r="I714" s="115"/>
      <c r="J714" s="116"/>
      <c r="K714" s="116"/>
      <c r="L714" s="116"/>
      <c r="M714" s="129"/>
      <c r="N714" s="129" t="e">
        <f t="shared" si="172"/>
        <v>#DIV/0!</v>
      </c>
      <c r="O714" s="129" t="e">
        <f t="shared" si="173"/>
        <v>#DIV/0!</v>
      </c>
      <c r="P714" s="114" t="e">
        <f t="shared" si="174"/>
        <v>#DIV/0!</v>
      </c>
      <c r="Q714" s="7" t="e">
        <f t="shared" si="175"/>
        <v>#DIV/0!</v>
      </c>
      <c r="R714" s="5" t="e">
        <f t="shared" si="156"/>
        <v>#DIV/0!</v>
      </c>
    </row>
    <row r="715" spans="1:18" s="4" customFormat="1" ht="15" hidden="1" customHeight="1">
      <c r="A715" s="64"/>
      <c r="B715" s="7">
        <f t="shared" si="171"/>
        <v>125</v>
      </c>
      <c r="C715" s="7"/>
      <c r="D715" s="7"/>
      <c r="E715" s="7"/>
      <c r="F715" s="7"/>
      <c r="G715" s="7"/>
      <c r="H715" s="91"/>
      <c r="I715" s="115"/>
      <c r="J715" s="116"/>
      <c r="K715" s="116"/>
      <c r="L715" s="116"/>
      <c r="M715" s="129"/>
      <c r="N715" s="129" t="e">
        <f t="shared" si="172"/>
        <v>#DIV/0!</v>
      </c>
      <c r="O715" s="129" t="e">
        <f t="shared" si="173"/>
        <v>#DIV/0!</v>
      </c>
      <c r="P715" s="114" t="e">
        <f t="shared" si="174"/>
        <v>#DIV/0!</v>
      </c>
      <c r="Q715" s="7" t="e">
        <f t="shared" si="175"/>
        <v>#DIV/0!</v>
      </c>
      <c r="R715" s="5" t="e">
        <f t="shared" si="156"/>
        <v>#DIV/0!</v>
      </c>
    </row>
    <row r="716" spans="1:18" s="4" customFormat="1" ht="15" hidden="1" customHeight="1">
      <c r="A716" s="64"/>
      <c r="B716" s="7">
        <f t="shared" si="171"/>
        <v>126</v>
      </c>
      <c r="C716" s="7"/>
      <c r="D716" s="7"/>
      <c r="E716" s="7"/>
      <c r="F716" s="7"/>
      <c r="G716" s="7"/>
      <c r="H716" s="91"/>
      <c r="I716" s="115"/>
      <c r="J716" s="116"/>
      <c r="K716" s="116"/>
      <c r="L716" s="116"/>
      <c r="M716" s="129"/>
      <c r="N716" s="129" t="e">
        <f t="shared" si="172"/>
        <v>#DIV/0!</v>
      </c>
      <c r="O716" s="129" t="e">
        <f t="shared" si="173"/>
        <v>#DIV/0!</v>
      </c>
      <c r="P716" s="114" t="e">
        <f t="shared" si="174"/>
        <v>#DIV/0!</v>
      </c>
      <c r="Q716" s="7" t="e">
        <f t="shared" si="175"/>
        <v>#DIV/0!</v>
      </c>
      <c r="R716" s="5" t="e">
        <f t="shared" si="156"/>
        <v>#DIV/0!</v>
      </c>
    </row>
    <row r="717" spans="1:18" s="4" customFormat="1" ht="15" hidden="1" customHeight="1">
      <c r="A717" s="64"/>
      <c r="B717" s="7">
        <f t="shared" si="171"/>
        <v>127</v>
      </c>
      <c r="C717" s="7"/>
      <c r="D717" s="7"/>
      <c r="E717" s="7"/>
      <c r="F717" s="7"/>
      <c r="G717" s="7"/>
      <c r="H717" s="91"/>
      <c r="I717" s="115"/>
      <c r="J717" s="116"/>
      <c r="K717" s="116"/>
      <c r="L717" s="116"/>
      <c r="M717" s="129"/>
      <c r="N717" s="129" t="e">
        <f t="shared" si="172"/>
        <v>#DIV/0!</v>
      </c>
      <c r="O717" s="129" t="e">
        <f t="shared" si="173"/>
        <v>#DIV/0!</v>
      </c>
      <c r="P717" s="114" t="e">
        <f t="shared" si="174"/>
        <v>#DIV/0!</v>
      </c>
      <c r="Q717" s="7" t="e">
        <f t="shared" si="175"/>
        <v>#DIV/0!</v>
      </c>
      <c r="R717" s="5" t="e">
        <f t="shared" si="156"/>
        <v>#DIV/0!</v>
      </c>
    </row>
    <row r="718" spans="1:18" s="4" customFormat="1" ht="15" hidden="1" customHeight="1">
      <c r="A718" s="64"/>
      <c r="B718" s="7">
        <f t="shared" si="171"/>
        <v>128</v>
      </c>
      <c r="C718" s="7"/>
      <c r="D718" s="7"/>
      <c r="E718" s="7"/>
      <c r="F718" s="7"/>
      <c r="G718" s="7"/>
      <c r="H718" s="91"/>
      <c r="I718" s="115"/>
      <c r="J718" s="116"/>
      <c r="K718" s="116"/>
      <c r="L718" s="116"/>
      <c r="M718" s="129"/>
      <c r="N718" s="129" t="e">
        <f t="shared" si="172"/>
        <v>#DIV/0!</v>
      </c>
      <c r="O718" s="129" t="e">
        <f t="shared" si="173"/>
        <v>#DIV/0!</v>
      </c>
      <c r="P718" s="114" t="e">
        <f t="shared" si="174"/>
        <v>#DIV/0!</v>
      </c>
      <c r="Q718" s="7" t="e">
        <f t="shared" si="175"/>
        <v>#DIV/0!</v>
      </c>
      <c r="R718" s="5" t="e">
        <f t="shared" si="156"/>
        <v>#DIV/0!</v>
      </c>
    </row>
    <row r="719" spans="1:18" s="4" customFormat="1" ht="15" hidden="1" customHeight="1">
      <c r="A719" s="64"/>
      <c r="B719" s="7">
        <f t="shared" si="171"/>
        <v>129</v>
      </c>
      <c r="C719" s="7"/>
      <c r="D719" s="7"/>
      <c r="E719" s="7"/>
      <c r="F719" s="7"/>
      <c r="G719" s="7"/>
      <c r="H719" s="91"/>
      <c r="I719" s="115"/>
      <c r="J719" s="116"/>
      <c r="K719" s="116"/>
      <c r="L719" s="116"/>
      <c r="M719" s="129"/>
      <c r="N719" s="129" t="e">
        <f t="shared" si="172"/>
        <v>#DIV/0!</v>
      </c>
      <c r="O719" s="129" t="e">
        <f t="shared" si="173"/>
        <v>#DIV/0!</v>
      </c>
      <c r="P719" s="114" t="e">
        <f t="shared" si="174"/>
        <v>#DIV/0!</v>
      </c>
      <c r="Q719" s="7" t="e">
        <f t="shared" si="175"/>
        <v>#DIV/0!</v>
      </c>
      <c r="R719" s="5" t="e">
        <f t="shared" si="156"/>
        <v>#DIV/0!</v>
      </c>
    </row>
    <row r="720" spans="1:18" s="4" customFormat="1" ht="15" hidden="1" customHeight="1">
      <c r="A720" s="64"/>
      <c r="B720" s="7">
        <f t="shared" si="171"/>
        <v>130</v>
      </c>
      <c r="C720" s="7"/>
      <c r="D720" s="7"/>
      <c r="E720" s="7"/>
      <c r="F720" s="7"/>
      <c r="G720" s="7"/>
      <c r="H720" s="91"/>
      <c r="I720" s="115"/>
      <c r="J720" s="116"/>
      <c r="K720" s="116"/>
      <c r="L720" s="116"/>
      <c r="M720" s="129"/>
      <c r="N720" s="129" t="e">
        <f t="shared" si="172"/>
        <v>#DIV/0!</v>
      </c>
      <c r="O720" s="129" t="e">
        <f t="shared" si="173"/>
        <v>#DIV/0!</v>
      </c>
      <c r="P720" s="114" t="e">
        <f t="shared" si="174"/>
        <v>#DIV/0!</v>
      </c>
      <c r="Q720" s="7" t="e">
        <f t="shared" si="175"/>
        <v>#DIV/0!</v>
      </c>
      <c r="R720" s="5" t="e">
        <f t="shared" si="156"/>
        <v>#DIV/0!</v>
      </c>
    </row>
    <row r="721" spans="1:18" s="4" customFormat="1" ht="15" hidden="1" customHeight="1">
      <c r="A721" s="64"/>
      <c r="B721" s="7">
        <f t="shared" ref="B721:B743" si="176">+B720+1</f>
        <v>131</v>
      </c>
      <c r="C721" s="7"/>
      <c r="D721" s="7"/>
      <c r="E721" s="7"/>
      <c r="F721" s="7"/>
      <c r="G721" s="7"/>
      <c r="H721" s="91"/>
      <c r="I721" s="115"/>
      <c r="J721" s="116"/>
      <c r="K721" s="116"/>
      <c r="L721" s="116"/>
      <c r="M721" s="129"/>
      <c r="N721" s="129" t="e">
        <f t="shared" si="172"/>
        <v>#DIV/0!</v>
      </c>
      <c r="O721" s="129" t="e">
        <f t="shared" si="173"/>
        <v>#DIV/0!</v>
      </c>
      <c r="P721" s="114" t="e">
        <f t="shared" si="174"/>
        <v>#DIV/0!</v>
      </c>
      <c r="Q721" s="7" t="e">
        <f t="shared" si="175"/>
        <v>#DIV/0!</v>
      </c>
      <c r="R721" s="5" t="e">
        <f t="shared" si="156"/>
        <v>#DIV/0!</v>
      </c>
    </row>
    <row r="722" spans="1:18" s="4" customFormat="1" ht="15" hidden="1" customHeight="1">
      <c r="A722" s="64"/>
      <c r="B722" s="7">
        <f t="shared" si="176"/>
        <v>132</v>
      </c>
      <c r="C722" s="7"/>
      <c r="D722" s="7"/>
      <c r="E722" s="7"/>
      <c r="F722" s="7"/>
      <c r="G722" s="7"/>
      <c r="H722" s="91"/>
      <c r="I722" s="115"/>
      <c r="J722" s="116"/>
      <c r="K722" s="116"/>
      <c r="L722" s="116"/>
      <c r="M722" s="129"/>
      <c r="N722" s="129" t="e">
        <f t="shared" si="172"/>
        <v>#DIV/0!</v>
      </c>
      <c r="O722" s="129" t="e">
        <f t="shared" si="173"/>
        <v>#DIV/0!</v>
      </c>
      <c r="P722" s="114" t="e">
        <f t="shared" si="174"/>
        <v>#DIV/0!</v>
      </c>
      <c r="Q722" s="7" t="e">
        <f t="shared" si="175"/>
        <v>#DIV/0!</v>
      </c>
      <c r="R722" s="5" t="e">
        <f t="shared" si="156"/>
        <v>#DIV/0!</v>
      </c>
    </row>
    <row r="723" spans="1:18" s="4" customFormat="1" ht="15" hidden="1" customHeight="1">
      <c r="A723" s="64"/>
      <c r="B723" s="7">
        <f t="shared" si="176"/>
        <v>133</v>
      </c>
      <c r="C723" s="7"/>
      <c r="D723" s="7"/>
      <c r="E723" s="7"/>
      <c r="F723" s="7"/>
      <c r="G723" s="7"/>
      <c r="H723" s="91"/>
      <c r="I723" s="115"/>
      <c r="J723" s="116"/>
      <c r="K723" s="116"/>
      <c r="L723" s="116"/>
      <c r="M723" s="129"/>
      <c r="N723" s="129" t="e">
        <f t="shared" si="172"/>
        <v>#DIV/0!</v>
      </c>
      <c r="O723" s="129" t="e">
        <f t="shared" si="173"/>
        <v>#DIV/0!</v>
      </c>
      <c r="P723" s="114" t="e">
        <f t="shared" si="174"/>
        <v>#DIV/0!</v>
      </c>
      <c r="Q723" s="7" t="e">
        <f t="shared" si="175"/>
        <v>#DIV/0!</v>
      </c>
      <c r="R723" s="5" t="e">
        <f t="shared" si="156"/>
        <v>#DIV/0!</v>
      </c>
    </row>
    <row r="724" spans="1:18" s="4" customFormat="1" ht="15" hidden="1" customHeight="1">
      <c r="A724" s="64"/>
      <c r="B724" s="7">
        <f t="shared" si="176"/>
        <v>134</v>
      </c>
      <c r="C724" s="7"/>
      <c r="D724" s="7"/>
      <c r="E724" s="7"/>
      <c r="F724" s="7"/>
      <c r="G724" s="7"/>
      <c r="H724" s="91"/>
      <c r="I724" s="115"/>
      <c r="J724" s="116"/>
      <c r="K724" s="116"/>
      <c r="L724" s="116"/>
      <c r="M724" s="129"/>
      <c r="N724" s="129" t="e">
        <f t="shared" si="172"/>
        <v>#DIV/0!</v>
      </c>
      <c r="O724" s="129" t="e">
        <f t="shared" si="173"/>
        <v>#DIV/0!</v>
      </c>
      <c r="P724" s="114" t="e">
        <f t="shared" si="174"/>
        <v>#DIV/0!</v>
      </c>
      <c r="Q724" s="7" t="e">
        <f t="shared" si="175"/>
        <v>#DIV/0!</v>
      </c>
      <c r="R724" s="5" t="e">
        <f t="shared" si="156"/>
        <v>#DIV/0!</v>
      </c>
    </row>
    <row r="725" spans="1:18" s="4" customFormat="1" ht="15" hidden="1" customHeight="1">
      <c r="A725" s="64"/>
      <c r="B725" s="7">
        <f t="shared" si="176"/>
        <v>135</v>
      </c>
      <c r="C725" s="7"/>
      <c r="D725" s="7"/>
      <c r="E725" s="7"/>
      <c r="F725" s="7"/>
      <c r="G725" s="7"/>
      <c r="H725" s="91"/>
      <c r="I725" s="115"/>
      <c r="J725" s="116"/>
      <c r="K725" s="116"/>
      <c r="L725" s="116"/>
      <c r="M725" s="129"/>
      <c r="N725" s="129" t="e">
        <f t="shared" si="172"/>
        <v>#DIV/0!</v>
      </c>
      <c r="O725" s="129" t="e">
        <f t="shared" si="173"/>
        <v>#DIV/0!</v>
      </c>
      <c r="P725" s="114" t="e">
        <f t="shared" si="174"/>
        <v>#DIV/0!</v>
      </c>
      <c r="Q725" s="7" t="e">
        <f t="shared" si="175"/>
        <v>#DIV/0!</v>
      </c>
      <c r="R725" s="5" t="e">
        <f t="shared" si="156"/>
        <v>#DIV/0!</v>
      </c>
    </row>
    <row r="726" spans="1:18" s="4" customFormat="1" ht="15" hidden="1" customHeight="1">
      <c r="A726" s="64"/>
      <c r="B726" s="7">
        <f t="shared" si="176"/>
        <v>136</v>
      </c>
      <c r="C726" s="7"/>
      <c r="D726" s="7"/>
      <c r="E726" s="7"/>
      <c r="F726" s="7"/>
      <c r="G726" s="7"/>
      <c r="H726" s="91"/>
      <c r="I726" s="115"/>
      <c r="J726" s="116"/>
      <c r="K726" s="116"/>
      <c r="L726" s="116"/>
      <c r="M726" s="129"/>
      <c r="N726" s="129" t="e">
        <f t="shared" si="172"/>
        <v>#DIV/0!</v>
      </c>
      <c r="O726" s="129" t="e">
        <f t="shared" si="173"/>
        <v>#DIV/0!</v>
      </c>
      <c r="P726" s="114" t="e">
        <f t="shared" si="174"/>
        <v>#DIV/0!</v>
      </c>
      <c r="Q726" s="7" t="e">
        <f t="shared" si="175"/>
        <v>#DIV/0!</v>
      </c>
      <c r="R726" s="5" t="e">
        <f t="shared" si="156"/>
        <v>#DIV/0!</v>
      </c>
    </row>
    <row r="727" spans="1:18" s="4" customFormat="1" ht="15" hidden="1" customHeight="1">
      <c r="A727" s="64"/>
      <c r="B727" s="7">
        <f t="shared" si="176"/>
        <v>137</v>
      </c>
      <c r="C727" s="7"/>
      <c r="D727" s="7"/>
      <c r="E727" s="7"/>
      <c r="F727" s="7"/>
      <c r="G727" s="7"/>
      <c r="H727" s="91"/>
      <c r="I727" s="115"/>
      <c r="J727" s="116"/>
      <c r="K727" s="116"/>
      <c r="L727" s="116"/>
      <c r="M727" s="129"/>
      <c r="N727" s="129" t="e">
        <f t="shared" si="172"/>
        <v>#DIV/0!</v>
      </c>
      <c r="O727" s="129" t="e">
        <f t="shared" si="173"/>
        <v>#DIV/0!</v>
      </c>
      <c r="P727" s="114" t="e">
        <f t="shared" si="174"/>
        <v>#DIV/0!</v>
      </c>
      <c r="Q727" s="7" t="e">
        <f t="shared" si="175"/>
        <v>#DIV/0!</v>
      </c>
      <c r="R727" s="5" t="e">
        <f t="shared" si="156"/>
        <v>#DIV/0!</v>
      </c>
    </row>
    <row r="728" spans="1:18" s="4" customFormat="1" ht="15" hidden="1" customHeight="1">
      <c r="A728" s="64"/>
      <c r="B728" s="7">
        <f t="shared" si="176"/>
        <v>138</v>
      </c>
      <c r="C728" s="7"/>
      <c r="D728" s="7"/>
      <c r="E728" s="7"/>
      <c r="F728" s="7"/>
      <c r="G728" s="7"/>
      <c r="H728" s="91"/>
      <c r="I728" s="115"/>
      <c r="J728" s="116"/>
      <c r="K728" s="116"/>
      <c r="L728" s="116"/>
      <c r="M728" s="129"/>
      <c r="N728" s="129" t="e">
        <f t="shared" si="172"/>
        <v>#DIV/0!</v>
      </c>
      <c r="O728" s="129" t="e">
        <f t="shared" si="173"/>
        <v>#DIV/0!</v>
      </c>
      <c r="P728" s="114" t="e">
        <f t="shared" si="174"/>
        <v>#DIV/0!</v>
      </c>
      <c r="Q728" s="7" t="e">
        <f t="shared" si="175"/>
        <v>#DIV/0!</v>
      </c>
      <c r="R728" s="5" t="e">
        <f t="shared" si="156"/>
        <v>#DIV/0!</v>
      </c>
    </row>
    <row r="729" spans="1:18" s="4" customFormat="1" ht="15" hidden="1" customHeight="1">
      <c r="A729" s="64"/>
      <c r="B729" s="7">
        <f t="shared" si="176"/>
        <v>139</v>
      </c>
      <c r="C729" s="7"/>
      <c r="D729" s="7"/>
      <c r="E729" s="7"/>
      <c r="F729" s="7"/>
      <c r="G729" s="7"/>
      <c r="H729" s="91"/>
      <c r="I729" s="115"/>
      <c r="J729" s="116"/>
      <c r="K729" s="116"/>
      <c r="L729" s="116"/>
      <c r="M729" s="129"/>
      <c r="N729" s="129" t="e">
        <f t="shared" si="172"/>
        <v>#DIV/0!</v>
      </c>
      <c r="O729" s="129" t="e">
        <f t="shared" si="173"/>
        <v>#DIV/0!</v>
      </c>
      <c r="P729" s="114" t="e">
        <f t="shared" si="174"/>
        <v>#DIV/0!</v>
      </c>
      <c r="Q729" s="7" t="e">
        <f t="shared" si="175"/>
        <v>#DIV/0!</v>
      </c>
      <c r="R729" s="5" t="e">
        <f t="shared" si="156"/>
        <v>#DIV/0!</v>
      </c>
    </row>
    <row r="730" spans="1:18" s="4" customFormat="1" ht="15" hidden="1" customHeight="1">
      <c r="A730" s="64"/>
      <c r="B730" s="7">
        <f t="shared" si="176"/>
        <v>140</v>
      </c>
      <c r="C730" s="7"/>
      <c r="D730" s="7"/>
      <c r="E730" s="7"/>
      <c r="F730" s="7"/>
      <c r="G730" s="7"/>
      <c r="H730" s="91"/>
      <c r="I730" s="115"/>
      <c r="J730" s="116"/>
      <c r="K730" s="116"/>
      <c r="L730" s="116"/>
      <c r="M730" s="129"/>
      <c r="N730" s="129" t="e">
        <f t="shared" si="172"/>
        <v>#DIV/0!</v>
      </c>
      <c r="O730" s="129" t="e">
        <f t="shared" si="173"/>
        <v>#DIV/0!</v>
      </c>
      <c r="P730" s="114" t="e">
        <f t="shared" si="174"/>
        <v>#DIV/0!</v>
      </c>
      <c r="Q730" s="7" t="e">
        <f t="shared" si="175"/>
        <v>#DIV/0!</v>
      </c>
      <c r="R730" s="5" t="e">
        <f t="shared" si="156"/>
        <v>#DIV/0!</v>
      </c>
    </row>
    <row r="731" spans="1:18" s="4" customFormat="1" ht="15" hidden="1" customHeight="1">
      <c r="A731" s="64"/>
      <c r="B731" s="7">
        <f t="shared" si="176"/>
        <v>141</v>
      </c>
      <c r="C731" s="7"/>
      <c r="D731" s="7"/>
      <c r="E731" s="7"/>
      <c r="F731" s="7"/>
      <c r="G731" s="7"/>
      <c r="H731" s="91"/>
      <c r="I731" s="115"/>
      <c r="J731" s="116"/>
      <c r="K731" s="116"/>
      <c r="L731" s="116"/>
      <c r="M731" s="129"/>
      <c r="N731" s="129" t="e">
        <f t="shared" si="172"/>
        <v>#DIV/0!</v>
      </c>
      <c r="O731" s="129" t="e">
        <f t="shared" si="173"/>
        <v>#DIV/0!</v>
      </c>
      <c r="P731" s="114" t="e">
        <f t="shared" si="174"/>
        <v>#DIV/0!</v>
      </c>
      <c r="Q731" s="7" t="e">
        <f t="shared" si="175"/>
        <v>#DIV/0!</v>
      </c>
      <c r="R731" s="5" t="e">
        <f t="shared" si="156"/>
        <v>#DIV/0!</v>
      </c>
    </row>
    <row r="732" spans="1:18" s="4" customFormat="1" ht="15" hidden="1" customHeight="1">
      <c r="A732" s="64"/>
      <c r="B732" s="7">
        <f t="shared" si="176"/>
        <v>142</v>
      </c>
      <c r="C732" s="7"/>
      <c r="D732" s="7"/>
      <c r="E732" s="7"/>
      <c r="F732" s="7"/>
      <c r="G732" s="7"/>
      <c r="H732" s="91"/>
      <c r="I732" s="115"/>
      <c r="J732" s="116"/>
      <c r="K732" s="116"/>
      <c r="L732" s="116"/>
      <c r="M732" s="129"/>
      <c r="N732" s="129" t="e">
        <f t="shared" si="172"/>
        <v>#DIV/0!</v>
      </c>
      <c r="O732" s="129" t="e">
        <f t="shared" si="173"/>
        <v>#DIV/0!</v>
      </c>
      <c r="P732" s="114" t="e">
        <f t="shared" si="174"/>
        <v>#DIV/0!</v>
      </c>
      <c r="Q732" s="7" t="e">
        <f t="shared" si="175"/>
        <v>#DIV/0!</v>
      </c>
      <c r="R732" s="5" t="e">
        <f t="shared" si="156"/>
        <v>#DIV/0!</v>
      </c>
    </row>
    <row r="733" spans="1:18" s="4" customFormat="1" ht="15" hidden="1" customHeight="1">
      <c r="A733" s="64"/>
      <c r="B733" s="7">
        <f t="shared" si="176"/>
        <v>143</v>
      </c>
      <c r="C733" s="7"/>
      <c r="D733" s="7"/>
      <c r="E733" s="7"/>
      <c r="F733" s="7"/>
      <c r="G733" s="7"/>
      <c r="H733" s="91"/>
      <c r="I733" s="115"/>
      <c r="J733" s="116"/>
      <c r="K733" s="116"/>
      <c r="L733" s="116"/>
      <c r="M733" s="129"/>
      <c r="N733" s="129" t="e">
        <f t="shared" si="172"/>
        <v>#DIV/0!</v>
      </c>
      <c r="O733" s="129" t="e">
        <f t="shared" si="173"/>
        <v>#DIV/0!</v>
      </c>
      <c r="P733" s="114" t="e">
        <f t="shared" si="174"/>
        <v>#DIV/0!</v>
      </c>
      <c r="Q733" s="7" t="e">
        <f t="shared" si="175"/>
        <v>#DIV/0!</v>
      </c>
      <c r="R733" s="5" t="e">
        <f t="shared" si="156"/>
        <v>#DIV/0!</v>
      </c>
    </row>
    <row r="734" spans="1:18" s="4" customFormat="1" ht="15" hidden="1" customHeight="1">
      <c r="A734" s="64"/>
      <c r="B734" s="7">
        <f t="shared" si="176"/>
        <v>144</v>
      </c>
      <c r="C734" s="7"/>
      <c r="D734" s="7"/>
      <c r="E734" s="7"/>
      <c r="F734" s="7"/>
      <c r="G734" s="7"/>
      <c r="H734" s="91"/>
      <c r="I734" s="115"/>
      <c r="J734" s="116"/>
      <c r="K734" s="116"/>
      <c r="L734" s="116"/>
      <c r="M734" s="129"/>
      <c r="N734" s="129" t="e">
        <f t="shared" si="172"/>
        <v>#DIV/0!</v>
      </c>
      <c r="O734" s="129" t="e">
        <f t="shared" si="173"/>
        <v>#DIV/0!</v>
      </c>
      <c r="P734" s="114" t="e">
        <f t="shared" si="174"/>
        <v>#DIV/0!</v>
      </c>
      <c r="Q734" s="7" t="e">
        <f t="shared" si="175"/>
        <v>#DIV/0!</v>
      </c>
      <c r="R734" s="5" t="e">
        <f t="shared" si="156"/>
        <v>#DIV/0!</v>
      </c>
    </row>
    <row r="735" spans="1:18" s="4" customFormat="1" ht="15" hidden="1" customHeight="1">
      <c r="A735" s="64"/>
      <c r="B735" s="7">
        <f t="shared" si="176"/>
        <v>145</v>
      </c>
      <c r="C735" s="7"/>
      <c r="D735" s="7"/>
      <c r="E735" s="7"/>
      <c r="F735" s="7"/>
      <c r="G735" s="7"/>
      <c r="H735" s="91"/>
      <c r="I735" s="115"/>
      <c r="J735" s="116"/>
      <c r="K735" s="116"/>
      <c r="L735" s="116"/>
      <c r="M735" s="129"/>
      <c r="N735" s="129" t="e">
        <f t="shared" si="172"/>
        <v>#DIV/0!</v>
      </c>
      <c r="O735" s="129" t="e">
        <f t="shared" si="173"/>
        <v>#DIV/0!</v>
      </c>
      <c r="P735" s="114" t="e">
        <f t="shared" si="174"/>
        <v>#DIV/0!</v>
      </c>
      <c r="Q735" s="7" t="e">
        <f t="shared" si="175"/>
        <v>#DIV/0!</v>
      </c>
      <c r="R735" s="5" t="e">
        <f t="shared" si="156"/>
        <v>#DIV/0!</v>
      </c>
    </row>
    <row r="736" spans="1:18" s="4" customFormat="1" ht="15" hidden="1" customHeight="1">
      <c r="A736" s="64"/>
      <c r="B736" s="7">
        <f t="shared" si="176"/>
        <v>146</v>
      </c>
      <c r="C736" s="7"/>
      <c r="D736" s="7"/>
      <c r="E736" s="7"/>
      <c r="F736" s="7"/>
      <c r="G736" s="7"/>
      <c r="H736" s="91"/>
      <c r="I736" s="115"/>
      <c r="J736" s="116"/>
      <c r="K736" s="116"/>
      <c r="L736" s="116"/>
      <c r="M736" s="129"/>
      <c r="N736" s="129" t="e">
        <f t="shared" si="172"/>
        <v>#DIV/0!</v>
      </c>
      <c r="O736" s="129" t="e">
        <f t="shared" si="173"/>
        <v>#DIV/0!</v>
      </c>
      <c r="P736" s="114" t="e">
        <f t="shared" si="174"/>
        <v>#DIV/0!</v>
      </c>
      <c r="Q736" s="7" t="e">
        <f t="shared" si="175"/>
        <v>#DIV/0!</v>
      </c>
      <c r="R736" s="5" t="e">
        <f t="shared" si="156"/>
        <v>#DIV/0!</v>
      </c>
    </row>
    <row r="737" spans="1:18" s="4" customFormat="1" ht="15" hidden="1" customHeight="1">
      <c r="A737" s="64"/>
      <c r="B737" s="7">
        <f t="shared" si="176"/>
        <v>147</v>
      </c>
      <c r="C737" s="7"/>
      <c r="D737" s="7"/>
      <c r="E737" s="7"/>
      <c r="F737" s="7"/>
      <c r="G737" s="7"/>
      <c r="H737" s="91"/>
      <c r="I737" s="115"/>
      <c r="J737" s="116"/>
      <c r="K737" s="116"/>
      <c r="L737" s="116"/>
      <c r="M737" s="129"/>
      <c r="N737" s="129" t="e">
        <f t="shared" si="172"/>
        <v>#DIV/0!</v>
      </c>
      <c r="O737" s="129" t="e">
        <f t="shared" si="173"/>
        <v>#DIV/0!</v>
      </c>
      <c r="P737" s="114" t="e">
        <f t="shared" si="174"/>
        <v>#DIV/0!</v>
      </c>
      <c r="Q737" s="7" t="e">
        <f t="shared" si="175"/>
        <v>#DIV/0!</v>
      </c>
      <c r="R737" s="5" t="e">
        <f t="shared" si="156"/>
        <v>#DIV/0!</v>
      </c>
    </row>
    <row r="738" spans="1:18" s="4" customFormat="1" ht="15" hidden="1" customHeight="1">
      <c r="A738" s="64"/>
      <c r="B738" s="7">
        <f t="shared" si="176"/>
        <v>148</v>
      </c>
      <c r="C738" s="7"/>
      <c r="D738" s="7"/>
      <c r="E738" s="7"/>
      <c r="F738" s="7"/>
      <c r="G738" s="7"/>
      <c r="H738" s="91"/>
      <c r="I738" s="115"/>
      <c r="J738" s="116"/>
      <c r="K738" s="116"/>
      <c r="L738" s="116"/>
      <c r="M738" s="129"/>
      <c r="N738" s="129" t="e">
        <f t="shared" si="172"/>
        <v>#DIV/0!</v>
      </c>
      <c r="O738" s="129" t="e">
        <f t="shared" si="173"/>
        <v>#DIV/0!</v>
      </c>
      <c r="P738" s="114" t="e">
        <f t="shared" si="174"/>
        <v>#DIV/0!</v>
      </c>
      <c r="Q738" s="7" t="e">
        <f t="shared" si="175"/>
        <v>#DIV/0!</v>
      </c>
      <c r="R738" s="5" t="e">
        <f t="shared" si="156"/>
        <v>#DIV/0!</v>
      </c>
    </row>
    <row r="739" spans="1:18" s="4" customFormat="1" ht="15" hidden="1" customHeight="1">
      <c r="A739" s="64"/>
      <c r="B739" s="7">
        <f t="shared" si="176"/>
        <v>149</v>
      </c>
      <c r="C739" s="7"/>
      <c r="D739" s="7"/>
      <c r="E739" s="7"/>
      <c r="F739" s="7"/>
      <c r="G739" s="7"/>
      <c r="H739" s="91"/>
      <c r="I739" s="115"/>
      <c r="J739" s="116"/>
      <c r="K739" s="116"/>
      <c r="L739" s="116"/>
      <c r="M739" s="129"/>
      <c r="N739" s="129" t="e">
        <f t="shared" si="172"/>
        <v>#DIV/0!</v>
      </c>
      <c r="O739" s="129" t="e">
        <f t="shared" si="173"/>
        <v>#DIV/0!</v>
      </c>
      <c r="P739" s="114" t="e">
        <f t="shared" si="174"/>
        <v>#DIV/0!</v>
      </c>
      <c r="Q739" s="7" t="e">
        <f t="shared" si="175"/>
        <v>#DIV/0!</v>
      </c>
      <c r="R739" s="5" t="e">
        <f t="shared" si="156"/>
        <v>#DIV/0!</v>
      </c>
    </row>
    <row r="740" spans="1:18" s="4" customFormat="1" ht="15" hidden="1" customHeight="1">
      <c r="A740" s="64"/>
      <c r="B740" s="7">
        <f t="shared" si="176"/>
        <v>150</v>
      </c>
      <c r="C740" s="7"/>
      <c r="D740" s="7"/>
      <c r="E740" s="7"/>
      <c r="F740" s="7"/>
      <c r="G740" s="7"/>
      <c r="H740" s="91"/>
      <c r="I740" s="115"/>
      <c r="J740" s="116"/>
      <c r="K740" s="116"/>
      <c r="L740" s="116"/>
      <c r="M740" s="129"/>
      <c r="N740" s="129" t="e">
        <f t="shared" si="172"/>
        <v>#DIV/0!</v>
      </c>
      <c r="O740" s="129" t="e">
        <f t="shared" si="173"/>
        <v>#DIV/0!</v>
      </c>
      <c r="P740" s="114" t="e">
        <f t="shared" si="174"/>
        <v>#DIV/0!</v>
      </c>
      <c r="Q740" s="7" t="e">
        <f t="shared" si="175"/>
        <v>#DIV/0!</v>
      </c>
      <c r="R740" s="5" t="e">
        <f t="shared" si="156"/>
        <v>#DIV/0!</v>
      </c>
    </row>
    <row r="741" spans="1:18" s="4" customFormat="1" ht="15" hidden="1" customHeight="1">
      <c r="A741" s="64"/>
      <c r="B741" s="7">
        <f t="shared" si="176"/>
        <v>151</v>
      </c>
      <c r="C741" s="7"/>
      <c r="D741" s="7"/>
      <c r="E741" s="7"/>
      <c r="F741" s="7"/>
      <c r="G741" s="7"/>
      <c r="H741" s="91"/>
      <c r="I741" s="115"/>
      <c r="J741" s="116"/>
      <c r="K741" s="116"/>
      <c r="L741" s="116"/>
      <c r="M741" s="129"/>
      <c r="N741" s="129" t="e">
        <f t="shared" si="172"/>
        <v>#DIV/0!</v>
      </c>
      <c r="O741" s="129" t="e">
        <f t="shared" si="173"/>
        <v>#DIV/0!</v>
      </c>
      <c r="P741" s="114" t="e">
        <f t="shared" si="174"/>
        <v>#DIV/0!</v>
      </c>
      <c r="Q741" s="7" t="e">
        <f t="shared" si="175"/>
        <v>#DIV/0!</v>
      </c>
      <c r="R741" s="5" t="e">
        <f t="shared" si="156"/>
        <v>#DIV/0!</v>
      </c>
    </row>
    <row r="742" spans="1:18" s="4" customFormat="1" ht="15" hidden="1" customHeight="1">
      <c r="A742" s="64"/>
      <c r="B742" s="7">
        <f t="shared" si="176"/>
        <v>152</v>
      </c>
      <c r="C742" s="7"/>
      <c r="D742" s="7"/>
      <c r="E742" s="7"/>
      <c r="F742" s="7"/>
      <c r="G742" s="7"/>
      <c r="H742" s="91"/>
      <c r="I742" s="115"/>
      <c r="J742" s="116"/>
      <c r="K742" s="116"/>
      <c r="L742" s="116"/>
      <c r="M742" s="129"/>
      <c r="N742" s="129" t="e">
        <f t="shared" si="172"/>
        <v>#DIV/0!</v>
      </c>
      <c r="O742" s="129" t="e">
        <f t="shared" si="173"/>
        <v>#DIV/0!</v>
      </c>
      <c r="P742" s="114" t="e">
        <f t="shared" si="174"/>
        <v>#DIV/0!</v>
      </c>
      <c r="Q742" s="7" t="e">
        <f t="shared" si="175"/>
        <v>#DIV/0!</v>
      </c>
      <c r="R742" s="5" t="e">
        <f t="shared" si="156"/>
        <v>#DIV/0!</v>
      </c>
    </row>
    <row r="743" spans="1:18" s="4" customFormat="1" ht="15" hidden="1" customHeight="1">
      <c r="A743" s="64"/>
      <c r="B743" s="7">
        <f t="shared" si="176"/>
        <v>153</v>
      </c>
      <c r="C743" s="7"/>
      <c r="D743" s="7"/>
      <c r="E743" s="7"/>
      <c r="F743" s="7"/>
      <c r="G743" s="7"/>
      <c r="H743" s="91"/>
      <c r="I743" s="115"/>
      <c r="J743" s="116"/>
      <c r="K743" s="116"/>
      <c r="L743" s="116"/>
      <c r="M743" s="129"/>
      <c r="N743" s="129" t="e">
        <f t="shared" si="172"/>
        <v>#DIV/0!</v>
      </c>
      <c r="O743" s="129" t="e">
        <f t="shared" si="173"/>
        <v>#DIV/0!</v>
      </c>
      <c r="P743" s="114" t="e">
        <f t="shared" si="174"/>
        <v>#DIV/0!</v>
      </c>
      <c r="Q743" s="7" t="e">
        <f t="shared" si="175"/>
        <v>#DIV/0!</v>
      </c>
      <c r="R743" s="5" t="e">
        <f t="shared" si="156"/>
        <v>#DIV/0!</v>
      </c>
    </row>
    <row r="744" spans="1:18" s="4" customFormat="1" ht="15" customHeight="1">
      <c r="A744" s="64"/>
      <c r="B744" s="336" t="s">
        <v>22</v>
      </c>
      <c r="C744" s="337"/>
      <c r="D744" s="337"/>
      <c r="E744" s="338"/>
      <c r="F744" s="8">
        <f>+COUNTA(C591:C743)</f>
        <v>26</v>
      </c>
      <c r="G744" s="9"/>
      <c r="H744" s="7"/>
      <c r="I744" s="91"/>
      <c r="J744" s="91"/>
      <c r="K744" s="92"/>
      <c r="L744" s="92"/>
      <c r="M744" s="92"/>
      <c r="N744" s="129"/>
      <c r="O744" s="129"/>
      <c r="P744" s="129"/>
      <c r="Q744" s="114"/>
      <c r="R744" s="5" t="b">
        <f t="shared" si="156"/>
        <v>0</v>
      </c>
    </row>
    <row r="745" spans="1:18" s="4" customFormat="1" ht="15" customHeight="1">
      <c r="A745" s="64"/>
      <c r="B745" s="327" t="s">
        <v>572</v>
      </c>
      <c r="C745" s="328"/>
      <c r="D745" s="328"/>
      <c r="E745" s="328"/>
      <c r="F745" s="328"/>
      <c r="G745" s="328"/>
      <c r="H745" s="328"/>
      <c r="I745" s="328"/>
      <c r="J745" s="328"/>
      <c r="K745" s="328"/>
      <c r="L745" s="328"/>
      <c r="M745" s="328"/>
      <c r="N745" s="328"/>
      <c r="O745" s="328"/>
      <c r="P745" s="328"/>
      <c r="Q745" s="329"/>
      <c r="R745" s="5" t="b">
        <f t="shared" si="113"/>
        <v>0</v>
      </c>
    </row>
    <row r="746" spans="1:18" s="4" customFormat="1" ht="15" customHeight="1">
      <c r="A746" s="64"/>
      <c r="B746" s="7">
        <v>1</v>
      </c>
      <c r="C746" s="211" t="s">
        <v>10</v>
      </c>
      <c r="D746" s="211" t="s">
        <v>32</v>
      </c>
      <c r="E746" s="211" t="s">
        <v>15</v>
      </c>
      <c r="F746" s="211" t="s">
        <v>30</v>
      </c>
      <c r="G746" s="211">
        <v>2011</v>
      </c>
      <c r="H746" s="211" t="s">
        <v>25</v>
      </c>
      <c r="I746" s="256" t="s">
        <v>26</v>
      </c>
      <c r="J746" s="240">
        <v>24609.42</v>
      </c>
      <c r="K746" s="239">
        <v>276.5</v>
      </c>
      <c r="L746" s="239">
        <v>87.29</v>
      </c>
      <c r="M746" s="239">
        <v>356.21000000000004</v>
      </c>
      <c r="N746" s="129">
        <f t="shared" ref="N746" si="177">+K746/(K746+L746)</f>
        <v>0.76005387723686735</v>
      </c>
      <c r="O746" s="129">
        <f t="shared" ref="O746" si="178">+(K746+M746)/(K746+L746+M746)</f>
        <v>0.8787638888888889</v>
      </c>
      <c r="P746" s="129">
        <f t="shared" ref="P746:P766" si="179">+K746/(K746+M746)</f>
        <v>0.43700905628170883</v>
      </c>
      <c r="Q746" s="114">
        <f t="shared" ref="Q746:Q766" si="180">+J746/K746</f>
        <v>89.003327305605779</v>
      </c>
      <c r="R746" s="5" t="b">
        <f t="shared" si="113"/>
        <v>0</v>
      </c>
    </row>
    <row r="747" spans="1:18" s="4" customFormat="1" ht="15" customHeight="1">
      <c r="A747" s="64"/>
      <c r="B747" s="7">
        <f>+B746+1</f>
        <v>2</v>
      </c>
      <c r="C747" s="211" t="s">
        <v>10</v>
      </c>
      <c r="D747" s="211" t="s">
        <v>33</v>
      </c>
      <c r="E747" s="211" t="s">
        <v>15</v>
      </c>
      <c r="F747" s="211" t="s">
        <v>30</v>
      </c>
      <c r="G747" s="211">
        <v>2012</v>
      </c>
      <c r="H747" s="211" t="s">
        <v>25</v>
      </c>
      <c r="I747" s="256" t="s">
        <v>26</v>
      </c>
      <c r="J747" s="240">
        <v>23406.240000000002</v>
      </c>
      <c r="K747" s="239">
        <v>290.94</v>
      </c>
      <c r="L747" s="239">
        <v>72.44</v>
      </c>
      <c r="M747" s="239">
        <v>356.61999999999995</v>
      </c>
      <c r="N747" s="129">
        <f t="shared" ref="N747:N762" si="181">+K747/(K747+L747)</f>
        <v>0.80064945786779684</v>
      </c>
      <c r="O747" s="129">
        <f t="shared" ref="O747:O762" si="182">+(K747+M747)/(K747+L747+M747)</f>
        <v>0.89938888888888879</v>
      </c>
      <c r="P747" s="129">
        <f t="shared" si="179"/>
        <v>0.44928655259744277</v>
      </c>
      <c r="Q747" s="114">
        <f t="shared" si="180"/>
        <v>80.450402144772127</v>
      </c>
      <c r="R747" s="5" t="b">
        <f t="shared" si="113"/>
        <v>0</v>
      </c>
    </row>
    <row r="748" spans="1:18" s="4" customFormat="1" ht="15" customHeight="1">
      <c r="A748" s="64"/>
      <c r="B748" s="7">
        <f t="shared" ref="B748:B811" si="183">+B747+1</f>
        <v>3</v>
      </c>
      <c r="C748" s="211" t="s">
        <v>10</v>
      </c>
      <c r="D748" s="211" t="s">
        <v>544</v>
      </c>
      <c r="E748" s="211" t="s">
        <v>15</v>
      </c>
      <c r="F748" s="211" t="s">
        <v>30</v>
      </c>
      <c r="G748" s="211">
        <v>2008</v>
      </c>
      <c r="H748" s="211" t="s">
        <v>25</v>
      </c>
      <c r="I748" s="256" t="s">
        <v>26</v>
      </c>
      <c r="J748" s="240">
        <v>18198.8</v>
      </c>
      <c r="K748" s="239">
        <v>259.8</v>
      </c>
      <c r="L748" s="239">
        <v>65.86</v>
      </c>
      <c r="M748" s="239">
        <v>394.34</v>
      </c>
      <c r="N748" s="129">
        <f t="shared" si="181"/>
        <v>0.79776453970398575</v>
      </c>
      <c r="O748" s="129">
        <f t="shared" si="182"/>
        <v>0.90852777777777771</v>
      </c>
      <c r="P748" s="129">
        <f t="shared" si="179"/>
        <v>0.39716268688659923</v>
      </c>
      <c r="Q748" s="114">
        <f t="shared" si="180"/>
        <v>70.049268668206309</v>
      </c>
      <c r="R748" s="5" t="str">
        <f t="shared" si="113"/>
        <v>PAMA</v>
      </c>
    </row>
    <row r="749" spans="1:18" s="4" customFormat="1" ht="15" customHeight="1">
      <c r="A749" s="64"/>
      <c r="B749" s="7">
        <f t="shared" si="183"/>
        <v>4</v>
      </c>
      <c r="C749" s="211" t="s">
        <v>10</v>
      </c>
      <c r="D749" s="211" t="s">
        <v>488</v>
      </c>
      <c r="E749" s="211" t="s">
        <v>15</v>
      </c>
      <c r="F749" s="211" t="s">
        <v>30</v>
      </c>
      <c r="G749" s="211">
        <v>2009</v>
      </c>
      <c r="H749" s="211" t="s">
        <v>25</v>
      </c>
      <c r="I749" s="256" t="s">
        <v>26</v>
      </c>
      <c r="J749" s="240">
        <v>32649.87</v>
      </c>
      <c r="K749" s="239">
        <v>322.88</v>
      </c>
      <c r="L749" s="239">
        <v>27.89</v>
      </c>
      <c r="M749" s="239">
        <v>369.23</v>
      </c>
      <c r="N749" s="129">
        <f t="shared" si="181"/>
        <v>0.92048920945348811</v>
      </c>
      <c r="O749" s="129">
        <f t="shared" si="182"/>
        <v>0.96126388888888892</v>
      </c>
      <c r="P749" s="129">
        <f t="shared" si="179"/>
        <v>0.46651543829738046</v>
      </c>
      <c r="Q749" s="114">
        <f t="shared" si="180"/>
        <v>101.12075693756194</v>
      </c>
      <c r="R749" s="5" t="str">
        <f t="shared" si="113"/>
        <v>PAMA</v>
      </c>
    </row>
    <row r="750" spans="1:18" s="4" customFormat="1" ht="15" customHeight="1">
      <c r="A750" s="64"/>
      <c r="B750" s="7">
        <f t="shared" si="183"/>
        <v>5</v>
      </c>
      <c r="C750" s="211" t="s">
        <v>10</v>
      </c>
      <c r="D750" s="211" t="s">
        <v>48</v>
      </c>
      <c r="E750" s="211" t="s">
        <v>15</v>
      </c>
      <c r="F750" s="211" t="s">
        <v>30</v>
      </c>
      <c r="G750" s="211">
        <v>2009</v>
      </c>
      <c r="H750" s="211" t="s">
        <v>25</v>
      </c>
      <c r="I750" s="256" t="s">
        <v>26</v>
      </c>
      <c r="J750" s="240">
        <v>19703.68</v>
      </c>
      <c r="K750" s="239">
        <v>273.86</v>
      </c>
      <c r="L750" s="239">
        <v>33.51</v>
      </c>
      <c r="M750" s="239">
        <v>412.63</v>
      </c>
      <c r="N750" s="129">
        <f t="shared" si="181"/>
        <v>0.89097829976900811</v>
      </c>
      <c r="O750" s="129">
        <f t="shared" si="182"/>
        <v>0.9534583333333333</v>
      </c>
      <c r="P750" s="129">
        <f t="shared" si="179"/>
        <v>0.39892787950297892</v>
      </c>
      <c r="Q750" s="114">
        <f t="shared" si="180"/>
        <v>71.948002629080548</v>
      </c>
      <c r="R750" s="5" t="str">
        <f t="shared" si="113"/>
        <v>PAMA</v>
      </c>
    </row>
    <row r="751" spans="1:18" s="4" customFormat="1" ht="15" customHeight="1">
      <c r="A751" s="64"/>
      <c r="B751" s="7">
        <f t="shared" si="183"/>
        <v>6</v>
      </c>
      <c r="C751" s="211" t="s">
        <v>10</v>
      </c>
      <c r="D751" s="211" t="s">
        <v>531</v>
      </c>
      <c r="E751" s="211" t="s">
        <v>15</v>
      </c>
      <c r="F751" s="211" t="s">
        <v>30</v>
      </c>
      <c r="G751" s="211">
        <v>2009</v>
      </c>
      <c r="H751" s="211" t="s">
        <v>25</v>
      </c>
      <c r="I751" s="256" t="s">
        <v>26</v>
      </c>
      <c r="J751" s="240">
        <v>27640.51</v>
      </c>
      <c r="K751" s="239">
        <v>191.43</v>
      </c>
      <c r="L751" s="239">
        <v>215.57</v>
      </c>
      <c r="M751" s="239">
        <v>313</v>
      </c>
      <c r="N751" s="129">
        <f t="shared" si="181"/>
        <v>0.47034398034398034</v>
      </c>
      <c r="O751" s="129">
        <f t="shared" si="182"/>
        <v>0.7005972222222222</v>
      </c>
      <c r="P751" s="129">
        <f t="shared" si="179"/>
        <v>0.37949765081378983</v>
      </c>
      <c r="Q751" s="114">
        <f t="shared" si="180"/>
        <v>144.38964634592278</v>
      </c>
      <c r="R751" s="5" t="b">
        <f t="shared" ref="R751:R814" si="184">IF(O751&gt;89.9999999999999%,"PAMA")</f>
        <v>0</v>
      </c>
    </row>
    <row r="752" spans="1:18" s="4" customFormat="1" ht="15" customHeight="1">
      <c r="A752" s="64"/>
      <c r="B752" s="7">
        <f t="shared" si="183"/>
        <v>7</v>
      </c>
      <c r="C752" s="211" t="s">
        <v>10</v>
      </c>
      <c r="D752" s="211" t="s">
        <v>532</v>
      </c>
      <c r="E752" s="211" t="s">
        <v>15</v>
      </c>
      <c r="F752" s="211" t="s">
        <v>30</v>
      </c>
      <c r="G752" s="211">
        <v>2009</v>
      </c>
      <c r="H752" s="211" t="s">
        <v>25</v>
      </c>
      <c r="I752" s="256" t="s">
        <v>26</v>
      </c>
      <c r="J752" s="240">
        <v>39787.75</v>
      </c>
      <c r="K752" s="239">
        <v>360.15</v>
      </c>
      <c r="L752" s="239">
        <v>14.95</v>
      </c>
      <c r="M752" s="239">
        <v>344.9</v>
      </c>
      <c r="N752" s="129">
        <f t="shared" si="181"/>
        <v>0.9601439616102373</v>
      </c>
      <c r="O752" s="129">
        <f t="shared" si="182"/>
        <v>0.97923611111111108</v>
      </c>
      <c r="P752" s="129">
        <f t="shared" si="179"/>
        <v>0.51081483582724629</v>
      </c>
      <c r="Q752" s="114">
        <f t="shared" si="180"/>
        <v>110.47549632097737</v>
      </c>
      <c r="R752" s="5" t="str">
        <f t="shared" si="184"/>
        <v>PAMA</v>
      </c>
    </row>
    <row r="753" spans="1:18" s="4" customFormat="1" ht="15" customHeight="1">
      <c r="A753" s="64"/>
      <c r="B753" s="7">
        <f t="shared" si="183"/>
        <v>8</v>
      </c>
      <c r="C753" s="211" t="s">
        <v>10</v>
      </c>
      <c r="D753" s="211" t="s">
        <v>493</v>
      </c>
      <c r="E753" s="211" t="s">
        <v>15</v>
      </c>
      <c r="F753" s="211" t="s">
        <v>30</v>
      </c>
      <c r="G753" s="211">
        <v>2009</v>
      </c>
      <c r="H753" s="211" t="s">
        <v>25</v>
      </c>
      <c r="I753" s="256" t="s">
        <v>26</v>
      </c>
      <c r="J753" s="240">
        <v>30852.92</v>
      </c>
      <c r="K753" s="239">
        <v>338.41</v>
      </c>
      <c r="L753" s="239">
        <v>20.81</v>
      </c>
      <c r="M753" s="239">
        <v>360.78000000000003</v>
      </c>
      <c r="N753" s="129">
        <f t="shared" si="181"/>
        <v>0.94206892711987078</v>
      </c>
      <c r="O753" s="129">
        <f t="shared" si="182"/>
        <v>0.97109722222222228</v>
      </c>
      <c r="P753" s="129">
        <f t="shared" si="179"/>
        <v>0.48400291766186587</v>
      </c>
      <c r="Q753" s="114">
        <f t="shared" si="180"/>
        <v>91.170237286132192</v>
      </c>
      <c r="R753" s="5" t="str">
        <f t="shared" si="184"/>
        <v>PAMA</v>
      </c>
    </row>
    <row r="754" spans="1:18" s="4" customFormat="1" ht="15" customHeight="1">
      <c r="A754" s="64"/>
      <c r="B754" s="7">
        <f t="shared" si="183"/>
        <v>9</v>
      </c>
      <c r="C754" s="211" t="s">
        <v>10</v>
      </c>
      <c r="D754" s="211" t="s">
        <v>74</v>
      </c>
      <c r="E754" s="211" t="s">
        <v>15</v>
      </c>
      <c r="F754" s="211" t="s">
        <v>30</v>
      </c>
      <c r="G754" s="211">
        <v>2012</v>
      </c>
      <c r="H754" s="211" t="s">
        <v>25</v>
      </c>
      <c r="I754" s="256" t="s">
        <v>26</v>
      </c>
      <c r="J754" s="240">
        <v>32316.43</v>
      </c>
      <c r="K754" s="239">
        <v>317.62</v>
      </c>
      <c r="L754" s="239">
        <v>23.63</v>
      </c>
      <c r="M754" s="239">
        <v>378.75</v>
      </c>
      <c r="N754" s="129">
        <f t="shared" si="181"/>
        <v>0.93075457875457879</v>
      </c>
      <c r="O754" s="129">
        <f t="shared" si="182"/>
        <v>0.9671805555555556</v>
      </c>
      <c r="P754" s="129">
        <f t="shared" si="179"/>
        <v>0.45610810345075176</v>
      </c>
      <c r="Q754" s="114">
        <f t="shared" si="180"/>
        <v>101.74557647503306</v>
      </c>
      <c r="R754" s="5" t="str">
        <f t="shared" si="184"/>
        <v>PAMA</v>
      </c>
    </row>
    <row r="755" spans="1:18" s="4" customFormat="1" ht="15" customHeight="1">
      <c r="A755" s="64"/>
      <c r="B755" s="7">
        <f t="shared" si="183"/>
        <v>10</v>
      </c>
      <c r="C755" s="211" t="s">
        <v>10</v>
      </c>
      <c r="D755" s="211" t="s">
        <v>2100</v>
      </c>
      <c r="E755" s="211" t="s">
        <v>15</v>
      </c>
      <c r="F755" s="211" t="s">
        <v>30</v>
      </c>
      <c r="G755" s="211">
        <v>2011</v>
      </c>
      <c r="H755" s="211" t="s">
        <v>25</v>
      </c>
      <c r="I755" s="256" t="s">
        <v>26</v>
      </c>
      <c r="J755" s="240">
        <v>22539.93</v>
      </c>
      <c r="K755" s="239">
        <v>285.82</v>
      </c>
      <c r="L755" s="239">
        <v>92.07</v>
      </c>
      <c r="M755" s="239">
        <v>342.11000000000007</v>
      </c>
      <c r="N755" s="129">
        <f t="shared" si="181"/>
        <v>0.75635767022149303</v>
      </c>
      <c r="O755" s="129">
        <f t="shared" si="182"/>
        <v>0.87212500000000004</v>
      </c>
      <c r="P755" s="129">
        <f t="shared" si="179"/>
        <v>0.45517812495023324</v>
      </c>
      <c r="Q755" s="114">
        <f t="shared" si="180"/>
        <v>78.860576586662944</v>
      </c>
      <c r="R755" s="5" t="b">
        <f t="shared" si="184"/>
        <v>0</v>
      </c>
    </row>
    <row r="756" spans="1:18" s="4" customFormat="1" ht="15" customHeight="1">
      <c r="A756" s="64"/>
      <c r="B756" s="7">
        <f t="shared" si="183"/>
        <v>11</v>
      </c>
      <c r="C756" s="211" t="s">
        <v>10</v>
      </c>
      <c r="D756" s="211" t="s">
        <v>59</v>
      </c>
      <c r="E756" s="211" t="s">
        <v>15</v>
      </c>
      <c r="F756" s="211" t="s">
        <v>30</v>
      </c>
      <c r="G756" s="211">
        <v>2010</v>
      </c>
      <c r="H756" s="211" t="s">
        <v>25</v>
      </c>
      <c r="I756" s="256" t="s">
        <v>26</v>
      </c>
      <c r="J756" s="240">
        <v>21961.73</v>
      </c>
      <c r="K756" s="239">
        <v>330.83</v>
      </c>
      <c r="L756" s="239">
        <v>21.84</v>
      </c>
      <c r="M756" s="239">
        <v>367.33</v>
      </c>
      <c r="N756" s="129">
        <f t="shared" si="181"/>
        <v>0.93807241897524607</v>
      </c>
      <c r="O756" s="129">
        <f t="shared" si="182"/>
        <v>0.96966666666666668</v>
      </c>
      <c r="P756" s="129">
        <f t="shared" si="179"/>
        <v>0.4738598602039647</v>
      </c>
      <c r="Q756" s="114">
        <f t="shared" si="180"/>
        <v>66.38373182601336</v>
      </c>
      <c r="R756" s="5" t="str">
        <f t="shared" si="184"/>
        <v>PAMA</v>
      </c>
    </row>
    <row r="757" spans="1:18" s="4" customFormat="1" ht="15" customHeight="1">
      <c r="A757" s="64"/>
      <c r="B757" s="7">
        <f t="shared" si="183"/>
        <v>12</v>
      </c>
      <c r="C757" s="211" t="s">
        <v>10</v>
      </c>
      <c r="D757" s="211" t="s">
        <v>64</v>
      </c>
      <c r="E757" s="211" t="s">
        <v>15</v>
      </c>
      <c r="F757" s="211" t="s">
        <v>30</v>
      </c>
      <c r="G757" s="211">
        <v>2010</v>
      </c>
      <c r="H757" s="211" t="s">
        <v>25</v>
      </c>
      <c r="I757" s="256" t="s">
        <v>26</v>
      </c>
      <c r="J757" s="240">
        <v>36235.58</v>
      </c>
      <c r="K757" s="239">
        <v>303.10000000000002</v>
      </c>
      <c r="L757" s="239">
        <v>89.19</v>
      </c>
      <c r="M757" s="239">
        <v>327.70999999999992</v>
      </c>
      <c r="N757" s="129">
        <f t="shared" si="181"/>
        <v>0.77264268780748935</v>
      </c>
      <c r="O757" s="129">
        <f t="shared" si="182"/>
        <v>0.87612499999999993</v>
      </c>
      <c r="P757" s="129">
        <f t="shared" si="179"/>
        <v>0.48049333396743876</v>
      </c>
      <c r="Q757" s="114">
        <f t="shared" si="180"/>
        <v>119.54991751897063</v>
      </c>
      <c r="R757" s="5" t="b">
        <f t="shared" si="184"/>
        <v>0</v>
      </c>
    </row>
    <row r="758" spans="1:18" s="4" customFormat="1" ht="15" customHeight="1">
      <c r="A758" s="64"/>
      <c r="B758" s="7">
        <f t="shared" si="183"/>
        <v>13</v>
      </c>
      <c r="C758" s="211" t="s">
        <v>10</v>
      </c>
      <c r="D758" s="211" t="s">
        <v>67</v>
      </c>
      <c r="E758" s="211" t="s">
        <v>15</v>
      </c>
      <c r="F758" s="211" t="s">
        <v>30</v>
      </c>
      <c r="G758" s="211">
        <v>2010</v>
      </c>
      <c r="H758" s="211" t="s">
        <v>25</v>
      </c>
      <c r="I758" s="256" t="s">
        <v>26</v>
      </c>
      <c r="J758" s="240">
        <v>26572.95</v>
      </c>
      <c r="K758" s="239">
        <v>328.45</v>
      </c>
      <c r="L758" s="239">
        <v>22.41</v>
      </c>
      <c r="M758" s="239">
        <v>369.14000000000004</v>
      </c>
      <c r="N758" s="129">
        <f t="shared" si="181"/>
        <v>0.93612837029014417</v>
      </c>
      <c r="O758" s="129">
        <f t="shared" si="182"/>
        <v>0.96887500000000004</v>
      </c>
      <c r="P758" s="129">
        <f t="shared" si="179"/>
        <v>0.4708353044051663</v>
      </c>
      <c r="Q758" s="114">
        <f t="shared" si="180"/>
        <v>80.904094991627346</v>
      </c>
      <c r="R758" s="5" t="str">
        <f t="shared" si="184"/>
        <v>PAMA</v>
      </c>
    </row>
    <row r="759" spans="1:18" s="4" customFormat="1" ht="15" customHeight="1">
      <c r="A759" s="64"/>
      <c r="B759" s="7">
        <f t="shared" si="183"/>
        <v>14</v>
      </c>
      <c r="C759" s="7" t="s">
        <v>10</v>
      </c>
      <c r="D759" s="7" t="s">
        <v>92</v>
      </c>
      <c r="E759" s="7" t="s">
        <v>15</v>
      </c>
      <c r="F759" s="7" t="s">
        <v>30</v>
      </c>
      <c r="G759" s="7">
        <v>2011</v>
      </c>
      <c r="H759" s="7" t="s">
        <v>25</v>
      </c>
      <c r="I759" s="91" t="s">
        <v>26</v>
      </c>
      <c r="J759" s="115">
        <v>7473.59</v>
      </c>
      <c r="K759" s="116">
        <v>147.44999999999999</v>
      </c>
      <c r="L759" s="116">
        <v>2.5</v>
      </c>
      <c r="M759" s="116">
        <v>570.04999999999995</v>
      </c>
      <c r="N759" s="129">
        <f t="shared" si="181"/>
        <v>0.9833277759253084</v>
      </c>
      <c r="O759" s="129">
        <f t="shared" si="182"/>
        <v>0.99652777777777779</v>
      </c>
      <c r="P759" s="129">
        <f t="shared" si="179"/>
        <v>0.20550522648083622</v>
      </c>
      <c r="Q759" s="114">
        <f t="shared" si="180"/>
        <v>50.685588335028825</v>
      </c>
      <c r="R759" s="5" t="str">
        <f t="shared" si="184"/>
        <v>PAMA</v>
      </c>
    </row>
    <row r="760" spans="1:18" s="4" customFormat="1" ht="15" customHeight="1">
      <c r="A760" s="64"/>
      <c r="B760" s="7">
        <f t="shared" si="183"/>
        <v>15</v>
      </c>
      <c r="C760" s="7" t="s">
        <v>10</v>
      </c>
      <c r="D760" s="7" t="s">
        <v>505</v>
      </c>
      <c r="E760" s="7" t="s">
        <v>15</v>
      </c>
      <c r="F760" s="7" t="s">
        <v>30</v>
      </c>
      <c r="G760" s="7">
        <v>2017</v>
      </c>
      <c r="H760" s="7" t="s">
        <v>25</v>
      </c>
      <c r="I760" s="91" t="s">
        <v>26</v>
      </c>
      <c r="J760" s="115">
        <v>43359.96</v>
      </c>
      <c r="K760" s="116">
        <v>320.02</v>
      </c>
      <c r="L760" s="116">
        <v>12.56</v>
      </c>
      <c r="M760" s="116">
        <v>387.42000000000007</v>
      </c>
      <c r="N760" s="129">
        <f t="shared" si="181"/>
        <v>0.9622346503096999</v>
      </c>
      <c r="O760" s="129">
        <f t="shared" si="182"/>
        <v>0.98255555555555563</v>
      </c>
      <c r="P760" s="129">
        <f t="shared" si="179"/>
        <v>0.45236345131742617</v>
      </c>
      <c r="Q760" s="114">
        <f t="shared" si="180"/>
        <v>135.49140678707582</v>
      </c>
      <c r="R760" s="5" t="str">
        <f t="shared" si="184"/>
        <v>PAMA</v>
      </c>
    </row>
    <row r="761" spans="1:18" s="4" customFormat="1" ht="15" hidden="1" customHeight="1">
      <c r="A761" s="64"/>
      <c r="B761" s="7">
        <f t="shared" si="183"/>
        <v>16</v>
      </c>
      <c r="C761" s="7" t="s">
        <v>10</v>
      </c>
      <c r="D761" s="7" t="s">
        <v>505</v>
      </c>
      <c r="E761" s="7" t="s">
        <v>15</v>
      </c>
      <c r="F761" s="7" t="s">
        <v>30</v>
      </c>
      <c r="G761" s="7">
        <v>2017</v>
      </c>
      <c r="H761" s="7" t="s">
        <v>25</v>
      </c>
      <c r="I761" s="91" t="s">
        <v>26</v>
      </c>
      <c r="J761" s="115"/>
      <c r="K761" s="116"/>
      <c r="L761" s="116"/>
      <c r="M761" s="116"/>
      <c r="N761" s="129" t="e">
        <f t="shared" si="181"/>
        <v>#DIV/0!</v>
      </c>
      <c r="O761" s="129" t="e">
        <f t="shared" si="182"/>
        <v>#DIV/0!</v>
      </c>
      <c r="P761" s="129" t="e">
        <f t="shared" si="179"/>
        <v>#DIV/0!</v>
      </c>
      <c r="Q761" s="114" t="e">
        <f t="shared" si="180"/>
        <v>#DIV/0!</v>
      </c>
      <c r="R761" s="5" t="e">
        <f t="shared" si="184"/>
        <v>#DIV/0!</v>
      </c>
    </row>
    <row r="762" spans="1:18" s="4" customFormat="1" ht="15" hidden="1" customHeight="1">
      <c r="A762" s="64"/>
      <c r="B762" s="7">
        <f t="shared" si="183"/>
        <v>17</v>
      </c>
      <c r="C762" s="7" t="s">
        <v>10</v>
      </c>
      <c r="D762" s="7" t="s">
        <v>506</v>
      </c>
      <c r="E762" s="7" t="s">
        <v>15</v>
      </c>
      <c r="F762" s="7" t="s">
        <v>30</v>
      </c>
      <c r="G762" s="7">
        <v>2017</v>
      </c>
      <c r="H762" s="7" t="s">
        <v>25</v>
      </c>
      <c r="I762" s="91" t="s">
        <v>26</v>
      </c>
      <c r="J762" s="115"/>
      <c r="K762" s="116"/>
      <c r="L762" s="116"/>
      <c r="M762" s="116"/>
      <c r="N762" s="129" t="e">
        <f t="shared" si="181"/>
        <v>#DIV/0!</v>
      </c>
      <c r="O762" s="129" t="e">
        <f t="shared" si="182"/>
        <v>#DIV/0!</v>
      </c>
      <c r="P762" s="129" t="e">
        <f t="shared" si="179"/>
        <v>#DIV/0!</v>
      </c>
      <c r="Q762" s="114" t="e">
        <f t="shared" si="180"/>
        <v>#DIV/0!</v>
      </c>
      <c r="R762" s="5" t="e">
        <f t="shared" si="184"/>
        <v>#DIV/0!</v>
      </c>
    </row>
    <row r="763" spans="1:18" s="4" customFormat="1" ht="15" hidden="1" customHeight="1">
      <c r="A763" s="64"/>
      <c r="B763" s="7">
        <f t="shared" si="183"/>
        <v>18</v>
      </c>
      <c r="C763" s="7"/>
      <c r="D763" s="7"/>
      <c r="E763" s="7"/>
      <c r="F763" s="7"/>
      <c r="G763" s="7"/>
      <c r="H763" s="7"/>
      <c r="I763" s="91"/>
      <c r="J763" s="115"/>
      <c r="K763" s="116"/>
      <c r="L763" s="116"/>
      <c r="M763" s="116"/>
      <c r="N763" s="129" t="e">
        <f t="shared" ref="N763:N766" si="185">+K763/(K763+L763)</f>
        <v>#DIV/0!</v>
      </c>
      <c r="O763" s="129" t="e">
        <f t="shared" ref="O763:O766" si="186">+(K763+M763)/(K763+L763+M763)</f>
        <v>#DIV/0!</v>
      </c>
      <c r="P763" s="129" t="e">
        <f t="shared" si="179"/>
        <v>#DIV/0!</v>
      </c>
      <c r="Q763" s="114" t="e">
        <f t="shared" si="180"/>
        <v>#DIV/0!</v>
      </c>
      <c r="R763" s="5" t="e">
        <f t="shared" si="184"/>
        <v>#DIV/0!</v>
      </c>
    </row>
    <row r="764" spans="1:18" s="4" customFormat="1" ht="15" hidden="1" customHeight="1">
      <c r="A764" s="64"/>
      <c r="B764" s="7">
        <f t="shared" si="183"/>
        <v>19</v>
      </c>
      <c r="C764" s="7"/>
      <c r="D764" s="7"/>
      <c r="E764" s="7"/>
      <c r="F764" s="7"/>
      <c r="G764" s="7"/>
      <c r="H764" s="7"/>
      <c r="I764" s="91"/>
      <c r="J764" s="115"/>
      <c r="K764" s="116"/>
      <c r="L764" s="116"/>
      <c r="M764" s="116"/>
      <c r="N764" s="129" t="e">
        <f t="shared" si="185"/>
        <v>#DIV/0!</v>
      </c>
      <c r="O764" s="129" t="e">
        <f t="shared" si="186"/>
        <v>#DIV/0!</v>
      </c>
      <c r="P764" s="129" t="e">
        <f t="shared" si="179"/>
        <v>#DIV/0!</v>
      </c>
      <c r="Q764" s="114" t="e">
        <f t="shared" si="180"/>
        <v>#DIV/0!</v>
      </c>
      <c r="R764" s="5" t="e">
        <f t="shared" si="184"/>
        <v>#DIV/0!</v>
      </c>
    </row>
    <row r="765" spans="1:18" s="4" customFormat="1" ht="15" hidden="1" customHeight="1">
      <c r="A765" s="64"/>
      <c r="B765" s="7">
        <f t="shared" si="183"/>
        <v>20</v>
      </c>
      <c r="C765" s="7"/>
      <c r="D765" s="7"/>
      <c r="E765" s="7"/>
      <c r="F765" s="7"/>
      <c r="G765" s="7"/>
      <c r="H765" s="7"/>
      <c r="I765" s="91"/>
      <c r="J765" s="115"/>
      <c r="K765" s="116"/>
      <c r="L765" s="116"/>
      <c r="M765" s="116"/>
      <c r="N765" s="129" t="e">
        <f t="shared" si="185"/>
        <v>#DIV/0!</v>
      </c>
      <c r="O765" s="129" t="e">
        <f t="shared" si="186"/>
        <v>#DIV/0!</v>
      </c>
      <c r="P765" s="129" t="e">
        <f t="shared" si="179"/>
        <v>#DIV/0!</v>
      </c>
      <c r="Q765" s="114" t="e">
        <f t="shared" si="180"/>
        <v>#DIV/0!</v>
      </c>
      <c r="R765" s="5" t="e">
        <f t="shared" si="184"/>
        <v>#DIV/0!</v>
      </c>
    </row>
    <row r="766" spans="1:18" s="4" customFormat="1" ht="15" hidden="1" customHeight="1">
      <c r="A766" s="64"/>
      <c r="B766" s="7">
        <f t="shared" si="183"/>
        <v>21</v>
      </c>
      <c r="C766" s="7"/>
      <c r="D766" s="7"/>
      <c r="E766" s="7"/>
      <c r="F766" s="7"/>
      <c r="G766" s="7"/>
      <c r="H766" s="7"/>
      <c r="I766" s="91"/>
      <c r="J766" s="115"/>
      <c r="K766" s="116"/>
      <c r="L766" s="116"/>
      <c r="M766" s="116"/>
      <c r="N766" s="129" t="e">
        <f t="shared" si="185"/>
        <v>#DIV/0!</v>
      </c>
      <c r="O766" s="129" t="e">
        <f t="shared" si="186"/>
        <v>#DIV/0!</v>
      </c>
      <c r="P766" s="129" t="e">
        <f t="shared" si="179"/>
        <v>#DIV/0!</v>
      </c>
      <c r="Q766" s="114" t="e">
        <f t="shared" si="180"/>
        <v>#DIV/0!</v>
      </c>
      <c r="R766" s="5" t="e">
        <f t="shared" si="184"/>
        <v>#DIV/0!</v>
      </c>
    </row>
    <row r="767" spans="1:18" s="4" customFormat="1" ht="15" hidden="1" customHeight="1">
      <c r="A767" s="64"/>
      <c r="B767" s="7">
        <f t="shared" si="183"/>
        <v>22</v>
      </c>
      <c r="C767" s="7"/>
      <c r="D767" s="7"/>
      <c r="E767" s="7"/>
      <c r="F767" s="7"/>
      <c r="G767" s="7"/>
      <c r="H767" s="7"/>
      <c r="I767" s="91"/>
      <c r="J767" s="115"/>
      <c r="K767" s="116"/>
      <c r="L767" s="116"/>
      <c r="M767" s="116"/>
      <c r="N767" s="129"/>
      <c r="O767" s="129"/>
      <c r="P767" s="129"/>
      <c r="Q767" s="114"/>
      <c r="R767" s="5" t="b">
        <f t="shared" si="184"/>
        <v>0</v>
      </c>
    </row>
    <row r="768" spans="1:18" s="4" customFormat="1" ht="15" hidden="1" customHeight="1">
      <c r="A768" s="64"/>
      <c r="B768" s="7">
        <f t="shared" si="183"/>
        <v>23</v>
      </c>
      <c r="C768" s="7"/>
      <c r="D768" s="7"/>
      <c r="E768" s="7"/>
      <c r="F768" s="7"/>
      <c r="G768" s="7"/>
      <c r="H768" s="7"/>
      <c r="I768" s="91"/>
      <c r="J768" s="115"/>
      <c r="K768" s="116"/>
      <c r="L768" s="116"/>
      <c r="M768" s="116"/>
      <c r="N768" s="129" t="e">
        <f t="shared" ref="N768" si="187">+K768/(K768+L768)</f>
        <v>#DIV/0!</v>
      </c>
      <c r="O768" s="129" t="e">
        <f t="shared" ref="O768" si="188">+(K768+M768)/(K768+L768+M768)</f>
        <v>#DIV/0!</v>
      </c>
      <c r="P768" s="129" t="e">
        <f>+K768/(K768+M768)</f>
        <v>#DIV/0!</v>
      </c>
      <c r="Q768" s="114" t="e">
        <f>+J768/K768</f>
        <v>#DIV/0!</v>
      </c>
      <c r="R768" s="5" t="e">
        <f t="shared" si="184"/>
        <v>#DIV/0!</v>
      </c>
    </row>
    <row r="769" spans="1:18" s="4" customFormat="1" ht="15" hidden="1" customHeight="1">
      <c r="A769" s="64"/>
      <c r="B769" s="7">
        <f t="shared" si="183"/>
        <v>24</v>
      </c>
      <c r="C769" s="7"/>
      <c r="D769" s="7"/>
      <c r="E769" s="7"/>
      <c r="F769" s="7"/>
      <c r="G769" s="7"/>
      <c r="H769" s="7"/>
      <c r="I769" s="91"/>
      <c r="J769" s="115"/>
      <c r="K769" s="116"/>
      <c r="L769" s="116"/>
      <c r="M769" s="116"/>
      <c r="N769" s="129"/>
      <c r="O769" s="129"/>
      <c r="P769" s="129"/>
      <c r="Q769" s="114"/>
      <c r="R769" s="5" t="b">
        <f t="shared" si="184"/>
        <v>0</v>
      </c>
    </row>
    <row r="770" spans="1:18" s="4" customFormat="1" ht="15" hidden="1" customHeight="1">
      <c r="A770" s="64"/>
      <c r="B770" s="7">
        <f t="shared" si="183"/>
        <v>25</v>
      </c>
      <c r="C770" s="7"/>
      <c r="D770" s="7"/>
      <c r="E770" s="7"/>
      <c r="F770" s="7"/>
      <c r="G770" s="7"/>
      <c r="H770" s="7"/>
      <c r="I770" s="91"/>
      <c r="J770" s="115"/>
      <c r="K770" s="116"/>
      <c r="L770" s="116"/>
      <c r="M770" s="116"/>
      <c r="N770" s="129" t="e">
        <f t="shared" ref="N770:N777" si="189">+K770/(K770+L770)</f>
        <v>#DIV/0!</v>
      </c>
      <c r="O770" s="129" t="e">
        <f t="shared" ref="O770:O777" si="190">+(K770+M770)/(K770+L770+M770)</f>
        <v>#DIV/0!</v>
      </c>
      <c r="P770" s="129" t="e">
        <f t="shared" ref="P770:P777" si="191">+K770/(K770+M770)</f>
        <v>#DIV/0!</v>
      </c>
      <c r="Q770" s="114" t="e">
        <f t="shared" ref="Q770:Q777" si="192">+J770/K770</f>
        <v>#DIV/0!</v>
      </c>
      <c r="R770" s="5" t="e">
        <f t="shared" si="184"/>
        <v>#DIV/0!</v>
      </c>
    </row>
    <row r="771" spans="1:18" s="4" customFormat="1" ht="15" hidden="1" customHeight="1">
      <c r="A771" s="64"/>
      <c r="B771" s="7">
        <f t="shared" si="183"/>
        <v>26</v>
      </c>
      <c r="C771" s="7"/>
      <c r="D771" s="7"/>
      <c r="E771" s="7"/>
      <c r="F771" s="7"/>
      <c r="G771" s="7"/>
      <c r="H771" s="7"/>
      <c r="I771" s="91"/>
      <c r="J771" s="115"/>
      <c r="K771" s="116"/>
      <c r="L771" s="116"/>
      <c r="M771" s="116"/>
      <c r="N771" s="129" t="e">
        <f t="shared" si="189"/>
        <v>#DIV/0!</v>
      </c>
      <c r="O771" s="129" t="e">
        <f t="shared" si="190"/>
        <v>#DIV/0!</v>
      </c>
      <c r="P771" s="129" t="e">
        <f t="shared" si="191"/>
        <v>#DIV/0!</v>
      </c>
      <c r="Q771" s="114" t="e">
        <f t="shared" si="192"/>
        <v>#DIV/0!</v>
      </c>
      <c r="R771" s="5" t="e">
        <f t="shared" si="184"/>
        <v>#DIV/0!</v>
      </c>
    </row>
    <row r="772" spans="1:18" s="4" customFormat="1" ht="15" hidden="1" customHeight="1">
      <c r="A772" s="64"/>
      <c r="B772" s="7">
        <f t="shared" si="183"/>
        <v>27</v>
      </c>
      <c r="C772" s="7"/>
      <c r="D772" s="7"/>
      <c r="E772" s="7"/>
      <c r="F772" s="7"/>
      <c r="G772" s="7"/>
      <c r="H772" s="7"/>
      <c r="I772" s="91"/>
      <c r="J772" s="115"/>
      <c r="K772" s="116"/>
      <c r="L772" s="116"/>
      <c r="M772" s="116"/>
      <c r="N772" s="129" t="e">
        <f t="shared" si="189"/>
        <v>#DIV/0!</v>
      </c>
      <c r="O772" s="129" t="e">
        <f t="shared" si="190"/>
        <v>#DIV/0!</v>
      </c>
      <c r="P772" s="129" t="e">
        <f t="shared" si="191"/>
        <v>#DIV/0!</v>
      </c>
      <c r="Q772" s="114" t="e">
        <f t="shared" si="192"/>
        <v>#DIV/0!</v>
      </c>
      <c r="R772" s="5" t="e">
        <f t="shared" si="184"/>
        <v>#DIV/0!</v>
      </c>
    </row>
    <row r="773" spans="1:18" s="4" customFormat="1" ht="15" hidden="1" customHeight="1">
      <c r="A773" s="64"/>
      <c r="B773" s="7">
        <f t="shared" si="183"/>
        <v>28</v>
      </c>
      <c r="C773" s="7"/>
      <c r="D773" s="7"/>
      <c r="E773" s="7"/>
      <c r="F773" s="7"/>
      <c r="G773" s="7"/>
      <c r="H773" s="7"/>
      <c r="I773" s="91"/>
      <c r="J773" s="115"/>
      <c r="K773" s="116"/>
      <c r="L773" s="116"/>
      <c r="M773" s="116"/>
      <c r="N773" s="129" t="e">
        <f t="shared" si="189"/>
        <v>#DIV/0!</v>
      </c>
      <c r="O773" s="129" t="e">
        <f t="shared" si="190"/>
        <v>#DIV/0!</v>
      </c>
      <c r="P773" s="129" t="e">
        <f t="shared" si="191"/>
        <v>#DIV/0!</v>
      </c>
      <c r="Q773" s="114" t="e">
        <f t="shared" si="192"/>
        <v>#DIV/0!</v>
      </c>
      <c r="R773" s="5" t="e">
        <f t="shared" si="184"/>
        <v>#DIV/0!</v>
      </c>
    </row>
    <row r="774" spans="1:18" s="4" customFormat="1" ht="15" hidden="1" customHeight="1">
      <c r="A774" s="64"/>
      <c r="B774" s="7">
        <f t="shared" si="183"/>
        <v>29</v>
      </c>
      <c r="C774" s="7"/>
      <c r="D774" s="7"/>
      <c r="E774" s="7"/>
      <c r="F774" s="7"/>
      <c r="G774" s="7"/>
      <c r="H774" s="7"/>
      <c r="I774" s="91"/>
      <c r="J774" s="115"/>
      <c r="K774" s="116"/>
      <c r="L774" s="116"/>
      <c r="M774" s="116"/>
      <c r="N774" s="129" t="e">
        <f t="shared" si="189"/>
        <v>#DIV/0!</v>
      </c>
      <c r="O774" s="129" t="e">
        <f t="shared" si="190"/>
        <v>#DIV/0!</v>
      </c>
      <c r="P774" s="129" t="e">
        <f t="shared" si="191"/>
        <v>#DIV/0!</v>
      </c>
      <c r="Q774" s="114" t="e">
        <f t="shared" si="192"/>
        <v>#DIV/0!</v>
      </c>
      <c r="R774" s="5" t="e">
        <f t="shared" si="184"/>
        <v>#DIV/0!</v>
      </c>
    </row>
    <row r="775" spans="1:18" s="4" customFormat="1" ht="15" hidden="1" customHeight="1">
      <c r="A775" s="64"/>
      <c r="B775" s="7">
        <f t="shared" si="183"/>
        <v>30</v>
      </c>
      <c r="C775" s="7"/>
      <c r="D775" s="7"/>
      <c r="E775" s="7"/>
      <c r="F775" s="7"/>
      <c r="G775" s="7"/>
      <c r="H775" s="7"/>
      <c r="I775" s="91"/>
      <c r="J775" s="115"/>
      <c r="K775" s="116"/>
      <c r="L775" s="116"/>
      <c r="M775" s="116"/>
      <c r="N775" s="129" t="e">
        <f t="shared" si="189"/>
        <v>#DIV/0!</v>
      </c>
      <c r="O775" s="129" t="e">
        <f t="shared" si="190"/>
        <v>#DIV/0!</v>
      </c>
      <c r="P775" s="129" t="e">
        <f t="shared" si="191"/>
        <v>#DIV/0!</v>
      </c>
      <c r="Q775" s="114" t="e">
        <f t="shared" si="192"/>
        <v>#DIV/0!</v>
      </c>
      <c r="R775" s="5" t="e">
        <f t="shared" si="184"/>
        <v>#DIV/0!</v>
      </c>
    </row>
    <row r="776" spans="1:18" s="4" customFormat="1" ht="15" hidden="1" customHeight="1">
      <c r="A776" s="64"/>
      <c r="B776" s="7">
        <f>+B775+1</f>
        <v>31</v>
      </c>
      <c r="C776" s="7"/>
      <c r="D776" s="7"/>
      <c r="E776" s="7"/>
      <c r="F776" s="7"/>
      <c r="G776" s="7"/>
      <c r="H776" s="7"/>
      <c r="I776" s="91"/>
      <c r="J776" s="115"/>
      <c r="K776" s="116"/>
      <c r="L776" s="116"/>
      <c r="M776" s="116"/>
      <c r="N776" s="129" t="e">
        <f t="shared" si="189"/>
        <v>#DIV/0!</v>
      </c>
      <c r="O776" s="129" t="e">
        <f t="shared" si="190"/>
        <v>#DIV/0!</v>
      </c>
      <c r="P776" s="129" t="e">
        <f t="shared" si="191"/>
        <v>#DIV/0!</v>
      </c>
      <c r="Q776" s="114" t="e">
        <f t="shared" si="192"/>
        <v>#DIV/0!</v>
      </c>
      <c r="R776" s="5" t="e">
        <f t="shared" si="184"/>
        <v>#DIV/0!</v>
      </c>
    </row>
    <row r="777" spans="1:18" s="4" customFormat="1" ht="15" hidden="1" customHeight="1">
      <c r="A777" s="64"/>
      <c r="B777" s="7">
        <f t="shared" si="183"/>
        <v>32</v>
      </c>
      <c r="C777" s="7"/>
      <c r="D777" s="7"/>
      <c r="E777" s="7"/>
      <c r="F777" s="7"/>
      <c r="G777" s="7"/>
      <c r="H777" s="7"/>
      <c r="I777" s="91"/>
      <c r="J777" s="115"/>
      <c r="K777" s="116"/>
      <c r="L777" s="116"/>
      <c r="M777" s="116"/>
      <c r="N777" s="129" t="e">
        <f t="shared" si="189"/>
        <v>#DIV/0!</v>
      </c>
      <c r="O777" s="129" t="e">
        <f t="shared" si="190"/>
        <v>#DIV/0!</v>
      </c>
      <c r="P777" s="129" t="e">
        <f t="shared" si="191"/>
        <v>#DIV/0!</v>
      </c>
      <c r="Q777" s="114" t="e">
        <f t="shared" si="192"/>
        <v>#DIV/0!</v>
      </c>
      <c r="R777" s="5" t="e">
        <f t="shared" si="184"/>
        <v>#DIV/0!</v>
      </c>
    </row>
    <row r="778" spans="1:18" s="4" customFormat="1" ht="15" hidden="1" customHeight="1">
      <c r="A778" s="64"/>
      <c r="B778" s="7">
        <f t="shared" si="183"/>
        <v>33</v>
      </c>
      <c r="C778" s="7"/>
      <c r="D778" s="7"/>
      <c r="E778" s="7"/>
      <c r="F778" s="7"/>
      <c r="G778" s="7"/>
      <c r="H778" s="7"/>
      <c r="I778" s="91"/>
      <c r="J778" s="115"/>
      <c r="K778" s="116"/>
      <c r="L778" s="116"/>
      <c r="M778" s="116"/>
      <c r="N778" s="129"/>
      <c r="O778" s="129"/>
      <c r="P778" s="129"/>
      <c r="Q778" s="114"/>
      <c r="R778" s="5" t="b">
        <f t="shared" si="184"/>
        <v>0</v>
      </c>
    </row>
    <row r="779" spans="1:18" s="4" customFormat="1" ht="15" hidden="1" customHeight="1">
      <c r="A779" s="64"/>
      <c r="B779" s="7">
        <f t="shared" si="183"/>
        <v>34</v>
      </c>
      <c r="C779" s="7"/>
      <c r="D779" s="7"/>
      <c r="E779" s="7"/>
      <c r="F779" s="7"/>
      <c r="G779" s="7"/>
      <c r="H779" s="7"/>
      <c r="I779" s="91"/>
      <c r="J779" s="115"/>
      <c r="K779" s="116"/>
      <c r="L779" s="116"/>
      <c r="M779" s="116"/>
      <c r="N779" s="129" t="e">
        <f t="shared" ref="N779:N795" si="193">+K779/(K779+L779)</f>
        <v>#DIV/0!</v>
      </c>
      <c r="O779" s="129" t="e">
        <f t="shared" ref="O779:O795" si="194">+(K779+M779)/(K779+L779+M779)</f>
        <v>#DIV/0!</v>
      </c>
      <c r="P779" s="129" t="e">
        <f t="shared" ref="P779:P795" si="195">+K779/(K779+M779)</f>
        <v>#DIV/0!</v>
      </c>
      <c r="Q779" s="114" t="e">
        <f t="shared" ref="Q779:Q795" si="196">+J779/K779</f>
        <v>#DIV/0!</v>
      </c>
      <c r="R779" s="5" t="e">
        <f t="shared" si="184"/>
        <v>#DIV/0!</v>
      </c>
    </row>
    <row r="780" spans="1:18" s="4" customFormat="1" ht="15" hidden="1" customHeight="1">
      <c r="A780" s="64"/>
      <c r="B780" s="7">
        <f t="shared" si="183"/>
        <v>35</v>
      </c>
      <c r="C780" s="7"/>
      <c r="D780" s="7"/>
      <c r="E780" s="7"/>
      <c r="F780" s="7"/>
      <c r="G780" s="7"/>
      <c r="H780" s="7"/>
      <c r="I780" s="91"/>
      <c r="J780" s="115"/>
      <c r="K780" s="116"/>
      <c r="L780" s="116"/>
      <c r="M780" s="116"/>
      <c r="N780" s="129" t="e">
        <f t="shared" si="193"/>
        <v>#DIV/0!</v>
      </c>
      <c r="O780" s="129" t="e">
        <f t="shared" si="194"/>
        <v>#DIV/0!</v>
      </c>
      <c r="P780" s="129" t="e">
        <f t="shared" si="195"/>
        <v>#DIV/0!</v>
      </c>
      <c r="Q780" s="114" t="e">
        <f t="shared" si="196"/>
        <v>#DIV/0!</v>
      </c>
      <c r="R780" s="5" t="e">
        <f t="shared" si="184"/>
        <v>#DIV/0!</v>
      </c>
    </row>
    <row r="781" spans="1:18" s="4" customFormat="1" ht="15" hidden="1" customHeight="1">
      <c r="A781" s="64"/>
      <c r="B781" s="7">
        <f t="shared" si="183"/>
        <v>36</v>
      </c>
      <c r="C781" s="7"/>
      <c r="D781" s="7"/>
      <c r="E781" s="7"/>
      <c r="F781" s="7"/>
      <c r="G781" s="7"/>
      <c r="H781" s="7"/>
      <c r="I781" s="91"/>
      <c r="J781" s="115"/>
      <c r="K781" s="116"/>
      <c r="L781" s="116"/>
      <c r="M781" s="116"/>
      <c r="N781" s="129" t="e">
        <f t="shared" si="193"/>
        <v>#DIV/0!</v>
      </c>
      <c r="O781" s="129" t="e">
        <f t="shared" si="194"/>
        <v>#DIV/0!</v>
      </c>
      <c r="P781" s="129" t="e">
        <f t="shared" si="195"/>
        <v>#DIV/0!</v>
      </c>
      <c r="Q781" s="114" t="e">
        <f t="shared" si="196"/>
        <v>#DIV/0!</v>
      </c>
      <c r="R781" s="5" t="e">
        <f t="shared" si="184"/>
        <v>#DIV/0!</v>
      </c>
    </row>
    <row r="782" spans="1:18" s="4" customFormat="1" ht="15" hidden="1" customHeight="1">
      <c r="A782" s="64"/>
      <c r="B782" s="7">
        <f t="shared" si="183"/>
        <v>37</v>
      </c>
      <c r="C782" s="7"/>
      <c r="D782" s="7"/>
      <c r="E782" s="7"/>
      <c r="F782" s="7"/>
      <c r="G782" s="7"/>
      <c r="H782" s="7"/>
      <c r="I782" s="91"/>
      <c r="J782" s="115"/>
      <c r="K782" s="116"/>
      <c r="L782" s="116"/>
      <c r="M782" s="116"/>
      <c r="N782" s="129" t="e">
        <f t="shared" si="193"/>
        <v>#DIV/0!</v>
      </c>
      <c r="O782" s="129" t="e">
        <f t="shared" si="194"/>
        <v>#DIV/0!</v>
      </c>
      <c r="P782" s="129" t="e">
        <f t="shared" si="195"/>
        <v>#DIV/0!</v>
      </c>
      <c r="Q782" s="114" t="e">
        <f t="shared" si="196"/>
        <v>#DIV/0!</v>
      </c>
      <c r="R782" s="5" t="e">
        <f t="shared" si="184"/>
        <v>#DIV/0!</v>
      </c>
    </row>
    <row r="783" spans="1:18" s="4" customFormat="1" ht="15" hidden="1" customHeight="1">
      <c r="A783" s="64"/>
      <c r="B783" s="7">
        <f t="shared" si="183"/>
        <v>38</v>
      </c>
      <c r="C783" s="7"/>
      <c r="D783" s="7"/>
      <c r="E783" s="7"/>
      <c r="F783" s="7"/>
      <c r="G783" s="7"/>
      <c r="H783" s="7"/>
      <c r="I783" s="91"/>
      <c r="J783" s="115"/>
      <c r="K783" s="116"/>
      <c r="L783" s="116"/>
      <c r="M783" s="116"/>
      <c r="N783" s="129" t="e">
        <f t="shared" si="193"/>
        <v>#DIV/0!</v>
      </c>
      <c r="O783" s="129" t="e">
        <f t="shared" si="194"/>
        <v>#DIV/0!</v>
      </c>
      <c r="P783" s="129" t="e">
        <f t="shared" si="195"/>
        <v>#DIV/0!</v>
      </c>
      <c r="Q783" s="114" t="e">
        <f t="shared" si="196"/>
        <v>#DIV/0!</v>
      </c>
      <c r="R783" s="5" t="e">
        <f t="shared" si="184"/>
        <v>#DIV/0!</v>
      </c>
    </row>
    <row r="784" spans="1:18" s="4" customFormat="1" ht="15" hidden="1" customHeight="1">
      <c r="A784" s="64"/>
      <c r="B784" s="7">
        <f t="shared" si="183"/>
        <v>39</v>
      </c>
      <c r="C784" s="7"/>
      <c r="D784" s="7"/>
      <c r="E784" s="7"/>
      <c r="F784" s="7"/>
      <c r="G784" s="7"/>
      <c r="H784" s="7"/>
      <c r="I784" s="91"/>
      <c r="J784" s="115"/>
      <c r="K784" s="116"/>
      <c r="L784" s="116"/>
      <c r="M784" s="116"/>
      <c r="N784" s="129" t="e">
        <f t="shared" si="193"/>
        <v>#DIV/0!</v>
      </c>
      <c r="O784" s="129" t="e">
        <f t="shared" si="194"/>
        <v>#DIV/0!</v>
      </c>
      <c r="P784" s="129" t="e">
        <f t="shared" si="195"/>
        <v>#DIV/0!</v>
      </c>
      <c r="Q784" s="114" t="e">
        <f t="shared" si="196"/>
        <v>#DIV/0!</v>
      </c>
      <c r="R784" s="5" t="e">
        <f t="shared" si="184"/>
        <v>#DIV/0!</v>
      </c>
    </row>
    <row r="785" spans="1:18" s="4" customFormat="1" ht="15" hidden="1" customHeight="1">
      <c r="A785" s="64"/>
      <c r="B785" s="7">
        <f t="shared" si="183"/>
        <v>40</v>
      </c>
      <c r="C785" s="7"/>
      <c r="D785" s="7"/>
      <c r="E785" s="7"/>
      <c r="F785" s="7"/>
      <c r="G785" s="7"/>
      <c r="H785" s="7"/>
      <c r="I785" s="91"/>
      <c r="J785" s="115"/>
      <c r="K785" s="116"/>
      <c r="L785" s="116"/>
      <c r="M785" s="116"/>
      <c r="N785" s="129" t="e">
        <f t="shared" si="193"/>
        <v>#DIV/0!</v>
      </c>
      <c r="O785" s="129" t="e">
        <f t="shared" si="194"/>
        <v>#DIV/0!</v>
      </c>
      <c r="P785" s="129" t="e">
        <f t="shared" si="195"/>
        <v>#DIV/0!</v>
      </c>
      <c r="Q785" s="114" t="e">
        <f t="shared" si="196"/>
        <v>#DIV/0!</v>
      </c>
      <c r="R785" s="5" t="e">
        <f t="shared" si="184"/>
        <v>#DIV/0!</v>
      </c>
    </row>
    <row r="786" spans="1:18" s="4" customFormat="1" ht="15" hidden="1" customHeight="1">
      <c r="A786" s="64"/>
      <c r="B786" s="7">
        <f t="shared" si="183"/>
        <v>41</v>
      </c>
      <c r="C786" s="7"/>
      <c r="D786" s="7"/>
      <c r="E786" s="7"/>
      <c r="F786" s="7"/>
      <c r="G786" s="7"/>
      <c r="H786" s="7"/>
      <c r="I786" s="91"/>
      <c r="J786" s="115"/>
      <c r="K786" s="116"/>
      <c r="L786" s="116"/>
      <c r="M786" s="116"/>
      <c r="N786" s="129" t="e">
        <f t="shared" si="193"/>
        <v>#DIV/0!</v>
      </c>
      <c r="O786" s="129" t="e">
        <f t="shared" si="194"/>
        <v>#DIV/0!</v>
      </c>
      <c r="P786" s="129" t="e">
        <f t="shared" si="195"/>
        <v>#DIV/0!</v>
      </c>
      <c r="Q786" s="114" t="e">
        <f t="shared" si="196"/>
        <v>#DIV/0!</v>
      </c>
      <c r="R786" s="5" t="e">
        <f t="shared" si="184"/>
        <v>#DIV/0!</v>
      </c>
    </row>
    <row r="787" spans="1:18" s="4" customFormat="1" ht="15" hidden="1" customHeight="1">
      <c r="A787" s="64"/>
      <c r="B787" s="7">
        <f t="shared" si="183"/>
        <v>42</v>
      </c>
      <c r="C787" s="7"/>
      <c r="D787" s="7"/>
      <c r="E787" s="7"/>
      <c r="F787" s="7"/>
      <c r="G787" s="7"/>
      <c r="H787" s="7"/>
      <c r="I787" s="91"/>
      <c r="J787" s="115"/>
      <c r="K787" s="116"/>
      <c r="L787" s="116"/>
      <c r="M787" s="116"/>
      <c r="N787" s="129" t="e">
        <f t="shared" si="193"/>
        <v>#DIV/0!</v>
      </c>
      <c r="O787" s="129" t="e">
        <f t="shared" si="194"/>
        <v>#DIV/0!</v>
      </c>
      <c r="P787" s="129" t="e">
        <f t="shared" si="195"/>
        <v>#DIV/0!</v>
      </c>
      <c r="Q787" s="114" t="e">
        <f t="shared" si="196"/>
        <v>#DIV/0!</v>
      </c>
      <c r="R787" s="5" t="e">
        <f t="shared" si="184"/>
        <v>#DIV/0!</v>
      </c>
    </row>
    <row r="788" spans="1:18" s="4" customFormat="1" ht="15" hidden="1" customHeight="1">
      <c r="A788" s="64"/>
      <c r="B788" s="7">
        <f t="shared" si="183"/>
        <v>43</v>
      </c>
      <c r="C788" s="7"/>
      <c r="D788" s="7"/>
      <c r="E788" s="7"/>
      <c r="F788" s="7"/>
      <c r="G788" s="7"/>
      <c r="H788" s="7"/>
      <c r="I788" s="91"/>
      <c r="J788" s="115"/>
      <c r="K788" s="116"/>
      <c r="L788" s="116"/>
      <c r="M788" s="116"/>
      <c r="N788" s="129" t="e">
        <f t="shared" si="193"/>
        <v>#DIV/0!</v>
      </c>
      <c r="O788" s="129" t="e">
        <f t="shared" si="194"/>
        <v>#DIV/0!</v>
      </c>
      <c r="P788" s="129" t="e">
        <f t="shared" si="195"/>
        <v>#DIV/0!</v>
      </c>
      <c r="Q788" s="114" t="e">
        <f t="shared" si="196"/>
        <v>#DIV/0!</v>
      </c>
      <c r="R788" s="5" t="e">
        <f t="shared" si="184"/>
        <v>#DIV/0!</v>
      </c>
    </row>
    <row r="789" spans="1:18" s="4" customFormat="1" ht="15" hidden="1" customHeight="1">
      <c r="A789" s="64"/>
      <c r="B789" s="7">
        <f t="shared" si="183"/>
        <v>44</v>
      </c>
      <c r="C789" s="7"/>
      <c r="D789" s="7"/>
      <c r="E789" s="7"/>
      <c r="F789" s="7"/>
      <c r="G789" s="7"/>
      <c r="H789" s="7"/>
      <c r="I789" s="91"/>
      <c r="J789" s="115"/>
      <c r="K789" s="116"/>
      <c r="L789" s="116"/>
      <c r="M789" s="116"/>
      <c r="N789" s="129" t="e">
        <f t="shared" si="193"/>
        <v>#DIV/0!</v>
      </c>
      <c r="O789" s="129" t="e">
        <f t="shared" si="194"/>
        <v>#DIV/0!</v>
      </c>
      <c r="P789" s="129" t="e">
        <f t="shared" si="195"/>
        <v>#DIV/0!</v>
      </c>
      <c r="Q789" s="114" t="e">
        <f t="shared" si="196"/>
        <v>#DIV/0!</v>
      </c>
      <c r="R789" s="5" t="e">
        <f t="shared" si="184"/>
        <v>#DIV/0!</v>
      </c>
    </row>
    <row r="790" spans="1:18" s="4" customFormat="1" ht="15" hidden="1" customHeight="1">
      <c r="A790" s="64"/>
      <c r="B790" s="7">
        <f t="shared" si="183"/>
        <v>45</v>
      </c>
      <c r="C790" s="7"/>
      <c r="D790" s="7"/>
      <c r="E790" s="7"/>
      <c r="F790" s="7"/>
      <c r="G790" s="7"/>
      <c r="H790" s="7"/>
      <c r="I790" s="91"/>
      <c r="J790" s="115"/>
      <c r="K790" s="116"/>
      <c r="L790" s="116"/>
      <c r="M790" s="116"/>
      <c r="N790" s="129" t="e">
        <f t="shared" si="193"/>
        <v>#DIV/0!</v>
      </c>
      <c r="O790" s="129" t="e">
        <f t="shared" si="194"/>
        <v>#DIV/0!</v>
      </c>
      <c r="P790" s="129" t="e">
        <f t="shared" si="195"/>
        <v>#DIV/0!</v>
      </c>
      <c r="Q790" s="114" t="e">
        <f t="shared" si="196"/>
        <v>#DIV/0!</v>
      </c>
      <c r="R790" s="5" t="e">
        <f t="shared" si="184"/>
        <v>#DIV/0!</v>
      </c>
    </row>
    <row r="791" spans="1:18" s="4" customFormat="1" ht="15" hidden="1" customHeight="1">
      <c r="A791" s="64"/>
      <c r="B791" s="7">
        <f t="shared" si="183"/>
        <v>46</v>
      </c>
      <c r="C791" s="7"/>
      <c r="D791" s="7"/>
      <c r="E791" s="7"/>
      <c r="F791" s="7"/>
      <c r="G791" s="7"/>
      <c r="H791" s="7"/>
      <c r="I791" s="91"/>
      <c r="J791" s="115"/>
      <c r="K791" s="116"/>
      <c r="L791" s="116"/>
      <c r="M791" s="116"/>
      <c r="N791" s="129" t="e">
        <f t="shared" si="193"/>
        <v>#DIV/0!</v>
      </c>
      <c r="O791" s="129" t="e">
        <f t="shared" si="194"/>
        <v>#DIV/0!</v>
      </c>
      <c r="P791" s="129" t="e">
        <f t="shared" si="195"/>
        <v>#DIV/0!</v>
      </c>
      <c r="Q791" s="114" t="e">
        <f t="shared" si="196"/>
        <v>#DIV/0!</v>
      </c>
      <c r="R791" s="5" t="e">
        <f t="shared" si="184"/>
        <v>#DIV/0!</v>
      </c>
    </row>
    <row r="792" spans="1:18" s="4" customFormat="1" ht="15" hidden="1" customHeight="1">
      <c r="A792" s="64"/>
      <c r="B792" s="7">
        <f t="shared" si="183"/>
        <v>47</v>
      </c>
      <c r="C792" s="7"/>
      <c r="D792" s="7"/>
      <c r="E792" s="7"/>
      <c r="F792" s="7"/>
      <c r="G792" s="7"/>
      <c r="H792" s="7"/>
      <c r="I792" s="91"/>
      <c r="J792" s="115"/>
      <c r="K792" s="116"/>
      <c r="L792" s="116"/>
      <c r="M792" s="116"/>
      <c r="N792" s="129" t="e">
        <f t="shared" si="193"/>
        <v>#DIV/0!</v>
      </c>
      <c r="O792" s="129" t="e">
        <f t="shared" si="194"/>
        <v>#DIV/0!</v>
      </c>
      <c r="P792" s="129" t="e">
        <f t="shared" si="195"/>
        <v>#DIV/0!</v>
      </c>
      <c r="Q792" s="114" t="e">
        <f t="shared" si="196"/>
        <v>#DIV/0!</v>
      </c>
      <c r="R792" s="5" t="e">
        <f t="shared" si="184"/>
        <v>#DIV/0!</v>
      </c>
    </row>
    <row r="793" spans="1:18" s="4" customFormat="1" ht="15" hidden="1" customHeight="1">
      <c r="A793" s="64"/>
      <c r="B793" s="7">
        <f t="shared" si="183"/>
        <v>48</v>
      </c>
      <c r="C793" s="7"/>
      <c r="D793" s="7"/>
      <c r="E793" s="7"/>
      <c r="F793" s="7"/>
      <c r="G793" s="7"/>
      <c r="H793" s="7"/>
      <c r="I793" s="91"/>
      <c r="J793" s="115"/>
      <c r="K793" s="116"/>
      <c r="L793" s="116"/>
      <c r="M793" s="116"/>
      <c r="N793" s="129" t="e">
        <f t="shared" si="193"/>
        <v>#DIV/0!</v>
      </c>
      <c r="O793" s="129" t="e">
        <f t="shared" si="194"/>
        <v>#DIV/0!</v>
      </c>
      <c r="P793" s="129" t="e">
        <f t="shared" si="195"/>
        <v>#DIV/0!</v>
      </c>
      <c r="Q793" s="114" t="e">
        <f t="shared" si="196"/>
        <v>#DIV/0!</v>
      </c>
      <c r="R793" s="5" t="e">
        <f t="shared" si="184"/>
        <v>#DIV/0!</v>
      </c>
    </row>
    <row r="794" spans="1:18" s="4" customFormat="1" ht="15" hidden="1" customHeight="1">
      <c r="A794" s="64"/>
      <c r="B794" s="7">
        <f t="shared" si="183"/>
        <v>49</v>
      </c>
      <c r="C794" s="7"/>
      <c r="D794" s="7"/>
      <c r="E794" s="7"/>
      <c r="F794" s="7"/>
      <c r="G794" s="7"/>
      <c r="H794" s="7"/>
      <c r="I794" s="91"/>
      <c r="J794" s="115"/>
      <c r="K794" s="116"/>
      <c r="L794" s="116"/>
      <c r="M794" s="116"/>
      <c r="N794" s="129" t="e">
        <f t="shared" si="193"/>
        <v>#DIV/0!</v>
      </c>
      <c r="O794" s="129" t="e">
        <f t="shared" si="194"/>
        <v>#DIV/0!</v>
      </c>
      <c r="P794" s="129" t="e">
        <f t="shared" si="195"/>
        <v>#DIV/0!</v>
      </c>
      <c r="Q794" s="114" t="e">
        <f t="shared" si="196"/>
        <v>#DIV/0!</v>
      </c>
      <c r="R794" s="5" t="e">
        <f t="shared" si="184"/>
        <v>#DIV/0!</v>
      </c>
    </row>
    <row r="795" spans="1:18" s="4" customFormat="1" ht="15" hidden="1" customHeight="1">
      <c r="A795" s="64"/>
      <c r="B795" s="7">
        <f t="shared" si="183"/>
        <v>50</v>
      </c>
      <c r="C795" s="7"/>
      <c r="D795" s="7"/>
      <c r="E795" s="7"/>
      <c r="F795" s="7"/>
      <c r="G795" s="7"/>
      <c r="H795" s="7"/>
      <c r="I795" s="91"/>
      <c r="J795" s="115"/>
      <c r="K795" s="116"/>
      <c r="L795" s="116"/>
      <c r="M795" s="116"/>
      <c r="N795" s="129" t="e">
        <f t="shared" si="193"/>
        <v>#DIV/0!</v>
      </c>
      <c r="O795" s="129" t="e">
        <f t="shared" si="194"/>
        <v>#DIV/0!</v>
      </c>
      <c r="P795" s="129" t="e">
        <f t="shared" si="195"/>
        <v>#DIV/0!</v>
      </c>
      <c r="Q795" s="114" t="e">
        <f t="shared" si="196"/>
        <v>#DIV/0!</v>
      </c>
      <c r="R795" s="5" t="e">
        <f t="shared" si="184"/>
        <v>#DIV/0!</v>
      </c>
    </row>
    <row r="796" spans="1:18" s="4" customFormat="1" ht="15" hidden="1" customHeight="1">
      <c r="A796" s="64"/>
      <c r="B796" s="7">
        <f t="shared" si="183"/>
        <v>51</v>
      </c>
      <c r="C796" s="7"/>
      <c r="D796" s="7"/>
      <c r="E796" s="7"/>
      <c r="F796" s="7"/>
      <c r="G796" s="7"/>
      <c r="H796" s="7"/>
      <c r="I796" s="91"/>
      <c r="J796" s="115"/>
      <c r="K796" s="116"/>
      <c r="L796" s="116"/>
      <c r="M796" s="116"/>
      <c r="N796" s="129"/>
      <c r="O796" s="129"/>
      <c r="P796" s="129"/>
      <c r="Q796" s="114"/>
      <c r="R796" s="5" t="b">
        <f t="shared" si="184"/>
        <v>0</v>
      </c>
    </row>
    <row r="797" spans="1:18" s="4" customFormat="1" ht="15" hidden="1" customHeight="1">
      <c r="A797" s="64"/>
      <c r="B797" s="7">
        <f t="shared" si="183"/>
        <v>52</v>
      </c>
      <c r="C797" s="7"/>
      <c r="D797" s="7"/>
      <c r="E797" s="7"/>
      <c r="F797" s="7"/>
      <c r="G797" s="7"/>
      <c r="H797" s="7"/>
      <c r="I797" s="91"/>
      <c r="J797" s="115"/>
      <c r="K797" s="116"/>
      <c r="L797" s="116"/>
      <c r="M797" s="116"/>
      <c r="N797" s="129"/>
      <c r="O797" s="129"/>
      <c r="P797" s="129"/>
      <c r="Q797" s="114"/>
      <c r="R797" s="5" t="b">
        <f t="shared" si="184"/>
        <v>0</v>
      </c>
    </row>
    <row r="798" spans="1:18" s="4" customFormat="1" ht="15" hidden="1" customHeight="1">
      <c r="A798" s="64"/>
      <c r="B798" s="7">
        <f t="shared" si="183"/>
        <v>53</v>
      </c>
      <c r="C798" s="7"/>
      <c r="D798" s="7"/>
      <c r="E798" s="7"/>
      <c r="F798" s="7"/>
      <c r="G798" s="7"/>
      <c r="H798" s="7"/>
      <c r="I798" s="91"/>
      <c r="J798" s="115"/>
      <c r="K798" s="116"/>
      <c r="L798" s="116"/>
      <c r="M798" s="116"/>
      <c r="N798" s="129"/>
      <c r="O798" s="129"/>
      <c r="P798" s="129"/>
      <c r="Q798" s="114"/>
      <c r="R798" s="5" t="b">
        <f t="shared" si="184"/>
        <v>0</v>
      </c>
    </row>
    <row r="799" spans="1:18" s="4" customFormat="1" ht="15" hidden="1" customHeight="1">
      <c r="A799" s="64"/>
      <c r="B799" s="7">
        <f t="shared" si="183"/>
        <v>54</v>
      </c>
      <c r="C799" s="7"/>
      <c r="D799" s="7"/>
      <c r="E799" s="7"/>
      <c r="F799" s="7"/>
      <c r="G799" s="7"/>
      <c r="H799" s="7"/>
      <c r="I799" s="91"/>
      <c r="J799" s="115"/>
      <c r="K799" s="116"/>
      <c r="L799" s="116"/>
      <c r="M799" s="116"/>
      <c r="N799" s="129"/>
      <c r="O799" s="129"/>
      <c r="P799" s="129"/>
      <c r="Q799" s="114"/>
      <c r="R799" s="5" t="b">
        <f t="shared" si="184"/>
        <v>0</v>
      </c>
    </row>
    <row r="800" spans="1:18" s="4" customFormat="1" ht="15" hidden="1" customHeight="1">
      <c r="A800" s="64"/>
      <c r="B800" s="7">
        <f t="shared" si="183"/>
        <v>55</v>
      </c>
      <c r="C800" s="7"/>
      <c r="D800" s="7"/>
      <c r="E800" s="7"/>
      <c r="F800" s="7"/>
      <c r="G800" s="7"/>
      <c r="H800" s="7"/>
      <c r="I800" s="91"/>
      <c r="J800" s="115"/>
      <c r="K800" s="116"/>
      <c r="L800" s="116"/>
      <c r="M800" s="116"/>
      <c r="N800" s="129" t="e">
        <f t="shared" ref="N800" si="197">+K800/(K800+L800)</f>
        <v>#DIV/0!</v>
      </c>
      <c r="O800" s="129" t="e">
        <f t="shared" ref="O800" si="198">+(K800+M800)/(K800+L800+M800)</f>
        <v>#DIV/0!</v>
      </c>
      <c r="P800" s="129" t="e">
        <f>+K800/(K800+M800)</f>
        <v>#DIV/0!</v>
      </c>
      <c r="Q800" s="114" t="e">
        <f>+J800/K800</f>
        <v>#DIV/0!</v>
      </c>
      <c r="R800" s="5" t="e">
        <f t="shared" si="184"/>
        <v>#DIV/0!</v>
      </c>
    </row>
    <row r="801" spans="1:18" s="4" customFormat="1" ht="15" hidden="1" customHeight="1">
      <c r="A801" s="64"/>
      <c r="B801" s="7">
        <f t="shared" si="183"/>
        <v>56</v>
      </c>
      <c r="C801" s="7"/>
      <c r="D801" s="7"/>
      <c r="E801" s="7"/>
      <c r="F801" s="7"/>
      <c r="G801" s="7"/>
      <c r="H801" s="7"/>
      <c r="I801" s="91"/>
      <c r="J801" s="115"/>
      <c r="K801" s="116"/>
      <c r="L801" s="116"/>
      <c r="M801" s="116"/>
      <c r="N801" s="129"/>
      <c r="O801" s="129"/>
      <c r="P801" s="129"/>
      <c r="Q801" s="114"/>
      <c r="R801" s="5" t="b">
        <f t="shared" si="184"/>
        <v>0</v>
      </c>
    </row>
    <row r="802" spans="1:18" s="4" customFormat="1" ht="15" hidden="1" customHeight="1">
      <c r="A802" s="64"/>
      <c r="B802" s="7">
        <f t="shared" si="183"/>
        <v>57</v>
      </c>
      <c r="C802" s="7"/>
      <c r="D802" s="7"/>
      <c r="E802" s="7"/>
      <c r="F802" s="7"/>
      <c r="G802" s="7"/>
      <c r="H802" s="7"/>
      <c r="I802" s="91"/>
      <c r="J802" s="115"/>
      <c r="K802" s="116"/>
      <c r="L802" s="116"/>
      <c r="M802" s="116"/>
      <c r="N802" s="129"/>
      <c r="O802" s="129"/>
      <c r="P802" s="129"/>
      <c r="Q802" s="114"/>
      <c r="R802" s="5" t="b">
        <f t="shared" si="184"/>
        <v>0</v>
      </c>
    </row>
    <row r="803" spans="1:18" s="4" customFormat="1" ht="15" hidden="1" customHeight="1">
      <c r="A803" s="64"/>
      <c r="B803" s="7">
        <f t="shared" si="183"/>
        <v>58</v>
      </c>
      <c r="C803" s="7"/>
      <c r="D803" s="7"/>
      <c r="E803" s="7"/>
      <c r="F803" s="7"/>
      <c r="G803" s="7"/>
      <c r="H803" s="7"/>
      <c r="I803" s="91"/>
      <c r="J803" s="115"/>
      <c r="K803" s="116"/>
      <c r="L803" s="116"/>
      <c r="M803" s="116"/>
      <c r="N803" s="129" t="e">
        <f t="shared" ref="N803" si="199">+K803/(K803+L803)</f>
        <v>#DIV/0!</v>
      </c>
      <c r="O803" s="129" t="e">
        <f t="shared" ref="O803" si="200">+(K803+M803)/(K803+L803+M803)</f>
        <v>#DIV/0!</v>
      </c>
      <c r="P803" s="129" t="e">
        <f>+K803/(K803+M803)</f>
        <v>#DIV/0!</v>
      </c>
      <c r="Q803" s="114" t="e">
        <f>+J803/K803</f>
        <v>#DIV/0!</v>
      </c>
      <c r="R803" s="5" t="e">
        <f t="shared" si="184"/>
        <v>#DIV/0!</v>
      </c>
    </row>
    <row r="804" spans="1:18" s="4" customFormat="1" ht="15" hidden="1" customHeight="1">
      <c r="A804" s="64"/>
      <c r="B804" s="7">
        <f t="shared" si="183"/>
        <v>59</v>
      </c>
      <c r="C804" s="7"/>
      <c r="D804" s="7"/>
      <c r="E804" s="7"/>
      <c r="F804" s="7"/>
      <c r="G804" s="7"/>
      <c r="H804" s="7"/>
      <c r="I804" s="91"/>
      <c r="J804" s="115"/>
      <c r="K804" s="116"/>
      <c r="L804" s="116"/>
      <c r="M804" s="116"/>
      <c r="N804" s="129"/>
      <c r="O804" s="129"/>
      <c r="P804" s="129"/>
      <c r="Q804" s="114"/>
      <c r="R804" s="5" t="b">
        <f t="shared" si="184"/>
        <v>0</v>
      </c>
    </row>
    <row r="805" spans="1:18" s="4" customFormat="1" ht="15" hidden="1" customHeight="1">
      <c r="A805" s="64"/>
      <c r="B805" s="7">
        <f t="shared" si="183"/>
        <v>60</v>
      </c>
      <c r="C805" s="7"/>
      <c r="D805" s="7"/>
      <c r="E805" s="7"/>
      <c r="F805" s="7"/>
      <c r="G805" s="7"/>
      <c r="H805" s="7"/>
      <c r="I805" s="91"/>
      <c r="J805" s="115"/>
      <c r="K805" s="116"/>
      <c r="L805" s="116"/>
      <c r="M805" s="116"/>
      <c r="N805" s="129"/>
      <c r="O805" s="129"/>
      <c r="P805" s="129"/>
      <c r="Q805" s="114"/>
      <c r="R805" s="5" t="b">
        <f t="shared" si="184"/>
        <v>0</v>
      </c>
    </row>
    <row r="806" spans="1:18" s="4" customFormat="1" ht="15" hidden="1" customHeight="1">
      <c r="A806" s="64"/>
      <c r="B806" s="7">
        <f t="shared" si="183"/>
        <v>61</v>
      </c>
      <c r="C806" s="7"/>
      <c r="D806" s="7"/>
      <c r="E806" s="7"/>
      <c r="F806" s="7"/>
      <c r="G806" s="7"/>
      <c r="H806" s="7"/>
      <c r="I806" s="91"/>
      <c r="J806" s="115"/>
      <c r="K806" s="116"/>
      <c r="L806" s="116"/>
      <c r="M806" s="116"/>
      <c r="N806" s="129" t="e">
        <f t="shared" ref="N806" si="201">+K806/(K806+L806)</f>
        <v>#DIV/0!</v>
      </c>
      <c r="O806" s="129" t="e">
        <f t="shared" ref="O806" si="202">+(K806+M806)/(K806+L806+M806)</f>
        <v>#DIV/0!</v>
      </c>
      <c r="P806" s="129" t="e">
        <f>+K806/(K806+M806)</f>
        <v>#DIV/0!</v>
      </c>
      <c r="Q806" s="114" t="e">
        <f>+J806/K806</f>
        <v>#DIV/0!</v>
      </c>
      <c r="R806" s="5" t="e">
        <f t="shared" si="184"/>
        <v>#DIV/0!</v>
      </c>
    </row>
    <row r="807" spans="1:18" s="4" customFormat="1" ht="15" hidden="1" customHeight="1">
      <c r="A807" s="64"/>
      <c r="B807" s="7">
        <f t="shared" si="183"/>
        <v>62</v>
      </c>
      <c r="C807" s="7"/>
      <c r="D807" s="7"/>
      <c r="E807" s="7"/>
      <c r="F807" s="7"/>
      <c r="G807" s="7"/>
      <c r="H807" s="7"/>
      <c r="I807" s="91"/>
      <c r="J807" s="115"/>
      <c r="K807" s="116"/>
      <c r="L807" s="116"/>
      <c r="M807" s="116"/>
      <c r="N807" s="129"/>
      <c r="O807" s="129"/>
      <c r="P807" s="129"/>
      <c r="Q807" s="114"/>
      <c r="R807" s="5" t="b">
        <f t="shared" si="184"/>
        <v>0</v>
      </c>
    </row>
    <row r="808" spans="1:18" s="4" customFormat="1" ht="15" hidden="1" customHeight="1">
      <c r="A808" s="64"/>
      <c r="B808" s="7">
        <f t="shared" si="183"/>
        <v>63</v>
      </c>
      <c r="C808" s="7"/>
      <c r="D808" s="7"/>
      <c r="E808" s="7"/>
      <c r="F808" s="7"/>
      <c r="G808" s="7"/>
      <c r="H808" s="7"/>
      <c r="I808" s="91"/>
      <c r="J808" s="115"/>
      <c r="K808" s="116"/>
      <c r="L808" s="116"/>
      <c r="M808" s="116"/>
      <c r="N808" s="129" t="e">
        <f t="shared" ref="N808:N834" si="203">+K808/(K808+L808)</f>
        <v>#DIV/0!</v>
      </c>
      <c r="O808" s="129" t="e">
        <f t="shared" ref="O808:O834" si="204">+(K808+M808)/(K808+L808+M808)</f>
        <v>#DIV/0!</v>
      </c>
      <c r="P808" s="129" t="e">
        <f t="shared" ref="P808:P834" si="205">+K808/(K808+M808)</f>
        <v>#DIV/0!</v>
      </c>
      <c r="Q808" s="114" t="e">
        <f t="shared" ref="Q808:Q834" si="206">+J808/K808</f>
        <v>#DIV/0!</v>
      </c>
      <c r="R808" s="5" t="e">
        <f t="shared" si="184"/>
        <v>#DIV/0!</v>
      </c>
    </row>
    <row r="809" spans="1:18" s="4" customFormat="1" ht="15" hidden="1" customHeight="1">
      <c r="A809" s="64"/>
      <c r="B809" s="7">
        <f t="shared" si="183"/>
        <v>64</v>
      </c>
      <c r="C809" s="7"/>
      <c r="D809" s="7"/>
      <c r="E809" s="7"/>
      <c r="F809" s="7"/>
      <c r="G809" s="7"/>
      <c r="H809" s="7"/>
      <c r="I809" s="91"/>
      <c r="J809" s="115"/>
      <c r="K809" s="116"/>
      <c r="L809" s="116"/>
      <c r="M809" s="116"/>
      <c r="N809" s="129" t="e">
        <f t="shared" si="203"/>
        <v>#DIV/0!</v>
      </c>
      <c r="O809" s="129" t="e">
        <f t="shared" si="204"/>
        <v>#DIV/0!</v>
      </c>
      <c r="P809" s="129" t="e">
        <f t="shared" si="205"/>
        <v>#DIV/0!</v>
      </c>
      <c r="Q809" s="114" t="e">
        <f t="shared" si="206"/>
        <v>#DIV/0!</v>
      </c>
      <c r="R809" s="5" t="e">
        <f t="shared" si="184"/>
        <v>#DIV/0!</v>
      </c>
    </row>
    <row r="810" spans="1:18" s="4" customFormat="1" ht="15" hidden="1" customHeight="1">
      <c r="A810" s="64"/>
      <c r="B810" s="7">
        <f t="shared" si="183"/>
        <v>65</v>
      </c>
      <c r="C810" s="7"/>
      <c r="D810" s="7"/>
      <c r="E810" s="7"/>
      <c r="F810" s="7"/>
      <c r="G810" s="7"/>
      <c r="H810" s="7"/>
      <c r="I810" s="91"/>
      <c r="J810" s="115"/>
      <c r="K810" s="116"/>
      <c r="L810" s="116"/>
      <c r="M810" s="116"/>
      <c r="N810" s="129" t="e">
        <f t="shared" si="203"/>
        <v>#DIV/0!</v>
      </c>
      <c r="O810" s="129" t="e">
        <f t="shared" si="204"/>
        <v>#DIV/0!</v>
      </c>
      <c r="P810" s="129" t="e">
        <f t="shared" si="205"/>
        <v>#DIV/0!</v>
      </c>
      <c r="Q810" s="114" t="e">
        <f t="shared" si="206"/>
        <v>#DIV/0!</v>
      </c>
      <c r="R810" s="5" t="e">
        <f t="shared" si="184"/>
        <v>#DIV/0!</v>
      </c>
    </row>
    <row r="811" spans="1:18" s="4" customFormat="1" ht="15" hidden="1" customHeight="1">
      <c r="A811" s="64"/>
      <c r="B811" s="7">
        <f t="shared" si="183"/>
        <v>66</v>
      </c>
      <c r="C811" s="7"/>
      <c r="D811" s="7"/>
      <c r="E811" s="7"/>
      <c r="F811" s="7"/>
      <c r="G811" s="7"/>
      <c r="H811" s="7"/>
      <c r="I811" s="91"/>
      <c r="J811" s="115"/>
      <c r="K811" s="116"/>
      <c r="L811" s="116"/>
      <c r="M811" s="116"/>
      <c r="N811" s="129" t="e">
        <f t="shared" si="203"/>
        <v>#DIV/0!</v>
      </c>
      <c r="O811" s="129" t="e">
        <f t="shared" si="204"/>
        <v>#DIV/0!</v>
      </c>
      <c r="P811" s="129" t="e">
        <f t="shared" si="205"/>
        <v>#DIV/0!</v>
      </c>
      <c r="Q811" s="114" t="e">
        <f t="shared" si="206"/>
        <v>#DIV/0!</v>
      </c>
      <c r="R811" s="5" t="e">
        <f t="shared" si="184"/>
        <v>#DIV/0!</v>
      </c>
    </row>
    <row r="812" spans="1:18" s="4" customFormat="1" ht="15" hidden="1" customHeight="1">
      <c r="A812" s="64"/>
      <c r="B812" s="7">
        <f t="shared" ref="B812:B875" si="207">+B811+1</f>
        <v>67</v>
      </c>
      <c r="C812" s="7"/>
      <c r="D812" s="7"/>
      <c r="E812" s="7"/>
      <c r="F812" s="7"/>
      <c r="G812" s="7"/>
      <c r="H812" s="7"/>
      <c r="I812" s="91"/>
      <c r="J812" s="115"/>
      <c r="K812" s="116"/>
      <c r="L812" s="116"/>
      <c r="M812" s="116"/>
      <c r="N812" s="129" t="e">
        <f t="shared" si="203"/>
        <v>#DIV/0!</v>
      </c>
      <c r="O812" s="129" t="e">
        <f t="shared" si="204"/>
        <v>#DIV/0!</v>
      </c>
      <c r="P812" s="129" t="e">
        <f t="shared" si="205"/>
        <v>#DIV/0!</v>
      </c>
      <c r="Q812" s="114" t="e">
        <f t="shared" si="206"/>
        <v>#DIV/0!</v>
      </c>
      <c r="R812" s="5" t="e">
        <f t="shared" si="184"/>
        <v>#DIV/0!</v>
      </c>
    </row>
    <row r="813" spans="1:18" s="4" customFormat="1" ht="15" hidden="1" customHeight="1">
      <c r="A813" s="64"/>
      <c r="B813" s="7">
        <f t="shared" si="207"/>
        <v>68</v>
      </c>
      <c r="C813" s="7"/>
      <c r="D813" s="7"/>
      <c r="E813" s="7"/>
      <c r="F813" s="7"/>
      <c r="G813" s="7"/>
      <c r="H813" s="7"/>
      <c r="I813" s="91"/>
      <c r="J813" s="115"/>
      <c r="K813" s="116"/>
      <c r="L813" s="116"/>
      <c r="M813" s="116"/>
      <c r="N813" s="129" t="e">
        <f t="shared" si="203"/>
        <v>#DIV/0!</v>
      </c>
      <c r="O813" s="129" t="e">
        <f t="shared" si="204"/>
        <v>#DIV/0!</v>
      </c>
      <c r="P813" s="129" t="e">
        <f t="shared" si="205"/>
        <v>#DIV/0!</v>
      </c>
      <c r="Q813" s="114" t="e">
        <f t="shared" si="206"/>
        <v>#DIV/0!</v>
      </c>
      <c r="R813" s="5" t="e">
        <f t="shared" si="184"/>
        <v>#DIV/0!</v>
      </c>
    </row>
    <row r="814" spans="1:18" s="4" customFormat="1" ht="15" hidden="1" customHeight="1">
      <c r="A814" s="64"/>
      <c r="B814" s="7">
        <f t="shared" si="207"/>
        <v>69</v>
      </c>
      <c r="C814" s="7"/>
      <c r="D814" s="7"/>
      <c r="E814" s="7"/>
      <c r="F814" s="7"/>
      <c r="G814" s="7"/>
      <c r="H814" s="7"/>
      <c r="I814" s="91"/>
      <c r="J814" s="115"/>
      <c r="K814" s="116"/>
      <c r="L814" s="116"/>
      <c r="M814" s="116"/>
      <c r="N814" s="129" t="e">
        <f t="shared" si="203"/>
        <v>#DIV/0!</v>
      </c>
      <c r="O814" s="129" t="e">
        <f t="shared" si="204"/>
        <v>#DIV/0!</v>
      </c>
      <c r="P814" s="129" t="e">
        <f t="shared" si="205"/>
        <v>#DIV/0!</v>
      </c>
      <c r="Q814" s="114" t="e">
        <f t="shared" si="206"/>
        <v>#DIV/0!</v>
      </c>
      <c r="R814" s="5" t="e">
        <f t="shared" si="184"/>
        <v>#DIV/0!</v>
      </c>
    </row>
    <row r="815" spans="1:18" s="4" customFormat="1" ht="15" hidden="1" customHeight="1">
      <c r="A815" s="64"/>
      <c r="B815" s="7">
        <f t="shared" si="207"/>
        <v>70</v>
      </c>
      <c r="C815" s="7"/>
      <c r="D815" s="7"/>
      <c r="E815" s="7"/>
      <c r="F815" s="7"/>
      <c r="G815" s="7"/>
      <c r="H815" s="7"/>
      <c r="I815" s="91"/>
      <c r="J815" s="115"/>
      <c r="K815" s="116"/>
      <c r="L815" s="116"/>
      <c r="M815" s="116"/>
      <c r="N815" s="129" t="e">
        <f t="shared" si="203"/>
        <v>#DIV/0!</v>
      </c>
      <c r="O815" s="129" t="e">
        <f t="shared" si="204"/>
        <v>#DIV/0!</v>
      </c>
      <c r="P815" s="129" t="e">
        <f t="shared" si="205"/>
        <v>#DIV/0!</v>
      </c>
      <c r="Q815" s="114" t="e">
        <f t="shared" si="206"/>
        <v>#DIV/0!</v>
      </c>
      <c r="R815" s="5" t="e">
        <f t="shared" ref="R815:R878" si="208">IF(O815&gt;89.9999999999999%,"PAMA")</f>
        <v>#DIV/0!</v>
      </c>
    </row>
    <row r="816" spans="1:18" s="4" customFormat="1" ht="15" hidden="1" customHeight="1">
      <c r="A816" s="64"/>
      <c r="B816" s="7">
        <f t="shared" si="207"/>
        <v>71</v>
      </c>
      <c r="C816" s="7"/>
      <c r="D816" s="7"/>
      <c r="E816" s="7"/>
      <c r="F816" s="7"/>
      <c r="G816" s="7"/>
      <c r="H816" s="7"/>
      <c r="I816" s="91"/>
      <c r="J816" s="115"/>
      <c r="K816" s="116"/>
      <c r="L816" s="116"/>
      <c r="M816" s="116"/>
      <c r="N816" s="129" t="e">
        <f t="shared" si="203"/>
        <v>#DIV/0!</v>
      </c>
      <c r="O816" s="129" t="e">
        <f t="shared" si="204"/>
        <v>#DIV/0!</v>
      </c>
      <c r="P816" s="129" t="e">
        <f t="shared" si="205"/>
        <v>#DIV/0!</v>
      </c>
      <c r="Q816" s="114" t="e">
        <f t="shared" si="206"/>
        <v>#DIV/0!</v>
      </c>
      <c r="R816" s="5" t="e">
        <f t="shared" si="208"/>
        <v>#DIV/0!</v>
      </c>
    </row>
    <row r="817" spans="1:18" s="4" customFormat="1" ht="15" hidden="1" customHeight="1">
      <c r="A817" s="64"/>
      <c r="B817" s="7">
        <f t="shared" si="207"/>
        <v>72</v>
      </c>
      <c r="C817" s="7"/>
      <c r="D817" s="7"/>
      <c r="E817" s="7"/>
      <c r="F817" s="7"/>
      <c r="G817" s="7"/>
      <c r="H817" s="7"/>
      <c r="I817" s="91"/>
      <c r="J817" s="115"/>
      <c r="K817" s="116"/>
      <c r="L817" s="116"/>
      <c r="M817" s="116"/>
      <c r="N817" s="129" t="e">
        <f t="shared" si="203"/>
        <v>#DIV/0!</v>
      </c>
      <c r="O817" s="129" t="e">
        <f t="shared" si="204"/>
        <v>#DIV/0!</v>
      </c>
      <c r="P817" s="129" t="e">
        <f t="shared" si="205"/>
        <v>#DIV/0!</v>
      </c>
      <c r="Q817" s="114" t="e">
        <f t="shared" si="206"/>
        <v>#DIV/0!</v>
      </c>
      <c r="R817" s="5" t="e">
        <f t="shared" si="208"/>
        <v>#DIV/0!</v>
      </c>
    </row>
    <row r="818" spans="1:18" s="4" customFormat="1" ht="15" hidden="1" customHeight="1">
      <c r="A818" s="64"/>
      <c r="B818" s="7">
        <f t="shared" si="207"/>
        <v>73</v>
      </c>
      <c r="C818" s="7"/>
      <c r="D818" s="7"/>
      <c r="E818" s="7"/>
      <c r="F818" s="7"/>
      <c r="G818" s="7"/>
      <c r="H818" s="7"/>
      <c r="I818" s="91"/>
      <c r="J818" s="115"/>
      <c r="K818" s="116"/>
      <c r="L818" s="116"/>
      <c r="M818" s="116"/>
      <c r="N818" s="129" t="e">
        <f t="shared" si="203"/>
        <v>#DIV/0!</v>
      </c>
      <c r="O818" s="129" t="e">
        <f t="shared" si="204"/>
        <v>#DIV/0!</v>
      </c>
      <c r="P818" s="129" t="e">
        <f t="shared" si="205"/>
        <v>#DIV/0!</v>
      </c>
      <c r="Q818" s="114" t="e">
        <f t="shared" si="206"/>
        <v>#DIV/0!</v>
      </c>
      <c r="R818" s="5" t="e">
        <f t="shared" si="208"/>
        <v>#DIV/0!</v>
      </c>
    </row>
    <row r="819" spans="1:18" s="4" customFormat="1" ht="15" hidden="1" customHeight="1">
      <c r="A819" s="64"/>
      <c r="B819" s="7">
        <f t="shared" si="207"/>
        <v>74</v>
      </c>
      <c r="C819" s="7"/>
      <c r="D819" s="7"/>
      <c r="E819" s="7"/>
      <c r="F819" s="7"/>
      <c r="G819" s="7"/>
      <c r="H819" s="7"/>
      <c r="I819" s="91"/>
      <c r="J819" s="115"/>
      <c r="K819" s="116"/>
      <c r="L819" s="116"/>
      <c r="M819" s="116"/>
      <c r="N819" s="129" t="e">
        <f t="shared" si="203"/>
        <v>#DIV/0!</v>
      </c>
      <c r="O819" s="129" t="e">
        <f t="shared" si="204"/>
        <v>#DIV/0!</v>
      </c>
      <c r="P819" s="129" t="e">
        <f t="shared" si="205"/>
        <v>#DIV/0!</v>
      </c>
      <c r="Q819" s="114" t="e">
        <f t="shared" si="206"/>
        <v>#DIV/0!</v>
      </c>
      <c r="R819" s="5" t="e">
        <f t="shared" si="208"/>
        <v>#DIV/0!</v>
      </c>
    </row>
    <row r="820" spans="1:18" s="4" customFormat="1" ht="15" hidden="1" customHeight="1">
      <c r="A820" s="64"/>
      <c r="B820" s="7">
        <f t="shared" si="207"/>
        <v>75</v>
      </c>
      <c r="C820" s="7"/>
      <c r="D820" s="7"/>
      <c r="E820" s="7"/>
      <c r="F820" s="7"/>
      <c r="G820" s="7"/>
      <c r="H820" s="7"/>
      <c r="I820" s="91"/>
      <c r="J820" s="115"/>
      <c r="K820" s="116"/>
      <c r="L820" s="116"/>
      <c r="M820" s="116"/>
      <c r="N820" s="129" t="e">
        <f t="shared" si="203"/>
        <v>#DIV/0!</v>
      </c>
      <c r="O820" s="129" t="e">
        <f t="shared" si="204"/>
        <v>#DIV/0!</v>
      </c>
      <c r="P820" s="129" t="e">
        <f t="shared" si="205"/>
        <v>#DIV/0!</v>
      </c>
      <c r="Q820" s="114" t="e">
        <f t="shared" si="206"/>
        <v>#DIV/0!</v>
      </c>
      <c r="R820" s="5" t="e">
        <f t="shared" si="208"/>
        <v>#DIV/0!</v>
      </c>
    </row>
    <row r="821" spans="1:18" s="4" customFormat="1" ht="15" hidden="1" customHeight="1">
      <c r="A821" s="64"/>
      <c r="B821" s="7">
        <f t="shared" si="207"/>
        <v>76</v>
      </c>
      <c r="C821" s="7"/>
      <c r="D821" s="7"/>
      <c r="E821" s="7"/>
      <c r="F821" s="7"/>
      <c r="G821" s="7"/>
      <c r="H821" s="7"/>
      <c r="I821" s="91"/>
      <c r="J821" s="115"/>
      <c r="K821" s="116"/>
      <c r="L821" s="116"/>
      <c r="M821" s="116"/>
      <c r="N821" s="129" t="e">
        <f t="shared" si="203"/>
        <v>#DIV/0!</v>
      </c>
      <c r="O821" s="129" t="e">
        <f t="shared" si="204"/>
        <v>#DIV/0!</v>
      </c>
      <c r="P821" s="129" t="e">
        <f t="shared" si="205"/>
        <v>#DIV/0!</v>
      </c>
      <c r="Q821" s="114" t="e">
        <f t="shared" si="206"/>
        <v>#DIV/0!</v>
      </c>
      <c r="R821" s="5" t="e">
        <f t="shared" si="208"/>
        <v>#DIV/0!</v>
      </c>
    </row>
    <row r="822" spans="1:18" s="4" customFormat="1" ht="15" hidden="1" customHeight="1">
      <c r="A822" s="64"/>
      <c r="B822" s="7">
        <f t="shared" si="207"/>
        <v>77</v>
      </c>
      <c r="C822" s="7"/>
      <c r="D822" s="7"/>
      <c r="E822" s="7"/>
      <c r="F822" s="7"/>
      <c r="G822" s="7"/>
      <c r="H822" s="7"/>
      <c r="I822" s="91"/>
      <c r="J822" s="115"/>
      <c r="K822" s="116"/>
      <c r="L822" s="116"/>
      <c r="M822" s="116"/>
      <c r="N822" s="129" t="e">
        <f t="shared" si="203"/>
        <v>#DIV/0!</v>
      </c>
      <c r="O822" s="129" t="e">
        <f t="shared" si="204"/>
        <v>#DIV/0!</v>
      </c>
      <c r="P822" s="129" t="e">
        <f t="shared" si="205"/>
        <v>#DIV/0!</v>
      </c>
      <c r="Q822" s="114" t="e">
        <f t="shared" si="206"/>
        <v>#DIV/0!</v>
      </c>
      <c r="R822" s="5" t="e">
        <f t="shared" si="208"/>
        <v>#DIV/0!</v>
      </c>
    </row>
    <row r="823" spans="1:18" s="4" customFormat="1" ht="15" hidden="1" customHeight="1">
      <c r="A823" s="64"/>
      <c r="B823" s="7">
        <f t="shared" si="207"/>
        <v>78</v>
      </c>
      <c r="C823" s="7"/>
      <c r="D823" s="7"/>
      <c r="E823" s="7"/>
      <c r="F823" s="7"/>
      <c r="G823" s="7"/>
      <c r="H823" s="7"/>
      <c r="I823" s="91"/>
      <c r="J823" s="115"/>
      <c r="K823" s="116"/>
      <c r="L823" s="116"/>
      <c r="M823" s="116"/>
      <c r="N823" s="129" t="e">
        <f t="shared" si="203"/>
        <v>#DIV/0!</v>
      </c>
      <c r="O823" s="129" t="e">
        <f t="shared" si="204"/>
        <v>#DIV/0!</v>
      </c>
      <c r="P823" s="129" t="e">
        <f t="shared" si="205"/>
        <v>#DIV/0!</v>
      </c>
      <c r="Q823" s="114" t="e">
        <f t="shared" si="206"/>
        <v>#DIV/0!</v>
      </c>
      <c r="R823" s="5" t="e">
        <f t="shared" si="208"/>
        <v>#DIV/0!</v>
      </c>
    </row>
    <row r="824" spans="1:18" s="4" customFormat="1" ht="15" hidden="1" customHeight="1">
      <c r="A824" s="64"/>
      <c r="B824" s="7">
        <f t="shared" si="207"/>
        <v>79</v>
      </c>
      <c r="C824" s="7"/>
      <c r="D824" s="7"/>
      <c r="E824" s="7"/>
      <c r="F824" s="7"/>
      <c r="G824" s="7"/>
      <c r="H824" s="7"/>
      <c r="I824" s="91"/>
      <c r="J824" s="115"/>
      <c r="K824" s="116"/>
      <c r="L824" s="116"/>
      <c r="M824" s="116"/>
      <c r="N824" s="129" t="e">
        <f t="shared" si="203"/>
        <v>#DIV/0!</v>
      </c>
      <c r="O824" s="129" t="e">
        <f t="shared" si="204"/>
        <v>#DIV/0!</v>
      </c>
      <c r="P824" s="129" t="e">
        <f t="shared" si="205"/>
        <v>#DIV/0!</v>
      </c>
      <c r="Q824" s="114" t="e">
        <f t="shared" si="206"/>
        <v>#DIV/0!</v>
      </c>
      <c r="R824" s="5" t="e">
        <f t="shared" si="208"/>
        <v>#DIV/0!</v>
      </c>
    </row>
    <row r="825" spans="1:18" s="4" customFormat="1" ht="15" hidden="1" customHeight="1">
      <c r="A825" s="64"/>
      <c r="B825" s="7">
        <f t="shared" si="207"/>
        <v>80</v>
      </c>
      <c r="C825" s="7"/>
      <c r="D825" s="7"/>
      <c r="E825" s="7"/>
      <c r="F825" s="7"/>
      <c r="G825" s="7"/>
      <c r="H825" s="7"/>
      <c r="I825" s="91"/>
      <c r="J825" s="115"/>
      <c r="K825" s="116"/>
      <c r="L825" s="116"/>
      <c r="M825" s="116"/>
      <c r="N825" s="129" t="e">
        <f t="shared" si="203"/>
        <v>#DIV/0!</v>
      </c>
      <c r="O825" s="129" t="e">
        <f t="shared" si="204"/>
        <v>#DIV/0!</v>
      </c>
      <c r="P825" s="129" t="e">
        <f t="shared" si="205"/>
        <v>#DIV/0!</v>
      </c>
      <c r="Q825" s="114" t="e">
        <f t="shared" si="206"/>
        <v>#DIV/0!</v>
      </c>
      <c r="R825" s="5" t="e">
        <f t="shared" si="208"/>
        <v>#DIV/0!</v>
      </c>
    </row>
    <row r="826" spans="1:18" s="4" customFormat="1" ht="15" hidden="1" customHeight="1">
      <c r="A826" s="64"/>
      <c r="B826" s="7">
        <f t="shared" si="207"/>
        <v>81</v>
      </c>
      <c r="C826" s="7"/>
      <c r="D826" s="7"/>
      <c r="E826" s="7"/>
      <c r="F826" s="7"/>
      <c r="G826" s="7"/>
      <c r="H826" s="7"/>
      <c r="I826" s="91"/>
      <c r="J826" s="115"/>
      <c r="K826" s="116"/>
      <c r="L826" s="116"/>
      <c r="M826" s="116"/>
      <c r="N826" s="129" t="e">
        <f t="shared" si="203"/>
        <v>#DIV/0!</v>
      </c>
      <c r="O826" s="129" t="e">
        <f t="shared" si="204"/>
        <v>#DIV/0!</v>
      </c>
      <c r="P826" s="129" t="e">
        <f t="shared" si="205"/>
        <v>#DIV/0!</v>
      </c>
      <c r="Q826" s="114" t="e">
        <f t="shared" si="206"/>
        <v>#DIV/0!</v>
      </c>
      <c r="R826" s="5" t="e">
        <f t="shared" si="208"/>
        <v>#DIV/0!</v>
      </c>
    </row>
    <row r="827" spans="1:18" s="4" customFormat="1" ht="15" hidden="1" customHeight="1">
      <c r="A827" s="64"/>
      <c r="B827" s="7">
        <f t="shared" si="207"/>
        <v>82</v>
      </c>
      <c r="C827" s="7"/>
      <c r="D827" s="7"/>
      <c r="E827" s="7"/>
      <c r="F827" s="7"/>
      <c r="G827" s="7"/>
      <c r="H827" s="7"/>
      <c r="I827" s="91"/>
      <c r="J827" s="115"/>
      <c r="K827" s="116"/>
      <c r="L827" s="116"/>
      <c r="M827" s="116"/>
      <c r="N827" s="129" t="e">
        <f t="shared" si="203"/>
        <v>#DIV/0!</v>
      </c>
      <c r="O827" s="129" t="e">
        <f t="shared" si="204"/>
        <v>#DIV/0!</v>
      </c>
      <c r="P827" s="129" t="e">
        <f t="shared" si="205"/>
        <v>#DIV/0!</v>
      </c>
      <c r="Q827" s="114" t="e">
        <f t="shared" si="206"/>
        <v>#DIV/0!</v>
      </c>
      <c r="R827" s="5" t="e">
        <f t="shared" si="208"/>
        <v>#DIV/0!</v>
      </c>
    </row>
    <row r="828" spans="1:18" s="4" customFormat="1" ht="15" hidden="1" customHeight="1">
      <c r="A828" s="64"/>
      <c r="B828" s="7">
        <f t="shared" si="207"/>
        <v>83</v>
      </c>
      <c r="C828" s="7"/>
      <c r="D828" s="7"/>
      <c r="E828" s="7"/>
      <c r="F828" s="7"/>
      <c r="G828" s="7"/>
      <c r="H828" s="7"/>
      <c r="I828" s="91"/>
      <c r="J828" s="115"/>
      <c r="K828" s="116"/>
      <c r="L828" s="116"/>
      <c r="M828" s="116"/>
      <c r="N828" s="129" t="e">
        <f t="shared" si="203"/>
        <v>#DIV/0!</v>
      </c>
      <c r="O828" s="129" t="e">
        <f t="shared" si="204"/>
        <v>#DIV/0!</v>
      </c>
      <c r="P828" s="129" t="e">
        <f t="shared" si="205"/>
        <v>#DIV/0!</v>
      </c>
      <c r="Q828" s="114" t="e">
        <f t="shared" si="206"/>
        <v>#DIV/0!</v>
      </c>
      <c r="R828" s="5" t="e">
        <f t="shared" si="208"/>
        <v>#DIV/0!</v>
      </c>
    </row>
    <row r="829" spans="1:18" s="4" customFormat="1" ht="15" hidden="1" customHeight="1">
      <c r="A829" s="64"/>
      <c r="B829" s="7">
        <f t="shared" si="207"/>
        <v>84</v>
      </c>
      <c r="C829" s="7"/>
      <c r="D829" s="7"/>
      <c r="E829" s="7"/>
      <c r="F829" s="7"/>
      <c r="G829" s="7"/>
      <c r="H829" s="7"/>
      <c r="I829" s="91"/>
      <c r="J829" s="115"/>
      <c r="K829" s="116"/>
      <c r="L829" s="116"/>
      <c r="M829" s="116"/>
      <c r="N829" s="129" t="e">
        <f t="shared" si="203"/>
        <v>#DIV/0!</v>
      </c>
      <c r="O829" s="129" t="e">
        <f t="shared" si="204"/>
        <v>#DIV/0!</v>
      </c>
      <c r="P829" s="129" t="e">
        <f t="shared" si="205"/>
        <v>#DIV/0!</v>
      </c>
      <c r="Q829" s="114" t="e">
        <f t="shared" si="206"/>
        <v>#DIV/0!</v>
      </c>
      <c r="R829" s="5" t="e">
        <f t="shared" si="208"/>
        <v>#DIV/0!</v>
      </c>
    </row>
    <row r="830" spans="1:18" s="4" customFormat="1" ht="15" hidden="1" customHeight="1">
      <c r="A830" s="64"/>
      <c r="B830" s="7">
        <f t="shared" si="207"/>
        <v>85</v>
      </c>
      <c r="C830" s="7"/>
      <c r="D830" s="7"/>
      <c r="E830" s="7"/>
      <c r="F830" s="7"/>
      <c r="G830" s="7"/>
      <c r="H830" s="7"/>
      <c r="I830" s="91"/>
      <c r="J830" s="115"/>
      <c r="K830" s="116"/>
      <c r="L830" s="116"/>
      <c r="M830" s="116"/>
      <c r="N830" s="129" t="e">
        <f t="shared" si="203"/>
        <v>#DIV/0!</v>
      </c>
      <c r="O830" s="129" t="e">
        <f t="shared" si="204"/>
        <v>#DIV/0!</v>
      </c>
      <c r="P830" s="129" t="e">
        <f t="shared" si="205"/>
        <v>#DIV/0!</v>
      </c>
      <c r="Q830" s="114" t="e">
        <f t="shared" si="206"/>
        <v>#DIV/0!</v>
      </c>
      <c r="R830" s="5" t="e">
        <f t="shared" si="208"/>
        <v>#DIV/0!</v>
      </c>
    </row>
    <row r="831" spans="1:18" s="4" customFormat="1" ht="15" hidden="1" customHeight="1">
      <c r="A831" s="64"/>
      <c r="B831" s="7">
        <f t="shared" si="207"/>
        <v>86</v>
      </c>
      <c r="C831" s="7"/>
      <c r="D831" s="7"/>
      <c r="E831" s="7"/>
      <c r="F831" s="7"/>
      <c r="G831" s="7"/>
      <c r="H831" s="7"/>
      <c r="I831" s="91"/>
      <c r="J831" s="115"/>
      <c r="K831" s="116"/>
      <c r="L831" s="116"/>
      <c r="M831" s="116"/>
      <c r="N831" s="129" t="e">
        <f t="shared" si="203"/>
        <v>#DIV/0!</v>
      </c>
      <c r="O831" s="129" t="e">
        <f t="shared" si="204"/>
        <v>#DIV/0!</v>
      </c>
      <c r="P831" s="129" t="e">
        <f t="shared" si="205"/>
        <v>#DIV/0!</v>
      </c>
      <c r="Q831" s="114" t="e">
        <f t="shared" si="206"/>
        <v>#DIV/0!</v>
      </c>
      <c r="R831" s="5" t="e">
        <f t="shared" si="208"/>
        <v>#DIV/0!</v>
      </c>
    </row>
    <row r="832" spans="1:18" s="4" customFormat="1" ht="15" hidden="1" customHeight="1">
      <c r="A832" s="64"/>
      <c r="B832" s="7">
        <f t="shared" si="207"/>
        <v>87</v>
      </c>
      <c r="C832" s="7"/>
      <c r="D832" s="7"/>
      <c r="E832" s="7"/>
      <c r="F832" s="7"/>
      <c r="G832" s="7"/>
      <c r="H832" s="7"/>
      <c r="I832" s="91"/>
      <c r="J832" s="115"/>
      <c r="K832" s="116"/>
      <c r="L832" s="116"/>
      <c r="M832" s="116"/>
      <c r="N832" s="129" t="e">
        <f t="shared" si="203"/>
        <v>#DIV/0!</v>
      </c>
      <c r="O832" s="129" t="e">
        <f t="shared" si="204"/>
        <v>#DIV/0!</v>
      </c>
      <c r="P832" s="129" t="e">
        <f t="shared" si="205"/>
        <v>#DIV/0!</v>
      </c>
      <c r="Q832" s="114" t="e">
        <f t="shared" si="206"/>
        <v>#DIV/0!</v>
      </c>
      <c r="R832" s="5" t="e">
        <f t="shared" si="208"/>
        <v>#DIV/0!</v>
      </c>
    </row>
    <row r="833" spans="1:18" s="4" customFormat="1" ht="15" hidden="1" customHeight="1">
      <c r="A833" s="64"/>
      <c r="B833" s="7">
        <f t="shared" si="207"/>
        <v>88</v>
      </c>
      <c r="C833" s="7"/>
      <c r="D833" s="7"/>
      <c r="E833" s="7"/>
      <c r="F833" s="7"/>
      <c r="G833" s="7"/>
      <c r="H833" s="7"/>
      <c r="I833" s="91"/>
      <c r="J833" s="115"/>
      <c r="K833" s="116"/>
      <c r="L833" s="116"/>
      <c r="M833" s="116"/>
      <c r="N833" s="129" t="e">
        <f t="shared" si="203"/>
        <v>#DIV/0!</v>
      </c>
      <c r="O833" s="129" t="e">
        <f t="shared" si="204"/>
        <v>#DIV/0!</v>
      </c>
      <c r="P833" s="129" t="e">
        <f t="shared" si="205"/>
        <v>#DIV/0!</v>
      </c>
      <c r="Q833" s="114" t="e">
        <f t="shared" si="206"/>
        <v>#DIV/0!</v>
      </c>
      <c r="R833" s="5" t="e">
        <f t="shared" si="208"/>
        <v>#DIV/0!</v>
      </c>
    </row>
    <row r="834" spans="1:18" s="4" customFormat="1" ht="15" hidden="1" customHeight="1">
      <c r="A834" s="64"/>
      <c r="B834" s="7">
        <f t="shared" si="207"/>
        <v>89</v>
      </c>
      <c r="C834" s="7"/>
      <c r="D834" s="7"/>
      <c r="E834" s="7"/>
      <c r="F834" s="7"/>
      <c r="G834" s="7"/>
      <c r="H834" s="7"/>
      <c r="I834" s="91"/>
      <c r="J834" s="115"/>
      <c r="K834" s="116"/>
      <c r="L834" s="116"/>
      <c r="M834" s="116"/>
      <c r="N834" s="129" t="e">
        <f t="shared" si="203"/>
        <v>#DIV/0!</v>
      </c>
      <c r="O834" s="129" t="e">
        <f t="shared" si="204"/>
        <v>#DIV/0!</v>
      </c>
      <c r="P834" s="129" t="e">
        <f t="shared" si="205"/>
        <v>#DIV/0!</v>
      </c>
      <c r="Q834" s="114" t="e">
        <f t="shared" si="206"/>
        <v>#DIV/0!</v>
      </c>
      <c r="R834" s="5" t="e">
        <f t="shared" si="208"/>
        <v>#DIV/0!</v>
      </c>
    </row>
    <row r="835" spans="1:18" s="4" customFormat="1" ht="15" hidden="1" customHeight="1">
      <c r="A835" s="64"/>
      <c r="B835" s="7">
        <f t="shared" si="207"/>
        <v>90</v>
      </c>
      <c r="C835" s="7"/>
      <c r="D835" s="7"/>
      <c r="E835" s="7"/>
      <c r="F835" s="7"/>
      <c r="G835" s="7"/>
      <c r="H835" s="7"/>
      <c r="I835" s="91"/>
      <c r="J835" s="115"/>
      <c r="K835" s="116"/>
      <c r="L835" s="116"/>
      <c r="M835" s="116"/>
      <c r="N835" s="129"/>
      <c r="O835" s="129"/>
      <c r="P835" s="129"/>
      <c r="Q835" s="114"/>
      <c r="R835" s="5" t="b">
        <f t="shared" si="208"/>
        <v>0</v>
      </c>
    </row>
    <row r="836" spans="1:18" s="4" customFormat="1" ht="15" hidden="1" customHeight="1">
      <c r="A836" s="64"/>
      <c r="B836" s="7">
        <f t="shared" si="207"/>
        <v>91</v>
      </c>
      <c r="C836" s="7"/>
      <c r="D836" s="7"/>
      <c r="E836" s="7"/>
      <c r="F836" s="7"/>
      <c r="G836" s="7"/>
      <c r="H836" s="7"/>
      <c r="I836" s="91"/>
      <c r="J836" s="115"/>
      <c r="K836" s="116"/>
      <c r="L836" s="116"/>
      <c r="M836" s="116"/>
      <c r="N836" s="129"/>
      <c r="O836" s="129"/>
      <c r="P836" s="129"/>
      <c r="Q836" s="114"/>
      <c r="R836" s="5" t="b">
        <f t="shared" si="208"/>
        <v>0</v>
      </c>
    </row>
    <row r="837" spans="1:18" s="4" customFormat="1" ht="15" hidden="1" customHeight="1">
      <c r="A837" s="64"/>
      <c r="B837" s="7">
        <f t="shared" si="207"/>
        <v>92</v>
      </c>
      <c r="C837" s="7"/>
      <c r="D837" s="7"/>
      <c r="E837" s="7"/>
      <c r="F837" s="7"/>
      <c r="G837" s="7"/>
      <c r="H837" s="7"/>
      <c r="I837" s="91"/>
      <c r="J837" s="115"/>
      <c r="K837" s="116"/>
      <c r="L837" s="116"/>
      <c r="M837" s="116"/>
      <c r="N837" s="129" t="e">
        <f t="shared" ref="N837:N898" si="209">+K837/(K837+L837)</f>
        <v>#DIV/0!</v>
      </c>
      <c r="O837" s="129" t="e">
        <f t="shared" ref="O837:O898" si="210">+(K837+M837)/(K837+L837+M837)</f>
        <v>#DIV/0!</v>
      </c>
      <c r="P837" s="129" t="e">
        <f t="shared" ref="P837:P868" si="211">+K837/(K837+M837)</f>
        <v>#DIV/0!</v>
      </c>
      <c r="Q837" s="114" t="e">
        <f t="shared" ref="Q837:Q868" si="212">+J837/K837</f>
        <v>#DIV/0!</v>
      </c>
      <c r="R837" s="5" t="e">
        <f t="shared" si="208"/>
        <v>#DIV/0!</v>
      </c>
    </row>
    <row r="838" spans="1:18" s="4" customFormat="1" ht="15" hidden="1" customHeight="1">
      <c r="A838" s="64"/>
      <c r="B838" s="7">
        <f t="shared" si="207"/>
        <v>93</v>
      </c>
      <c r="C838" s="7"/>
      <c r="D838" s="7"/>
      <c r="E838" s="7"/>
      <c r="F838" s="7"/>
      <c r="G838" s="7"/>
      <c r="H838" s="7"/>
      <c r="I838" s="91"/>
      <c r="J838" s="115"/>
      <c r="K838" s="116"/>
      <c r="L838" s="116"/>
      <c r="M838" s="116"/>
      <c r="N838" s="129" t="e">
        <f t="shared" si="209"/>
        <v>#DIV/0!</v>
      </c>
      <c r="O838" s="129" t="e">
        <f t="shared" si="210"/>
        <v>#DIV/0!</v>
      </c>
      <c r="P838" s="129" t="e">
        <f t="shared" si="211"/>
        <v>#DIV/0!</v>
      </c>
      <c r="Q838" s="114" t="e">
        <f t="shared" si="212"/>
        <v>#DIV/0!</v>
      </c>
      <c r="R838" s="5" t="e">
        <f t="shared" si="208"/>
        <v>#DIV/0!</v>
      </c>
    </row>
    <row r="839" spans="1:18" s="4" customFormat="1" ht="15" hidden="1" customHeight="1">
      <c r="A839" s="64"/>
      <c r="B839" s="7">
        <f t="shared" si="207"/>
        <v>94</v>
      </c>
      <c r="C839" s="7"/>
      <c r="D839" s="7"/>
      <c r="E839" s="7"/>
      <c r="F839" s="7"/>
      <c r="G839" s="7"/>
      <c r="H839" s="7"/>
      <c r="I839" s="91"/>
      <c r="J839" s="115"/>
      <c r="K839" s="116"/>
      <c r="L839" s="116"/>
      <c r="M839" s="116"/>
      <c r="N839" s="129" t="e">
        <f t="shared" si="209"/>
        <v>#DIV/0!</v>
      </c>
      <c r="O839" s="129" t="e">
        <f t="shared" si="210"/>
        <v>#DIV/0!</v>
      </c>
      <c r="P839" s="129" t="e">
        <f t="shared" si="211"/>
        <v>#DIV/0!</v>
      </c>
      <c r="Q839" s="114" t="e">
        <f t="shared" si="212"/>
        <v>#DIV/0!</v>
      </c>
      <c r="R839" s="5" t="e">
        <f t="shared" si="208"/>
        <v>#DIV/0!</v>
      </c>
    </row>
    <row r="840" spans="1:18" s="4" customFormat="1" ht="15" hidden="1" customHeight="1">
      <c r="A840" s="64"/>
      <c r="B840" s="7">
        <f t="shared" si="207"/>
        <v>95</v>
      </c>
      <c r="C840" s="7"/>
      <c r="D840" s="7"/>
      <c r="E840" s="7"/>
      <c r="F840" s="7"/>
      <c r="G840" s="7"/>
      <c r="H840" s="7"/>
      <c r="I840" s="91"/>
      <c r="J840" s="115"/>
      <c r="K840" s="116"/>
      <c r="L840" s="116"/>
      <c r="M840" s="116"/>
      <c r="N840" s="129" t="e">
        <f t="shared" si="209"/>
        <v>#DIV/0!</v>
      </c>
      <c r="O840" s="129" t="e">
        <f t="shared" si="210"/>
        <v>#DIV/0!</v>
      </c>
      <c r="P840" s="129" t="e">
        <f t="shared" si="211"/>
        <v>#DIV/0!</v>
      </c>
      <c r="Q840" s="114" t="e">
        <f t="shared" si="212"/>
        <v>#DIV/0!</v>
      </c>
      <c r="R840" s="5" t="e">
        <f t="shared" si="208"/>
        <v>#DIV/0!</v>
      </c>
    </row>
    <row r="841" spans="1:18" s="4" customFormat="1" ht="15" hidden="1" customHeight="1">
      <c r="A841" s="64"/>
      <c r="B841" s="7">
        <f t="shared" si="207"/>
        <v>96</v>
      </c>
      <c r="C841" s="7"/>
      <c r="D841" s="7"/>
      <c r="E841" s="7"/>
      <c r="F841" s="7"/>
      <c r="G841" s="7"/>
      <c r="H841" s="7"/>
      <c r="I841" s="91"/>
      <c r="J841" s="115"/>
      <c r="K841" s="116"/>
      <c r="L841" s="116"/>
      <c r="M841" s="116"/>
      <c r="N841" s="129" t="e">
        <f t="shared" si="209"/>
        <v>#DIV/0!</v>
      </c>
      <c r="O841" s="129" t="e">
        <f t="shared" si="210"/>
        <v>#DIV/0!</v>
      </c>
      <c r="P841" s="129" t="e">
        <f t="shared" si="211"/>
        <v>#DIV/0!</v>
      </c>
      <c r="Q841" s="114" t="e">
        <f t="shared" si="212"/>
        <v>#DIV/0!</v>
      </c>
      <c r="R841" s="5" t="e">
        <f t="shared" si="208"/>
        <v>#DIV/0!</v>
      </c>
    </row>
    <row r="842" spans="1:18" s="4" customFormat="1" ht="15" hidden="1" customHeight="1">
      <c r="A842" s="64"/>
      <c r="B842" s="7">
        <f t="shared" si="207"/>
        <v>97</v>
      </c>
      <c r="C842" s="7"/>
      <c r="D842" s="7"/>
      <c r="E842" s="7"/>
      <c r="F842" s="7"/>
      <c r="G842" s="7"/>
      <c r="H842" s="7"/>
      <c r="I842" s="91"/>
      <c r="J842" s="115"/>
      <c r="K842" s="116"/>
      <c r="L842" s="116"/>
      <c r="M842" s="116"/>
      <c r="N842" s="129" t="e">
        <f t="shared" si="209"/>
        <v>#DIV/0!</v>
      </c>
      <c r="O842" s="129" t="e">
        <f t="shared" si="210"/>
        <v>#DIV/0!</v>
      </c>
      <c r="P842" s="129" t="e">
        <f t="shared" si="211"/>
        <v>#DIV/0!</v>
      </c>
      <c r="Q842" s="114" t="e">
        <f t="shared" si="212"/>
        <v>#DIV/0!</v>
      </c>
      <c r="R842" s="5" t="e">
        <f t="shared" si="208"/>
        <v>#DIV/0!</v>
      </c>
    </row>
    <row r="843" spans="1:18" s="4" customFormat="1" ht="15" hidden="1" customHeight="1">
      <c r="A843" s="64"/>
      <c r="B843" s="7">
        <f t="shared" si="207"/>
        <v>98</v>
      </c>
      <c r="C843" s="7"/>
      <c r="D843" s="7"/>
      <c r="E843" s="7"/>
      <c r="F843" s="7"/>
      <c r="G843" s="7"/>
      <c r="H843" s="7"/>
      <c r="I843" s="91"/>
      <c r="J843" s="115"/>
      <c r="K843" s="116"/>
      <c r="L843" s="116"/>
      <c r="M843" s="116"/>
      <c r="N843" s="129" t="e">
        <f t="shared" si="209"/>
        <v>#DIV/0!</v>
      </c>
      <c r="O843" s="129" t="e">
        <f t="shared" si="210"/>
        <v>#DIV/0!</v>
      </c>
      <c r="P843" s="129" t="e">
        <f t="shared" si="211"/>
        <v>#DIV/0!</v>
      </c>
      <c r="Q843" s="114" t="e">
        <f t="shared" si="212"/>
        <v>#DIV/0!</v>
      </c>
      <c r="R843" s="5" t="e">
        <f t="shared" si="208"/>
        <v>#DIV/0!</v>
      </c>
    </row>
    <row r="844" spans="1:18" s="4" customFormat="1" ht="15" hidden="1" customHeight="1">
      <c r="A844" s="64"/>
      <c r="B844" s="7">
        <f t="shared" si="207"/>
        <v>99</v>
      </c>
      <c r="C844" s="7"/>
      <c r="D844" s="7"/>
      <c r="E844" s="7"/>
      <c r="F844" s="7"/>
      <c r="G844" s="7"/>
      <c r="H844" s="7"/>
      <c r="I844" s="91"/>
      <c r="J844" s="115"/>
      <c r="K844" s="116"/>
      <c r="L844" s="116"/>
      <c r="M844" s="116"/>
      <c r="N844" s="129" t="e">
        <f t="shared" si="209"/>
        <v>#DIV/0!</v>
      </c>
      <c r="O844" s="129" t="e">
        <f t="shared" si="210"/>
        <v>#DIV/0!</v>
      </c>
      <c r="P844" s="129" t="e">
        <f t="shared" si="211"/>
        <v>#DIV/0!</v>
      </c>
      <c r="Q844" s="114" t="e">
        <f t="shared" si="212"/>
        <v>#DIV/0!</v>
      </c>
      <c r="R844" s="5" t="e">
        <f t="shared" si="208"/>
        <v>#DIV/0!</v>
      </c>
    </row>
    <row r="845" spans="1:18" s="4" customFormat="1" ht="15" hidden="1" customHeight="1">
      <c r="A845" s="64"/>
      <c r="B845" s="7">
        <f t="shared" si="207"/>
        <v>100</v>
      </c>
      <c r="C845" s="7"/>
      <c r="D845" s="7"/>
      <c r="E845" s="7"/>
      <c r="F845" s="7"/>
      <c r="G845" s="7"/>
      <c r="H845" s="7"/>
      <c r="I845" s="91"/>
      <c r="J845" s="115"/>
      <c r="K845" s="116"/>
      <c r="L845" s="116"/>
      <c r="M845" s="116"/>
      <c r="N845" s="129" t="e">
        <f t="shared" si="209"/>
        <v>#DIV/0!</v>
      </c>
      <c r="O845" s="129" t="e">
        <f t="shared" si="210"/>
        <v>#DIV/0!</v>
      </c>
      <c r="P845" s="129" t="e">
        <f t="shared" si="211"/>
        <v>#DIV/0!</v>
      </c>
      <c r="Q845" s="114" t="e">
        <f t="shared" si="212"/>
        <v>#DIV/0!</v>
      </c>
      <c r="R845" s="5" t="e">
        <f t="shared" si="208"/>
        <v>#DIV/0!</v>
      </c>
    </row>
    <row r="846" spans="1:18" s="4" customFormat="1" ht="15" hidden="1" customHeight="1">
      <c r="A846" s="64"/>
      <c r="B846" s="7">
        <f t="shared" si="207"/>
        <v>101</v>
      </c>
      <c r="C846" s="7"/>
      <c r="D846" s="7"/>
      <c r="E846" s="7"/>
      <c r="F846" s="7"/>
      <c r="G846" s="7"/>
      <c r="H846" s="7"/>
      <c r="I846" s="91"/>
      <c r="J846" s="115"/>
      <c r="K846" s="116"/>
      <c r="L846" s="116"/>
      <c r="M846" s="116"/>
      <c r="N846" s="129" t="e">
        <f t="shared" si="209"/>
        <v>#DIV/0!</v>
      </c>
      <c r="O846" s="129" t="e">
        <f t="shared" si="210"/>
        <v>#DIV/0!</v>
      </c>
      <c r="P846" s="129" t="e">
        <f t="shared" si="211"/>
        <v>#DIV/0!</v>
      </c>
      <c r="Q846" s="114" t="e">
        <f t="shared" si="212"/>
        <v>#DIV/0!</v>
      </c>
      <c r="R846" s="5" t="e">
        <f t="shared" si="208"/>
        <v>#DIV/0!</v>
      </c>
    </row>
    <row r="847" spans="1:18" s="4" customFormat="1" ht="15" hidden="1" customHeight="1">
      <c r="A847" s="64"/>
      <c r="B847" s="7">
        <f t="shared" si="207"/>
        <v>102</v>
      </c>
      <c r="C847" s="7"/>
      <c r="D847" s="7"/>
      <c r="E847" s="7"/>
      <c r="F847" s="7"/>
      <c r="G847" s="7"/>
      <c r="H847" s="7"/>
      <c r="I847" s="91"/>
      <c r="J847" s="115"/>
      <c r="K847" s="116"/>
      <c r="L847" s="116"/>
      <c r="M847" s="116"/>
      <c r="N847" s="129" t="e">
        <f t="shared" si="209"/>
        <v>#DIV/0!</v>
      </c>
      <c r="O847" s="129" t="e">
        <f t="shared" si="210"/>
        <v>#DIV/0!</v>
      </c>
      <c r="P847" s="129" t="e">
        <f t="shared" si="211"/>
        <v>#DIV/0!</v>
      </c>
      <c r="Q847" s="114" t="e">
        <f t="shared" si="212"/>
        <v>#DIV/0!</v>
      </c>
      <c r="R847" s="5" t="e">
        <f t="shared" si="208"/>
        <v>#DIV/0!</v>
      </c>
    </row>
    <row r="848" spans="1:18" s="4" customFormat="1" ht="15" hidden="1" customHeight="1">
      <c r="A848" s="64"/>
      <c r="B848" s="7">
        <f t="shared" si="207"/>
        <v>103</v>
      </c>
      <c r="C848" s="7"/>
      <c r="D848" s="7"/>
      <c r="E848" s="7"/>
      <c r="F848" s="7"/>
      <c r="G848" s="7"/>
      <c r="H848" s="7"/>
      <c r="I848" s="91"/>
      <c r="J848" s="115"/>
      <c r="K848" s="116"/>
      <c r="L848" s="116"/>
      <c r="M848" s="116"/>
      <c r="N848" s="129" t="e">
        <f t="shared" si="209"/>
        <v>#DIV/0!</v>
      </c>
      <c r="O848" s="129" t="e">
        <f t="shared" si="210"/>
        <v>#DIV/0!</v>
      </c>
      <c r="P848" s="129" t="e">
        <f t="shared" si="211"/>
        <v>#DIV/0!</v>
      </c>
      <c r="Q848" s="114" t="e">
        <f t="shared" si="212"/>
        <v>#DIV/0!</v>
      </c>
      <c r="R848" s="5" t="e">
        <f t="shared" si="208"/>
        <v>#DIV/0!</v>
      </c>
    </row>
    <row r="849" spans="1:18" s="4" customFormat="1" ht="15" hidden="1" customHeight="1">
      <c r="A849" s="64"/>
      <c r="B849" s="7">
        <f t="shared" si="207"/>
        <v>104</v>
      </c>
      <c r="C849" s="7"/>
      <c r="D849" s="7"/>
      <c r="E849" s="7"/>
      <c r="F849" s="7"/>
      <c r="G849" s="7"/>
      <c r="H849" s="7"/>
      <c r="I849" s="91"/>
      <c r="J849" s="115"/>
      <c r="K849" s="116"/>
      <c r="L849" s="116"/>
      <c r="M849" s="116"/>
      <c r="N849" s="129" t="e">
        <f t="shared" si="209"/>
        <v>#DIV/0!</v>
      </c>
      <c r="O849" s="129" t="e">
        <f t="shared" si="210"/>
        <v>#DIV/0!</v>
      </c>
      <c r="P849" s="129" t="e">
        <f t="shared" si="211"/>
        <v>#DIV/0!</v>
      </c>
      <c r="Q849" s="114" t="e">
        <f t="shared" si="212"/>
        <v>#DIV/0!</v>
      </c>
      <c r="R849" s="5" t="e">
        <f t="shared" si="208"/>
        <v>#DIV/0!</v>
      </c>
    </row>
    <row r="850" spans="1:18" s="4" customFormat="1" ht="15" hidden="1" customHeight="1">
      <c r="A850" s="64"/>
      <c r="B850" s="7">
        <f t="shared" si="207"/>
        <v>105</v>
      </c>
      <c r="C850" s="7"/>
      <c r="D850" s="7"/>
      <c r="E850" s="7"/>
      <c r="F850" s="7"/>
      <c r="G850" s="7"/>
      <c r="H850" s="7"/>
      <c r="I850" s="91"/>
      <c r="J850" s="115"/>
      <c r="K850" s="116"/>
      <c r="L850" s="116"/>
      <c r="M850" s="116"/>
      <c r="N850" s="129" t="e">
        <f t="shared" si="209"/>
        <v>#DIV/0!</v>
      </c>
      <c r="O850" s="129" t="e">
        <f t="shared" si="210"/>
        <v>#DIV/0!</v>
      </c>
      <c r="P850" s="129" t="e">
        <f t="shared" si="211"/>
        <v>#DIV/0!</v>
      </c>
      <c r="Q850" s="114" t="e">
        <f t="shared" si="212"/>
        <v>#DIV/0!</v>
      </c>
      <c r="R850" s="5" t="e">
        <f t="shared" si="208"/>
        <v>#DIV/0!</v>
      </c>
    </row>
    <row r="851" spans="1:18" s="4" customFormat="1" ht="15" hidden="1" customHeight="1">
      <c r="A851" s="64"/>
      <c r="B851" s="7">
        <f t="shared" si="207"/>
        <v>106</v>
      </c>
      <c r="C851" s="7"/>
      <c r="D851" s="7"/>
      <c r="E851" s="7"/>
      <c r="F851" s="7"/>
      <c r="G851" s="7"/>
      <c r="H851" s="7"/>
      <c r="I851" s="91"/>
      <c r="J851" s="115"/>
      <c r="K851" s="116"/>
      <c r="L851" s="116"/>
      <c r="M851" s="116"/>
      <c r="N851" s="129" t="e">
        <f t="shared" si="209"/>
        <v>#DIV/0!</v>
      </c>
      <c r="O851" s="129" t="e">
        <f t="shared" si="210"/>
        <v>#DIV/0!</v>
      </c>
      <c r="P851" s="129" t="e">
        <f t="shared" si="211"/>
        <v>#DIV/0!</v>
      </c>
      <c r="Q851" s="114" t="e">
        <f t="shared" si="212"/>
        <v>#DIV/0!</v>
      </c>
      <c r="R851" s="5" t="e">
        <f t="shared" si="208"/>
        <v>#DIV/0!</v>
      </c>
    </row>
    <row r="852" spans="1:18" s="4" customFormat="1" ht="15" hidden="1" customHeight="1">
      <c r="A852" s="64"/>
      <c r="B852" s="7">
        <f t="shared" si="207"/>
        <v>107</v>
      </c>
      <c r="C852" s="7"/>
      <c r="D852" s="7"/>
      <c r="E852" s="7"/>
      <c r="F852" s="7"/>
      <c r="G852" s="7"/>
      <c r="H852" s="7"/>
      <c r="I852" s="91"/>
      <c r="J852" s="115"/>
      <c r="K852" s="116"/>
      <c r="L852" s="116"/>
      <c r="M852" s="116"/>
      <c r="N852" s="129" t="e">
        <f t="shared" si="209"/>
        <v>#DIV/0!</v>
      </c>
      <c r="O852" s="129" t="e">
        <f t="shared" si="210"/>
        <v>#DIV/0!</v>
      </c>
      <c r="P852" s="129" t="e">
        <f t="shared" si="211"/>
        <v>#DIV/0!</v>
      </c>
      <c r="Q852" s="114" t="e">
        <f t="shared" si="212"/>
        <v>#DIV/0!</v>
      </c>
      <c r="R852" s="5" t="e">
        <f t="shared" si="208"/>
        <v>#DIV/0!</v>
      </c>
    </row>
    <row r="853" spans="1:18" s="4" customFormat="1" ht="15" hidden="1" customHeight="1">
      <c r="A853" s="64"/>
      <c r="B853" s="7">
        <f t="shared" si="207"/>
        <v>108</v>
      </c>
      <c r="C853" s="7"/>
      <c r="D853" s="7"/>
      <c r="E853" s="7"/>
      <c r="F853" s="7"/>
      <c r="G853" s="7"/>
      <c r="H853" s="7"/>
      <c r="I853" s="91"/>
      <c r="J853" s="115"/>
      <c r="K853" s="116"/>
      <c r="L853" s="116"/>
      <c r="M853" s="116"/>
      <c r="N853" s="129" t="e">
        <f t="shared" si="209"/>
        <v>#DIV/0!</v>
      </c>
      <c r="O853" s="129" t="e">
        <f t="shared" si="210"/>
        <v>#DIV/0!</v>
      </c>
      <c r="P853" s="129" t="e">
        <f t="shared" si="211"/>
        <v>#DIV/0!</v>
      </c>
      <c r="Q853" s="114" t="e">
        <f t="shared" si="212"/>
        <v>#DIV/0!</v>
      </c>
      <c r="R853" s="5" t="e">
        <f t="shared" si="208"/>
        <v>#DIV/0!</v>
      </c>
    </row>
    <row r="854" spans="1:18" s="4" customFormat="1" ht="15" hidden="1" customHeight="1">
      <c r="A854" s="64"/>
      <c r="B854" s="7">
        <f t="shared" si="207"/>
        <v>109</v>
      </c>
      <c r="C854" s="7"/>
      <c r="D854" s="7"/>
      <c r="E854" s="7"/>
      <c r="F854" s="7"/>
      <c r="G854" s="7"/>
      <c r="H854" s="7"/>
      <c r="I854" s="91"/>
      <c r="J854" s="115"/>
      <c r="K854" s="116"/>
      <c r="L854" s="116"/>
      <c r="M854" s="116"/>
      <c r="N854" s="129" t="e">
        <f t="shared" si="209"/>
        <v>#DIV/0!</v>
      </c>
      <c r="O854" s="129" t="e">
        <f t="shared" si="210"/>
        <v>#DIV/0!</v>
      </c>
      <c r="P854" s="129" t="e">
        <f t="shared" si="211"/>
        <v>#DIV/0!</v>
      </c>
      <c r="Q854" s="114" t="e">
        <f t="shared" si="212"/>
        <v>#DIV/0!</v>
      </c>
      <c r="R854" s="5" t="e">
        <f t="shared" si="208"/>
        <v>#DIV/0!</v>
      </c>
    </row>
    <row r="855" spans="1:18" s="4" customFormat="1" ht="15" hidden="1" customHeight="1">
      <c r="A855" s="64"/>
      <c r="B855" s="7">
        <f t="shared" si="207"/>
        <v>110</v>
      </c>
      <c r="C855" s="7"/>
      <c r="D855" s="7"/>
      <c r="E855" s="7"/>
      <c r="F855" s="7"/>
      <c r="G855" s="7"/>
      <c r="H855" s="7"/>
      <c r="I855" s="91"/>
      <c r="J855" s="115"/>
      <c r="K855" s="116"/>
      <c r="L855" s="116"/>
      <c r="M855" s="116"/>
      <c r="N855" s="129" t="e">
        <f t="shared" si="209"/>
        <v>#DIV/0!</v>
      </c>
      <c r="O855" s="129" t="e">
        <f t="shared" si="210"/>
        <v>#DIV/0!</v>
      </c>
      <c r="P855" s="129" t="e">
        <f t="shared" si="211"/>
        <v>#DIV/0!</v>
      </c>
      <c r="Q855" s="114" t="e">
        <f t="shared" si="212"/>
        <v>#DIV/0!</v>
      </c>
      <c r="R855" s="5" t="e">
        <f t="shared" si="208"/>
        <v>#DIV/0!</v>
      </c>
    </row>
    <row r="856" spans="1:18" s="4" customFormat="1" ht="15" hidden="1" customHeight="1">
      <c r="A856" s="64"/>
      <c r="B856" s="7">
        <f t="shared" si="207"/>
        <v>111</v>
      </c>
      <c r="C856" s="7"/>
      <c r="D856" s="7"/>
      <c r="E856" s="7"/>
      <c r="F856" s="7"/>
      <c r="G856" s="7"/>
      <c r="H856" s="7"/>
      <c r="I856" s="91"/>
      <c r="J856" s="115"/>
      <c r="K856" s="116"/>
      <c r="L856" s="116"/>
      <c r="M856" s="116"/>
      <c r="N856" s="129" t="e">
        <f t="shared" si="209"/>
        <v>#DIV/0!</v>
      </c>
      <c r="O856" s="129" t="e">
        <f t="shared" si="210"/>
        <v>#DIV/0!</v>
      </c>
      <c r="P856" s="129" t="e">
        <f t="shared" si="211"/>
        <v>#DIV/0!</v>
      </c>
      <c r="Q856" s="114" t="e">
        <f t="shared" si="212"/>
        <v>#DIV/0!</v>
      </c>
      <c r="R856" s="5" t="e">
        <f t="shared" si="208"/>
        <v>#DIV/0!</v>
      </c>
    </row>
    <row r="857" spans="1:18" s="4" customFormat="1" ht="15" hidden="1" customHeight="1">
      <c r="A857" s="64"/>
      <c r="B857" s="7">
        <f t="shared" si="207"/>
        <v>112</v>
      </c>
      <c r="C857" s="7"/>
      <c r="D857" s="7"/>
      <c r="E857" s="7"/>
      <c r="F857" s="7"/>
      <c r="G857" s="7"/>
      <c r="H857" s="7"/>
      <c r="I857" s="91"/>
      <c r="J857" s="115"/>
      <c r="K857" s="116"/>
      <c r="L857" s="116"/>
      <c r="M857" s="116"/>
      <c r="N857" s="129" t="e">
        <f t="shared" si="209"/>
        <v>#DIV/0!</v>
      </c>
      <c r="O857" s="129" t="e">
        <f t="shared" si="210"/>
        <v>#DIV/0!</v>
      </c>
      <c r="P857" s="129" t="e">
        <f t="shared" si="211"/>
        <v>#DIV/0!</v>
      </c>
      <c r="Q857" s="114" t="e">
        <f t="shared" si="212"/>
        <v>#DIV/0!</v>
      </c>
      <c r="R857" s="5" t="e">
        <f t="shared" si="208"/>
        <v>#DIV/0!</v>
      </c>
    </row>
    <row r="858" spans="1:18" s="4" customFormat="1" ht="15" hidden="1" customHeight="1">
      <c r="A858" s="64"/>
      <c r="B858" s="7">
        <f t="shared" si="207"/>
        <v>113</v>
      </c>
      <c r="C858" s="7"/>
      <c r="D858" s="7"/>
      <c r="E858" s="7"/>
      <c r="F858" s="7"/>
      <c r="G858" s="7"/>
      <c r="H858" s="7"/>
      <c r="I858" s="91"/>
      <c r="J858" s="115"/>
      <c r="K858" s="116"/>
      <c r="L858" s="116"/>
      <c r="M858" s="116"/>
      <c r="N858" s="129" t="e">
        <f t="shared" si="209"/>
        <v>#DIV/0!</v>
      </c>
      <c r="O858" s="129" t="e">
        <f t="shared" si="210"/>
        <v>#DIV/0!</v>
      </c>
      <c r="P858" s="129" t="e">
        <f t="shared" si="211"/>
        <v>#DIV/0!</v>
      </c>
      <c r="Q858" s="114" t="e">
        <f t="shared" si="212"/>
        <v>#DIV/0!</v>
      </c>
      <c r="R858" s="5" t="e">
        <f t="shared" si="208"/>
        <v>#DIV/0!</v>
      </c>
    </row>
    <row r="859" spans="1:18" s="4" customFormat="1" ht="15" hidden="1" customHeight="1">
      <c r="A859" s="64"/>
      <c r="B859" s="7">
        <f t="shared" si="207"/>
        <v>114</v>
      </c>
      <c r="C859" s="7"/>
      <c r="D859" s="7"/>
      <c r="E859" s="7"/>
      <c r="F859" s="7"/>
      <c r="G859" s="7"/>
      <c r="H859" s="7"/>
      <c r="I859" s="91"/>
      <c r="J859" s="115"/>
      <c r="K859" s="116"/>
      <c r="L859" s="116"/>
      <c r="M859" s="116"/>
      <c r="N859" s="129" t="e">
        <f t="shared" si="209"/>
        <v>#DIV/0!</v>
      </c>
      <c r="O859" s="129" t="e">
        <f t="shared" si="210"/>
        <v>#DIV/0!</v>
      </c>
      <c r="P859" s="129" t="e">
        <f t="shared" si="211"/>
        <v>#DIV/0!</v>
      </c>
      <c r="Q859" s="114" t="e">
        <f t="shared" si="212"/>
        <v>#DIV/0!</v>
      </c>
      <c r="R859" s="5" t="e">
        <f t="shared" si="208"/>
        <v>#DIV/0!</v>
      </c>
    </row>
    <row r="860" spans="1:18" s="4" customFormat="1" ht="15" hidden="1" customHeight="1">
      <c r="A860" s="64"/>
      <c r="B860" s="7">
        <f t="shared" si="207"/>
        <v>115</v>
      </c>
      <c r="C860" s="7"/>
      <c r="D860" s="7"/>
      <c r="E860" s="7"/>
      <c r="F860" s="7"/>
      <c r="G860" s="7"/>
      <c r="H860" s="7"/>
      <c r="I860" s="91"/>
      <c r="J860" s="115"/>
      <c r="K860" s="116"/>
      <c r="L860" s="116"/>
      <c r="M860" s="116"/>
      <c r="N860" s="129" t="e">
        <f t="shared" si="209"/>
        <v>#DIV/0!</v>
      </c>
      <c r="O860" s="129" t="e">
        <f t="shared" si="210"/>
        <v>#DIV/0!</v>
      </c>
      <c r="P860" s="129" t="e">
        <f t="shared" si="211"/>
        <v>#DIV/0!</v>
      </c>
      <c r="Q860" s="114" t="e">
        <f t="shared" si="212"/>
        <v>#DIV/0!</v>
      </c>
      <c r="R860" s="5" t="e">
        <f t="shared" si="208"/>
        <v>#DIV/0!</v>
      </c>
    </row>
    <row r="861" spans="1:18" s="4" customFormat="1" ht="15" hidden="1" customHeight="1">
      <c r="A861" s="64"/>
      <c r="B861" s="7">
        <f t="shared" si="207"/>
        <v>116</v>
      </c>
      <c r="C861" s="7"/>
      <c r="D861" s="7"/>
      <c r="E861" s="7"/>
      <c r="F861" s="7"/>
      <c r="G861" s="7"/>
      <c r="H861" s="7"/>
      <c r="I861" s="91"/>
      <c r="J861" s="115"/>
      <c r="K861" s="116"/>
      <c r="L861" s="116"/>
      <c r="M861" s="116"/>
      <c r="N861" s="129" t="e">
        <f t="shared" si="209"/>
        <v>#DIV/0!</v>
      </c>
      <c r="O861" s="129" t="e">
        <f t="shared" si="210"/>
        <v>#DIV/0!</v>
      </c>
      <c r="P861" s="129" t="e">
        <f t="shared" si="211"/>
        <v>#DIV/0!</v>
      </c>
      <c r="Q861" s="114" t="e">
        <f t="shared" si="212"/>
        <v>#DIV/0!</v>
      </c>
      <c r="R861" s="5" t="e">
        <f t="shared" si="208"/>
        <v>#DIV/0!</v>
      </c>
    </row>
    <row r="862" spans="1:18" s="4" customFormat="1" ht="15" hidden="1" customHeight="1">
      <c r="A862" s="64"/>
      <c r="B862" s="7">
        <f t="shared" si="207"/>
        <v>117</v>
      </c>
      <c r="C862" s="7"/>
      <c r="D862" s="7"/>
      <c r="E862" s="7"/>
      <c r="F862" s="7"/>
      <c r="G862" s="7"/>
      <c r="H862" s="7"/>
      <c r="I862" s="91"/>
      <c r="J862" s="115"/>
      <c r="K862" s="116"/>
      <c r="L862" s="116"/>
      <c r="M862" s="116"/>
      <c r="N862" s="129" t="e">
        <f t="shared" si="209"/>
        <v>#DIV/0!</v>
      </c>
      <c r="O862" s="129" t="e">
        <f t="shared" si="210"/>
        <v>#DIV/0!</v>
      </c>
      <c r="P862" s="129" t="e">
        <f t="shared" si="211"/>
        <v>#DIV/0!</v>
      </c>
      <c r="Q862" s="114" t="e">
        <f t="shared" si="212"/>
        <v>#DIV/0!</v>
      </c>
      <c r="R862" s="5" t="e">
        <f t="shared" si="208"/>
        <v>#DIV/0!</v>
      </c>
    </row>
    <row r="863" spans="1:18" s="4" customFormat="1" ht="15" hidden="1" customHeight="1">
      <c r="A863" s="64"/>
      <c r="B863" s="7">
        <f t="shared" si="207"/>
        <v>118</v>
      </c>
      <c r="C863" s="7"/>
      <c r="D863" s="7"/>
      <c r="E863" s="7"/>
      <c r="F863" s="7"/>
      <c r="G863" s="7"/>
      <c r="H863" s="7"/>
      <c r="I863" s="91"/>
      <c r="J863" s="115"/>
      <c r="K863" s="116"/>
      <c r="L863" s="116"/>
      <c r="M863" s="116"/>
      <c r="N863" s="129" t="e">
        <f t="shared" si="209"/>
        <v>#DIV/0!</v>
      </c>
      <c r="O863" s="129" t="e">
        <f t="shared" si="210"/>
        <v>#DIV/0!</v>
      </c>
      <c r="P863" s="129" t="e">
        <f t="shared" si="211"/>
        <v>#DIV/0!</v>
      </c>
      <c r="Q863" s="114" t="e">
        <f t="shared" si="212"/>
        <v>#DIV/0!</v>
      </c>
      <c r="R863" s="5" t="e">
        <f t="shared" si="208"/>
        <v>#DIV/0!</v>
      </c>
    </row>
    <row r="864" spans="1:18" s="4" customFormat="1" ht="15" hidden="1" customHeight="1">
      <c r="A864" s="64"/>
      <c r="B864" s="7">
        <f t="shared" si="207"/>
        <v>119</v>
      </c>
      <c r="C864" s="7"/>
      <c r="D864" s="7"/>
      <c r="E864" s="7"/>
      <c r="F864" s="7"/>
      <c r="G864" s="7"/>
      <c r="H864" s="7"/>
      <c r="I864" s="91"/>
      <c r="J864" s="115"/>
      <c r="K864" s="116"/>
      <c r="L864" s="116"/>
      <c r="M864" s="116"/>
      <c r="N864" s="129" t="e">
        <f t="shared" si="209"/>
        <v>#DIV/0!</v>
      </c>
      <c r="O864" s="129" t="e">
        <f t="shared" si="210"/>
        <v>#DIV/0!</v>
      </c>
      <c r="P864" s="129" t="e">
        <f t="shared" si="211"/>
        <v>#DIV/0!</v>
      </c>
      <c r="Q864" s="114" t="e">
        <f t="shared" si="212"/>
        <v>#DIV/0!</v>
      </c>
      <c r="R864" s="5" t="e">
        <f t="shared" si="208"/>
        <v>#DIV/0!</v>
      </c>
    </row>
    <row r="865" spans="1:18" s="4" customFormat="1" ht="15" hidden="1" customHeight="1">
      <c r="A865" s="64"/>
      <c r="B865" s="7">
        <f t="shared" si="207"/>
        <v>120</v>
      </c>
      <c r="C865" s="7"/>
      <c r="D865" s="7"/>
      <c r="E865" s="7"/>
      <c r="F865" s="7"/>
      <c r="G865" s="7"/>
      <c r="H865" s="7"/>
      <c r="I865" s="91"/>
      <c r="J865" s="115"/>
      <c r="K865" s="116"/>
      <c r="L865" s="116"/>
      <c r="M865" s="116"/>
      <c r="N865" s="129" t="e">
        <f t="shared" si="209"/>
        <v>#DIV/0!</v>
      </c>
      <c r="O865" s="129" t="e">
        <f t="shared" si="210"/>
        <v>#DIV/0!</v>
      </c>
      <c r="P865" s="129" t="e">
        <f t="shared" si="211"/>
        <v>#DIV/0!</v>
      </c>
      <c r="Q865" s="114" t="e">
        <f t="shared" si="212"/>
        <v>#DIV/0!</v>
      </c>
      <c r="R865" s="5" t="e">
        <f t="shared" si="208"/>
        <v>#DIV/0!</v>
      </c>
    </row>
    <row r="866" spans="1:18" s="4" customFormat="1" ht="15" hidden="1" customHeight="1">
      <c r="A866" s="64"/>
      <c r="B866" s="7">
        <f t="shared" si="207"/>
        <v>121</v>
      </c>
      <c r="C866" s="7"/>
      <c r="D866" s="7"/>
      <c r="E866" s="7"/>
      <c r="F866" s="7"/>
      <c r="G866" s="7"/>
      <c r="H866" s="7"/>
      <c r="I866" s="91"/>
      <c r="J866" s="115"/>
      <c r="K866" s="116"/>
      <c r="L866" s="116"/>
      <c r="M866" s="116"/>
      <c r="N866" s="129" t="e">
        <f t="shared" si="209"/>
        <v>#DIV/0!</v>
      </c>
      <c r="O866" s="129" t="e">
        <f t="shared" si="210"/>
        <v>#DIV/0!</v>
      </c>
      <c r="P866" s="129" t="e">
        <f t="shared" si="211"/>
        <v>#DIV/0!</v>
      </c>
      <c r="Q866" s="114" t="e">
        <f t="shared" si="212"/>
        <v>#DIV/0!</v>
      </c>
      <c r="R866" s="5" t="e">
        <f t="shared" si="208"/>
        <v>#DIV/0!</v>
      </c>
    </row>
    <row r="867" spans="1:18" s="4" customFormat="1" ht="15" hidden="1" customHeight="1">
      <c r="A867" s="64"/>
      <c r="B867" s="7">
        <f t="shared" si="207"/>
        <v>122</v>
      </c>
      <c r="C867" s="7"/>
      <c r="D867" s="7"/>
      <c r="E867" s="7"/>
      <c r="F867" s="7"/>
      <c r="G867" s="7"/>
      <c r="H867" s="7"/>
      <c r="I867" s="91"/>
      <c r="J867" s="115"/>
      <c r="K867" s="116"/>
      <c r="L867" s="116"/>
      <c r="M867" s="116"/>
      <c r="N867" s="129" t="e">
        <f t="shared" si="209"/>
        <v>#DIV/0!</v>
      </c>
      <c r="O867" s="129" t="e">
        <f t="shared" si="210"/>
        <v>#DIV/0!</v>
      </c>
      <c r="P867" s="129" t="e">
        <f t="shared" si="211"/>
        <v>#DIV/0!</v>
      </c>
      <c r="Q867" s="114" t="e">
        <f t="shared" si="212"/>
        <v>#DIV/0!</v>
      </c>
      <c r="R867" s="5" t="e">
        <f t="shared" si="208"/>
        <v>#DIV/0!</v>
      </c>
    </row>
    <row r="868" spans="1:18" s="4" customFormat="1" ht="15" hidden="1" customHeight="1">
      <c r="A868" s="64"/>
      <c r="B868" s="7">
        <f t="shared" si="207"/>
        <v>123</v>
      </c>
      <c r="C868" s="7"/>
      <c r="D868" s="7"/>
      <c r="E868" s="7"/>
      <c r="F868" s="7"/>
      <c r="G868" s="7"/>
      <c r="H868" s="7"/>
      <c r="I868" s="91"/>
      <c r="J868" s="115"/>
      <c r="K868" s="116"/>
      <c r="L868" s="116"/>
      <c r="M868" s="116"/>
      <c r="N868" s="129" t="e">
        <f t="shared" si="209"/>
        <v>#DIV/0!</v>
      </c>
      <c r="O868" s="129" t="e">
        <f t="shared" si="210"/>
        <v>#DIV/0!</v>
      </c>
      <c r="P868" s="129" t="e">
        <f t="shared" si="211"/>
        <v>#DIV/0!</v>
      </c>
      <c r="Q868" s="114" t="e">
        <f t="shared" si="212"/>
        <v>#DIV/0!</v>
      </c>
      <c r="R868" s="5" t="e">
        <f t="shared" si="208"/>
        <v>#DIV/0!</v>
      </c>
    </row>
    <row r="869" spans="1:18" s="4" customFormat="1" ht="15" hidden="1" customHeight="1">
      <c r="A869" s="64"/>
      <c r="B869" s="7">
        <f t="shared" si="207"/>
        <v>124</v>
      </c>
      <c r="C869" s="7"/>
      <c r="D869" s="7"/>
      <c r="E869" s="7"/>
      <c r="F869" s="7"/>
      <c r="G869" s="7"/>
      <c r="H869" s="7"/>
      <c r="I869" s="91"/>
      <c r="J869" s="115"/>
      <c r="K869" s="116"/>
      <c r="L869" s="116"/>
      <c r="M869" s="116"/>
      <c r="N869" s="129" t="e">
        <f t="shared" si="209"/>
        <v>#DIV/0!</v>
      </c>
      <c r="O869" s="129" t="e">
        <f t="shared" si="210"/>
        <v>#DIV/0!</v>
      </c>
      <c r="P869" s="129" t="e">
        <f t="shared" ref="P869:P898" si="213">+K869/(K869+M869)</f>
        <v>#DIV/0!</v>
      </c>
      <c r="Q869" s="114" t="e">
        <f t="shared" ref="Q869:Q898" si="214">+J869/K869</f>
        <v>#DIV/0!</v>
      </c>
      <c r="R869" s="5" t="e">
        <f t="shared" si="208"/>
        <v>#DIV/0!</v>
      </c>
    </row>
    <row r="870" spans="1:18" s="4" customFormat="1" ht="15" hidden="1" customHeight="1">
      <c r="A870" s="64"/>
      <c r="B870" s="7">
        <f t="shared" si="207"/>
        <v>125</v>
      </c>
      <c r="C870" s="7"/>
      <c r="D870" s="7"/>
      <c r="E870" s="7"/>
      <c r="F870" s="7"/>
      <c r="G870" s="7"/>
      <c r="H870" s="7"/>
      <c r="I870" s="91"/>
      <c r="J870" s="115"/>
      <c r="K870" s="116"/>
      <c r="L870" s="116"/>
      <c r="M870" s="116"/>
      <c r="N870" s="129" t="e">
        <f t="shared" si="209"/>
        <v>#DIV/0!</v>
      </c>
      <c r="O870" s="129" t="e">
        <f t="shared" si="210"/>
        <v>#DIV/0!</v>
      </c>
      <c r="P870" s="129" t="e">
        <f t="shared" si="213"/>
        <v>#DIV/0!</v>
      </c>
      <c r="Q870" s="114" t="e">
        <f t="shared" si="214"/>
        <v>#DIV/0!</v>
      </c>
      <c r="R870" s="5" t="e">
        <f t="shared" si="208"/>
        <v>#DIV/0!</v>
      </c>
    </row>
    <row r="871" spans="1:18" s="4" customFormat="1" ht="15" hidden="1" customHeight="1">
      <c r="A871" s="64"/>
      <c r="B871" s="7">
        <f t="shared" si="207"/>
        <v>126</v>
      </c>
      <c r="C871" s="7"/>
      <c r="D871" s="7"/>
      <c r="E871" s="7"/>
      <c r="F871" s="7"/>
      <c r="G871" s="7"/>
      <c r="H871" s="7"/>
      <c r="I871" s="91"/>
      <c r="J871" s="115"/>
      <c r="K871" s="116"/>
      <c r="L871" s="116"/>
      <c r="M871" s="116"/>
      <c r="N871" s="129" t="e">
        <f t="shared" si="209"/>
        <v>#DIV/0!</v>
      </c>
      <c r="O871" s="129" t="e">
        <f t="shared" si="210"/>
        <v>#DIV/0!</v>
      </c>
      <c r="P871" s="129" t="e">
        <f t="shared" si="213"/>
        <v>#DIV/0!</v>
      </c>
      <c r="Q871" s="114" t="e">
        <f t="shared" si="214"/>
        <v>#DIV/0!</v>
      </c>
      <c r="R871" s="5" t="e">
        <f t="shared" si="208"/>
        <v>#DIV/0!</v>
      </c>
    </row>
    <row r="872" spans="1:18" s="4" customFormat="1" ht="15" hidden="1" customHeight="1">
      <c r="A872" s="64"/>
      <c r="B872" s="7">
        <f t="shared" si="207"/>
        <v>127</v>
      </c>
      <c r="C872" s="7"/>
      <c r="D872" s="7"/>
      <c r="E872" s="7"/>
      <c r="F872" s="7"/>
      <c r="G872" s="7"/>
      <c r="H872" s="7"/>
      <c r="I872" s="91"/>
      <c r="J872" s="115"/>
      <c r="K872" s="116"/>
      <c r="L872" s="116"/>
      <c r="M872" s="116"/>
      <c r="N872" s="129" t="e">
        <f t="shared" si="209"/>
        <v>#DIV/0!</v>
      </c>
      <c r="O872" s="129" t="e">
        <f t="shared" si="210"/>
        <v>#DIV/0!</v>
      </c>
      <c r="P872" s="129" t="e">
        <f t="shared" si="213"/>
        <v>#DIV/0!</v>
      </c>
      <c r="Q872" s="114" t="e">
        <f t="shared" si="214"/>
        <v>#DIV/0!</v>
      </c>
      <c r="R872" s="5" t="e">
        <f t="shared" si="208"/>
        <v>#DIV/0!</v>
      </c>
    </row>
    <row r="873" spans="1:18" s="4" customFormat="1" ht="15" hidden="1" customHeight="1">
      <c r="A873" s="64"/>
      <c r="B873" s="7">
        <f t="shared" si="207"/>
        <v>128</v>
      </c>
      <c r="C873" s="7"/>
      <c r="D873" s="7"/>
      <c r="E873" s="7"/>
      <c r="F873" s="7"/>
      <c r="G873" s="7"/>
      <c r="H873" s="7"/>
      <c r="I873" s="91"/>
      <c r="J873" s="115"/>
      <c r="K873" s="116"/>
      <c r="L873" s="116"/>
      <c r="M873" s="116"/>
      <c r="N873" s="129" t="e">
        <f t="shared" si="209"/>
        <v>#DIV/0!</v>
      </c>
      <c r="O873" s="129" t="e">
        <f t="shared" si="210"/>
        <v>#DIV/0!</v>
      </c>
      <c r="P873" s="129" t="e">
        <f t="shared" si="213"/>
        <v>#DIV/0!</v>
      </c>
      <c r="Q873" s="114" t="e">
        <f t="shared" si="214"/>
        <v>#DIV/0!</v>
      </c>
      <c r="R873" s="5" t="e">
        <f t="shared" si="208"/>
        <v>#DIV/0!</v>
      </c>
    </row>
    <row r="874" spans="1:18" s="4" customFormat="1" ht="15" hidden="1" customHeight="1">
      <c r="A874" s="64"/>
      <c r="B874" s="7">
        <f t="shared" si="207"/>
        <v>129</v>
      </c>
      <c r="C874" s="7"/>
      <c r="D874" s="7"/>
      <c r="E874" s="7"/>
      <c r="F874" s="7"/>
      <c r="G874" s="7"/>
      <c r="H874" s="7"/>
      <c r="I874" s="91"/>
      <c r="J874" s="115"/>
      <c r="K874" s="116"/>
      <c r="L874" s="116"/>
      <c r="M874" s="116"/>
      <c r="N874" s="129" t="e">
        <f t="shared" si="209"/>
        <v>#DIV/0!</v>
      </c>
      <c r="O874" s="129" t="e">
        <f t="shared" si="210"/>
        <v>#DIV/0!</v>
      </c>
      <c r="P874" s="129" t="e">
        <f t="shared" si="213"/>
        <v>#DIV/0!</v>
      </c>
      <c r="Q874" s="114" t="e">
        <f t="shared" si="214"/>
        <v>#DIV/0!</v>
      </c>
      <c r="R874" s="5" t="e">
        <f t="shared" si="208"/>
        <v>#DIV/0!</v>
      </c>
    </row>
    <row r="875" spans="1:18" s="4" customFormat="1" ht="15" hidden="1" customHeight="1">
      <c r="A875" s="64"/>
      <c r="B875" s="7">
        <f t="shared" si="207"/>
        <v>130</v>
      </c>
      <c r="C875" s="7"/>
      <c r="D875" s="7"/>
      <c r="E875" s="7"/>
      <c r="F875" s="7"/>
      <c r="G875" s="7"/>
      <c r="H875" s="7"/>
      <c r="I875" s="91"/>
      <c r="J875" s="115"/>
      <c r="K875" s="116"/>
      <c r="L875" s="116"/>
      <c r="M875" s="116"/>
      <c r="N875" s="129" t="e">
        <f t="shared" si="209"/>
        <v>#DIV/0!</v>
      </c>
      <c r="O875" s="129" t="e">
        <f t="shared" si="210"/>
        <v>#DIV/0!</v>
      </c>
      <c r="P875" s="129" t="e">
        <f t="shared" si="213"/>
        <v>#DIV/0!</v>
      </c>
      <c r="Q875" s="114" t="e">
        <f t="shared" si="214"/>
        <v>#DIV/0!</v>
      </c>
      <c r="R875" s="5" t="e">
        <f t="shared" si="208"/>
        <v>#DIV/0!</v>
      </c>
    </row>
    <row r="876" spans="1:18" s="4" customFormat="1" ht="15" hidden="1" customHeight="1">
      <c r="A876" s="64"/>
      <c r="B876" s="7">
        <f t="shared" ref="B876:B898" si="215">+B875+1</f>
        <v>131</v>
      </c>
      <c r="C876" s="7"/>
      <c r="D876" s="7"/>
      <c r="E876" s="7"/>
      <c r="F876" s="7"/>
      <c r="G876" s="7"/>
      <c r="H876" s="7"/>
      <c r="I876" s="91"/>
      <c r="J876" s="115"/>
      <c r="K876" s="116"/>
      <c r="L876" s="116"/>
      <c r="M876" s="116"/>
      <c r="N876" s="129" t="e">
        <f t="shared" si="209"/>
        <v>#DIV/0!</v>
      </c>
      <c r="O876" s="129" t="e">
        <f t="shared" si="210"/>
        <v>#DIV/0!</v>
      </c>
      <c r="P876" s="129" t="e">
        <f t="shared" si="213"/>
        <v>#DIV/0!</v>
      </c>
      <c r="Q876" s="114" t="e">
        <f t="shared" si="214"/>
        <v>#DIV/0!</v>
      </c>
      <c r="R876" s="5" t="e">
        <f t="shared" si="208"/>
        <v>#DIV/0!</v>
      </c>
    </row>
    <row r="877" spans="1:18" s="4" customFormat="1" ht="15" hidden="1" customHeight="1">
      <c r="A877" s="64"/>
      <c r="B877" s="7">
        <f t="shared" si="215"/>
        <v>132</v>
      </c>
      <c r="C877" s="7"/>
      <c r="D877" s="7"/>
      <c r="E877" s="7"/>
      <c r="F877" s="7"/>
      <c r="G877" s="7"/>
      <c r="H877" s="7"/>
      <c r="I877" s="91"/>
      <c r="J877" s="115"/>
      <c r="K877" s="116"/>
      <c r="L877" s="116"/>
      <c r="M877" s="116"/>
      <c r="N877" s="129" t="e">
        <f t="shared" si="209"/>
        <v>#DIV/0!</v>
      </c>
      <c r="O877" s="129" t="e">
        <f t="shared" si="210"/>
        <v>#DIV/0!</v>
      </c>
      <c r="P877" s="129" t="e">
        <f t="shared" si="213"/>
        <v>#DIV/0!</v>
      </c>
      <c r="Q877" s="114" t="e">
        <f t="shared" si="214"/>
        <v>#DIV/0!</v>
      </c>
      <c r="R877" s="5" t="e">
        <f t="shared" si="208"/>
        <v>#DIV/0!</v>
      </c>
    </row>
    <row r="878" spans="1:18" s="4" customFormat="1" ht="15" hidden="1" customHeight="1">
      <c r="A878" s="64"/>
      <c r="B878" s="7">
        <f t="shared" si="215"/>
        <v>133</v>
      </c>
      <c r="C878" s="7"/>
      <c r="D878" s="7"/>
      <c r="E878" s="7"/>
      <c r="F878" s="7"/>
      <c r="G878" s="7"/>
      <c r="H878" s="7"/>
      <c r="I878" s="91"/>
      <c r="J878" s="115"/>
      <c r="K878" s="116"/>
      <c r="L878" s="116"/>
      <c r="M878" s="116"/>
      <c r="N878" s="129" t="e">
        <f t="shared" si="209"/>
        <v>#DIV/0!</v>
      </c>
      <c r="O878" s="129" t="e">
        <f t="shared" si="210"/>
        <v>#DIV/0!</v>
      </c>
      <c r="P878" s="129" t="e">
        <f t="shared" si="213"/>
        <v>#DIV/0!</v>
      </c>
      <c r="Q878" s="114" t="e">
        <f t="shared" si="214"/>
        <v>#DIV/0!</v>
      </c>
      <c r="R878" s="5" t="e">
        <f t="shared" si="208"/>
        <v>#DIV/0!</v>
      </c>
    </row>
    <row r="879" spans="1:18" s="4" customFormat="1" ht="15" hidden="1" customHeight="1">
      <c r="A879" s="64"/>
      <c r="B879" s="7">
        <f t="shared" si="215"/>
        <v>134</v>
      </c>
      <c r="C879" s="7"/>
      <c r="D879" s="7"/>
      <c r="E879" s="7"/>
      <c r="F879" s="7"/>
      <c r="G879" s="7"/>
      <c r="H879" s="7"/>
      <c r="I879" s="91"/>
      <c r="J879" s="115"/>
      <c r="K879" s="116"/>
      <c r="L879" s="116"/>
      <c r="M879" s="116"/>
      <c r="N879" s="129" t="e">
        <f t="shared" si="209"/>
        <v>#DIV/0!</v>
      </c>
      <c r="O879" s="129" t="e">
        <f t="shared" si="210"/>
        <v>#DIV/0!</v>
      </c>
      <c r="P879" s="129" t="e">
        <f t="shared" si="213"/>
        <v>#DIV/0!</v>
      </c>
      <c r="Q879" s="114" t="e">
        <f t="shared" si="214"/>
        <v>#DIV/0!</v>
      </c>
      <c r="R879" s="5" t="e">
        <f t="shared" ref="R879:R942" si="216">IF(O879&gt;89.9999999999999%,"PAMA")</f>
        <v>#DIV/0!</v>
      </c>
    </row>
    <row r="880" spans="1:18" s="4" customFormat="1" ht="15" hidden="1" customHeight="1">
      <c r="A880" s="64"/>
      <c r="B880" s="7">
        <f t="shared" si="215"/>
        <v>135</v>
      </c>
      <c r="C880" s="7"/>
      <c r="D880" s="7"/>
      <c r="E880" s="7"/>
      <c r="F880" s="7"/>
      <c r="G880" s="7"/>
      <c r="H880" s="7"/>
      <c r="I880" s="91"/>
      <c r="J880" s="115"/>
      <c r="K880" s="116"/>
      <c r="L880" s="116"/>
      <c r="M880" s="116"/>
      <c r="N880" s="129" t="e">
        <f t="shared" si="209"/>
        <v>#DIV/0!</v>
      </c>
      <c r="O880" s="129" t="e">
        <f t="shared" si="210"/>
        <v>#DIV/0!</v>
      </c>
      <c r="P880" s="129" t="e">
        <f t="shared" si="213"/>
        <v>#DIV/0!</v>
      </c>
      <c r="Q880" s="114" t="e">
        <f t="shared" si="214"/>
        <v>#DIV/0!</v>
      </c>
      <c r="R880" s="5" t="e">
        <f t="shared" si="216"/>
        <v>#DIV/0!</v>
      </c>
    </row>
    <row r="881" spans="1:18" s="4" customFormat="1" ht="15" hidden="1" customHeight="1">
      <c r="A881" s="64"/>
      <c r="B881" s="7">
        <f t="shared" si="215"/>
        <v>136</v>
      </c>
      <c r="C881" s="7"/>
      <c r="D881" s="7"/>
      <c r="E881" s="7"/>
      <c r="F881" s="7"/>
      <c r="G881" s="7"/>
      <c r="H881" s="7"/>
      <c r="I881" s="91"/>
      <c r="J881" s="115"/>
      <c r="K881" s="116"/>
      <c r="L881" s="116"/>
      <c r="M881" s="116"/>
      <c r="N881" s="129" t="e">
        <f t="shared" si="209"/>
        <v>#DIV/0!</v>
      </c>
      <c r="O881" s="129" t="e">
        <f t="shared" si="210"/>
        <v>#DIV/0!</v>
      </c>
      <c r="P881" s="129" t="e">
        <f t="shared" si="213"/>
        <v>#DIV/0!</v>
      </c>
      <c r="Q881" s="114" t="e">
        <f t="shared" si="214"/>
        <v>#DIV/0!</v>
      </c>
      <c r="R881" s="5" t="e">
        <f t="shared" si="216"/>
        <v>#DIV/0!</v>
      </c>
    </row>
    <row r="882" spans="1:18" s="4" customFormat="1" ht="15" hidden="1" customHeight="1">
      <c r="A882" s="64"/>
      <c r="B882" s="7">
        <f t="shared" si="215"/>
        <v>137</v>
      </c>
      <c r="C882" s="7"/>
      <c r="D882" s="7"/>
      <c r="E882" s="7"/>
      <c r="F882" s="7"/>
      <c r="G882" s="7"/>
      <c r="H882" s="7"/>
      <c r="I882" s="91"/>
      <c r="J882" s="115"/>
      <c r="K882" s="116"/>
      <c r="L882" s="116"/>
      <c r="M882" s="116"/>
      <c r="N882" s="129" t="e">
        <f t="shared" si="209"/>
        <v>#DIV/0!</v>
      </c>
      <c r="O882" s="129" t="e">
        <f t="shared" si="210"/>
        <v>#DIV/0!</v>
      </c>
      <c r="P882" s="129" t="e">
        <f t="shared" si="213"/>
        <v>#DIV/0!</v>
      </c>
      <c r="Q882" s="114" t="e">
        <f t="shared" si="214"/>
        <v>#DIV/0!</v>
      </c>
      <c r="R882" s="5" t="e">
        <f t="shared" si="216"/>
        <v>#DIV/0!</v>
      </c>
    </row>
    <row r="883" spans="1:18" s="4" customFormat="1" ht="15" hidden="1" customHeight="1">
      <c r="A883" s="64"/>
      <c r="B883" s="7">
        <f t="shared" si="215"/>
        <v>138</v>
      </c>
      <c r="C883" s="7"/>
      <c r="D883" s="7"/>
      <c r="E883" s="7"/>
      <c r="F883" s="7"/>
      <c r="G883" s="7"/>
      <c r="H883" s="7"/>
      <c r="I883" s="91"/>
      <c r="J883" s="115"/>
      <c r="K883" s="116"/>
      <c r="L883" s="116"/>
      <c r="M883" s="116"/>
      <c r="N883" s="129" t="e">
        <f t="shared" si="209"/>
        <v>#DIV/0!</v>
      </c>
      <c r="O883" s="129" t="e">
        <f t="shared" si="210"/>
        <v>#DIV/0!</v>
      </c>
      <c r="P883" s="129" t="e">
        <f t="shared" si="213"/>
        <v>#DIV/0!</v>
      </c>
      <c r="Q883" s="114" t="e">
        <f t="shared" si="214"/>
        <v>#DIV/0!</v>
      </c>
      <c r="R883" s="5" t="e">
        <f t="shared" si="216"/>
        <v>#DIV/0!</v>
      </c>
    </row>
    <row r="884" spans="1:18" s="4" customFormat="1" ht="15" hidden="1" customHeight="1">
      <c r="A884" s="64"/>
      <c r="B884" s="7">
        <f t="shared" si="215"/>
        <v>139</v>
      </c>
      <c r="C884" s="7"/>
      <c r="D884" s="7"/>
      <c r="E884" s="7"/>
      <c r="F884" s="7"/>
      <c r="G884" s="7"/>
      <c r="H884" s="7"/>
      <c r="I884" s="91"/>
      <c r="J884" s="115"/>
      <c r="K884" s="116"/>
      <c r="L884" s="116"/>
      <c r="M884" s="116"/>
      <c r="N884" s="129" t="e">
        <f t="shared" si="209"/>
        <v>#DIV/0!</v>
      </c>
      <c r="O884" s="129" t="e">
        <f t="shared" si="210"/>
        <v>#DIV/0!</v>
      </c>
      <c r="P884" s="129" t="e">
        <f t="shared" si="213"/>
        <v>#DIV/0!</v>
      </c>
      <c r="Q884" s="114" t="e">
        <f t="shared" si="214"/>
        <v>#DIV/0!</v>
      </c>
      <c r="R884" s="5" t="e">
        <f t="shared" si="216"/>
        <v>#DIV/0!</v>
      </c>
    </row>
    <row r="885" spans="1:18" s="4" customFormat="1" ht="15" hidden="1" customHeight="1">
      <c r="A885" s="64"/>
      <c r="B885" s="7">
        <f t="shared" si="215"/>
        <v>140</v>
      </c>
      <c r="C885" s="7"/>
      <c r="D885" s="7"/>
      <c r="E885" s="7"/>
      <c r="F885" s="7"/>
      <c r="G885" s="7"/>
      <c r="H885" s="7"/>
      <c r="I885" s="91"/>
      <c r="J885" s="115"/>
      <c r="K885" s="116"/>
      <c r="L885" s="116"/>
      <c r="M885" s="116"/>
      <c r="N885" s="129" t="e">
        <f t="shared" si="209"/>
        <v>#DIV/0!</v>
      </c>
      <c r="O885" s="129" t="e">
        <f t="shared" si="210"/>
        <v>#DIV/0!</v>
      </c>
      <c r="P885" s="129" t="e">
        <f t="shared" si="213"/>
        <v>#DIV/0!</v>
      </c>
      <c r="Q885" s="114" t="e">
        <f t="shared" si="214"/>
        <v>#DIV/0!</v>
      </c>
      <c r="R885" s="5" t="e">
        <f t="shared" si="216"/>
        <v>#DIV/0!</v>
      </c>
    </row>
    <row r="886" spans="1:18" s="4" customFormat="1" ht="15" hidden="1" customHeight="1">
      <c r="A886" s="64"/>
      <c r="B886" s="7">
        <f t="shared" si="215"/>
        <v>141</v>
      </c>
      <c r="C886" s="7"/>
      <c r="D886" s="7"/>
      <c r="E886" s="7"/>
      <c r="F886" s="7"/>
      <c r="G886" s="7"/>
      <c r="H886" s="7"/>
      <c r="I886" s="91"/>
      <c r="J886" s="115"/>
      <c r="K886" s="116"/>
      <c r="L886" s="116"/>
      <c r="M886" s="116"/>
      <c r="N886" s="129" t="e">
        <f t="shared" si="209"/>
        <v>#DIV/0!</v>
      </c>
      <c r="O886" s="129" t="e">
        <f t="shared" si="210"/>
        <v>#DIV/0!</v>
      </c>
      <c r="P886" s="129" t="e">
        <f t="shared" si="213"/>
        <v>#DIV/0!</v>
      </c>
      <c r="Q886" s="114" t="e">
        <f t="shared" si="214"/>
        <v>#DIV/0!</v>
      </c>
      <c r="R886" s="5" t="e">
        <f t="shared" si="216"/>
        <v>#DIV/0!</v>
      </c>
    </row>
    <row r="887" spans="1:18" s="4" customFormat="1" ht="15" hidden="1" customHeight="1">
      <c r="A887" s="64"/>
      <c r="B887" s="7">
        <f t="shared" si="215"/>
        <v>142</v>
      </c>
      <c r="C887" s="7"/>
      <c r="D887" s="7"/>
      <c r="E887" s="7"/>
      <c r="F887" s="7"/>
      <c r="G887" s="7"/>
      <c r="H887" s="7"/>
      <c r="I887" s="91"/>
      <c r="J887" s="115"/>
      <c r="K887" s="116"/>
      <c r="L887" s="116"/>
      <c r="M887" s="116"/>
      <c r="N887" s="129" t="e">
        <f t="shared" si="209"/>
        <v>#DIV/0!</v>
      </c>
      <c r="O887" s="129" t="e">
        <f t="shared" si="210"/>
        <v>#DIV/0!</v>
      </c>
      <c r="P887" s="129" t="e">
        <f t="shared" si="213"/>
        <v>#DIV/0!</v>
      </c>
      <c r="Q887" s="114" t="e">
        <f t="shared" si="214"/>
        <v>#DIV/0!</v>
      </c>
      <c r="R887" s="5" t="e">
        <f t="shared" si="216"/>
        <v>#DIV/0!</v>
      </c>
    </row>
    <row r="888" spans="1:18" s="4" customFormat="1" ht="15" hidden="1" customHeight="1">
      <c r="A888" s="64"/>
      <c r="B888" s="7">
        <f t="shared" si="215"/>
        <v>143</v>
      </c>
      <c r="C888" s="7"/>
      <c r="D888" s="7"/>
      <c r="E888" s="7"/>
      <c r="F888" s="7"/>
      <c r="G888" s="7"/>
      <c r="H888" s="7"/>
      <c r="I888" s="91"/>
      <c r="J888" s="115"/>
      <c r="K888" s="116"/>
      <c r="L888" s="116"/>
      <c r="M888" s="116"/>
      <c r="N888" s="129" t="e">
        <f t="shared" si="209"/>
        <v>#DIV/0!</v>
      </c>
      <c r="O888" s="129" t="e">
        <f t="shared" si="210"/>
        <v>#DIV/0!</v>
      </c>
      <c r="P888" s="129" t="e">
        <f t="shared" si="213"/>
        <v>#DIV/0!</v>
      </c>
      <c r="Q888" s="114" t="e">
        <f t="shared" si="214"/>
        <v>#DIV/0!</v>
      </c>
      <c r="R888" s="5" t="e">
        <f t="shared" si="216"/>
        <v>#DIV/0!</v>
      </c>
    </row>
    <row r="889" spans="1:18" s="4" customFormat="1" ht="15" hidden="1" customHeight="1">
      <c r="A889" s="64"/>
      <c r="B889" s="7">
        <f t="shared" si="215"/>
        <v>144</v>
      </c>
      <c r="C889" s="7"/>
      <c r="D889" s="7"/>
      <c r="E889" s="7"/>
      <c r="F889" s="7"/>
      <c r="G889" s="7"/>
      <c r="H889" s="7"/>
      <c r="I889" s="91"/>
      <c r="J889" s="115"/>
      <c r="K889" s="116"/>
      <c r="L889" s="116"/>
      <c r="M889" s="116"/>
      <c r="N889" s="129" t="e">
        <f t="shared" si="209"/>
        <v>#DIV/0!</v>
      </c>
      <c r="O889" s="129" t="e">
        <f t="shared" si="210"/>
        <v>#DIV/0!</v>
      </c>
      <c r="P889" s="129" t="e">
        <f t="shared" si="213"/>
        <v>#DIV/0!</v>
      </c>
      <c r="Q889" s="114" t="e">
        <f t="shared" si="214"/>
        <v>#DIV/0!</v>
      </c>
      <c r="R889" s="5" t="e">
        <f t="shared" si="216"/>
        <v>#DIV/0!</v>
      </c>
    </row>
    <row r="890" spans="1:18" s="4" customFormat="1" ht="15" hidden="1" customHeight="1">
      <c r="A890" s="64"/>
      <c r="B890" s="7">
        <f t="shared" si="215"/>
        <v>145</v>
      </c>
      <c r="C890" s="7"/>
      <c r="D890" s="7"/>
      <c r="E890" s="7"/>
      <c r="F890" s="7"/>
      <c r="G890" s="7"/>
      <c r="H890" s="7"/>
      <c r="I890" s="91"/>
      <c r="J890" s="115"/>
      <c r="K890" s="116"/>
      <c r="L890" s="116"/>
      <c r="M890" s="116"/>
      <c r="N890" s="129" t="e">
        <f t="shared" si="209"/>
        <v>#DIV/0!</v>
      </c>
      <c r="O890" s="129" t="e">
        <f t="shared" si="210"/>
        <v>#DIV/0!</v>
      </c>
      <c r="P890" s="129" t="e">
        <f t="shared" si="213"/>
        <v>#DIV/0!</v>
      </c>
      <c r="Q890" s="114" t="e">
        <f t="shared" si="214"/>
        <v>#DIV/0!</v>
      </c>
      <c r="R890" s="5" t="e">
        <f t="shared" si="216"/>
        <v>#DIV/0!</v>
      </c>
    </row>
    <row r="891" spans="1:18" s="4" customFormat="1" ht="15" hidden="1" customHeight="1">
      <c r="A891" s="64"/>
      <c r="B891" s="7">
        <f t="shared" si="215"/>
        <v>146</v>
      </c>
      <c r="C891" s="7"/>
      <c r="D891" s="7"/>
      <c r="E891" s="7"/>
      <c r="F891" s="7"/>
      <c r="G891" s="7"/>
      <c r="H891" s="7"/>
      <c r="I891" s="91"/>
      <c r="J891" s="115"/>
      <c r="K891" s="116"/>
      <c r="L891" s="116"/>
      <c r="M891" s="116"/>
      <c r="N891" s="129" t="e">
        <f t="shared" si="209"/>
        <v>#DIV/0!</v>
      </c>
      <c r="O891" s="129" t="e">
        <f t="shared" si="210"/>
        <v>#DIV/0!</v>
      </c>
      <c r="P891" s="129" t="e">
        <f t="shared" si="213"/>
        <v>#DIV/0!</v>
      </c>
      <c r="Q891" s="114" t="e">
        <f t="shared" si="214"/>
        <v>#DIV/0!</v>
      </c>
      <c r="R891" s="5" t="e">
        <f t="shared" si="216"/>
        <v>#DIV/0!</v>
      </c>
    </row>
    <row r="892" spans="1:18" s="4" customFormat="1" ht="15" hidden="1" customHeight="1">
      <c r="A892" s="64"/>
      <c r="B892" s="7">
        <f t="shared" si="215"/>
        <v>147</v>
      </c>
      <c r="C892" s="7"/>
      <c r="D892" s="7"/>
      <c r="E892" s="7"/>
      <c r="F892" s="7"/>
      <c r="G892" s="7"/>
      <c r="H892" s="7"/>
      <c r="I892" s="91"/>
      <c r="J892" s="115"/>
      <c r="K892" s="116"/>
      <c r="L892" s="116"/>
      <c r="M892" s="116"/>
      <c r="N892" s="129" t="e">
        <f t="shared" si="209"/>
        <v>#DIV/0!</v>
      </c>
      <c r="O892" s="129" t="e">
        <f t="shared" si="210"/>
        <v>#DIV/0!</v>
      </c>
      <c r="P892" s="129" t="e">
        <f t="shared" si="213"/>
        <v>#DIV/0!</v>
      </c>
      <c r="Q892" s="114" t="e">
        <f t="shared" si="214"/>
        <v>#DIV/0!</v>
      </c>
      <c r="R892" s="5" t="e">
        <f t="shared" si="216"/>
        <v>#DIV/0!</v>
      </c>
    </row>
    <row r="893" spans="1:18" s="4" customFormat="1" ht="15" hidden="1" customHeight="1">
      <c r="A893" s="64"/>
      <c r="B893" s="7">
        <f t="shared" si="215"/>
        <v>148</v>
      </c>
      <c r="C893" s="7"/>
      <c r="D893" s="7"/>
      <c r="E893" s="7"/>
      <c r="F893" s="7"/>
      <c r="G893" s="7"/>
      <c r="H893" s="7"/>
      <c r="I893" s="91"/>
      <c r="J893" s="115"/>
      <c r="K893" s="116"/>
      <c r="L893" s="116"/>
      <c r="M893" s="116"/>
      <c r="N893" s="129" t="e">
        <f t="shared" si="209"/>
        <v>#DIV/0!</v>
      </c>
      <c r="O893" s="129" t="e">
        <f t="shared" si="210"/>
        <v>#DIV/0!</v>
      </c>
      <c r="P893" s="129" t="e">
        <f t="shared" si="213"/>
        <v>#DIV/0!</v>
      </c>
      <c r="Q893" s="114" t="e">
        <f t="shared" si="214"/>
        <v>#DIV/0!</v>
      </c>
      <c r="R893" s="5" t="e">
        <f t="shared" si="216"/>
        <v>#DIV/0!</v>
      </c>
    </row>
    <row r="894" spans="1:18" s="4" customFormat="1" ht="15" hidden="1" customHeight="1">
      <c r="A894" s="64"/>
      <c r="B894" s="7">
        <f t="shared" si="215"/>
        <v>149</v>
      </c>
      <c r="C894" s="7"/>
      <c r="D894" s="7"/>
      <c r="E894" s="7"/>
      <c r="F894" s="7"/>
      <c r="G894" s="7"/>
      <c r="H894" s="7"/>
      <c r="I894" s="91"/>
      <c r="J894" s="115"/>
      <c r="K894" s="116"/>
      <c r="L894" s="116"/>
      <c r="M894" s="116"/>
      <c r="N894" s="129" t="e">
        <f t="shared" si="209"/>
        <v>#DIV/0!</v>
      </c>
      <c r="O894" s="129" t="e">
        <f t="shared" si="210"/>
        <v>#DIV/0!</v>
      </c>
      <c r="P894" s="129" t="e">
        <f t="shared" si="213"/>
        <v>#DIV/0!</v>
      </c>
      <c r="Q894" s="114" t="e">
        <f t="shared" si="214"/>
        <v>#DIV/0!</v>
      </c>
      <c r="R894" s="5" t="e">
        <f t="shared" si="216"/>
        <v>#DIV/0!</v>
      </c>
    </row>
    <row r="895" spans="1:18" s="4" customFormat="1" ht="15" hidden="1" customHeight="1">
      <c r="A895" s="64"/>
      <c r="B895" s="7">
        <f t="shared" si="215"/>
        <v>150</v>
      </c>
      <c r="C895" s="7"/>
      <c r="D895" s="7"/>
      <c r="E895" s="7"/>
      <c r="F895" s="7"/>
      <c r="G895" s="7"/>
      <c r="H895" s="7"/>
      <c r="I895" s="91"/>
      <c r="J895" s="115"/>
      <c r="K895" s="116"/>
      <c r="L895" s="116"/>
      <c r="M895" s="116"/>
      <c r="N895" s="129" t="e">
        <f t="shared" si="209"/>
        <v>#DIV/0!</v>
      </c>
      <c r="O895" s="129" t="e">
        <f t="shared" si="210"/>
        <v>#DIV/0!</v>
      </c>
      <c r="P895" s="129" t="e">
        <f t="shared" si="213"/>
        <v>#DIV/0!</v>
      </c>
      <c r="Q895" s="114" t="e">
        <f t="shared" si="214"/>
        <v>#DIV/0!</v>
      </c>
      <c r="R895" s="5" t="e">
        <f t="shared" si="216"/>
        <v>#DIV/0!</v>
      </c>
    </row>
    <row r="896" spans="1:18" s="4" customFormat="1" ht="15" hidden="1" customHeight="1">
      <c r="A896" s="64"/>
      <c r="B896" s="7">
        <f t="shared" si="215"/>
        <v>151</v>
      </c>
      <c r="C896" s="7"/>
      <c r="D896" s="7"/>
      <c r="E896" s="7"/>
      <c r="F896" s="7"/>
      <c r="G896" s="7"/>
      <c r="H896" s="7"/>
      <c r="I896" s="91"/>
      <c r="J896" s="115"/>
      <c r="K896" s="116"/>
      <c r="L896" s="116"/>
      <c r="M896" s="116"/>
      <c r="N896" s="129" t="e">
        <f t="shared" si="209"/>
        <v>#DIV/0!</v>
      </c>
      <c r="O896" s="129" t="e">
        <f t="shared" si="210"/>
        <v>#DIV/0!</v>
      </c>
      <c r="P896" s="129" t="e">
        <f t="shared" si="213"/>
        <v>#DIV/0!</v>
      </c>
      <c r="Q896" s="114" t="e">
        <f t="shared" si="214"/>
        <v>#DIV/0!</v>
      </c>
      <c r="R896" s="5" t="e">
        <f t="shared" si="216"/>
        <v>#DIV/0!</v>
      </c>
    </row>
    <row r="897" spans="1:18" s="4" customFormat="1" ht="15" hidden="1" customHeight="1">
      <c r="A897" s="64"/>
      <c r="B897" s="7">
        <f t="shared" si="215"/>
        <v>152</v>
      </c>
      <c r="C897" s="7"/>
      <c r="D897" s="7"/>
      <c r="E897" s="7"/>
      <c r="F897" s="7"/>
      <c r="G897" s="7"/>
      <c r="H897" s="7"/>
      <c r="I897" s="91"/>
      <c r="J897" s="115"/>
      <c r="K897" s="116"/>
      <c r="L897" s="116"/>
      <c r="M897" s="116"/>
      <c r="N897" s="129" t="e">
        <f t="shared" si="209"/>
        <v>#DIV/0!</v>
      </c>
      <c r="O897" s="129" t="e">
        <f t="shared" si="210"/>
        <v>#DIV/0!</v>
      </c>
      <c r="P897" s="129" t="e">
        <f t="shared" si="213"/>
        <v>#DIV/0!</v>
      </c>
      <c r="Q897" s="114" t="e">
        <f t="shared" si="214"/>
        <v>#DIV/0!</v>
      </c>
      <c r="R897" s="5" t="e">
        <f t="shared" si="216"/>
        <v>#DIV/0!</v>
      </c>
    </row>
    <row r="898" spans="1:18" s="4" customFormat="1" ht="15" hidden="1" customHeight="1">
      <c r="A898" s="64"/>
      <c r="B898" s="7">
        <f t="shared" si="215"/>
        <v>153</v>
      </c>
      <c r="C898" s="7"/>
      <c r="D898" s="7"/>
      <c r="E898" s="7"/>
      <c r="F898" s="7"/>
      <c r="G898" s="7"/>
      <c r="H898" s="7"/>
      <c r="I898" s="91"/>
      <c r="J898" s="115"/>
      <c r="K898" s="116"/>
      <c r="L898" s="116"/>
      <c r="M898" s="116"/>
      <c r="N898" s="129" t="e">
        <f t="shared" si="209"/>
        <v>#DIV/0!</v>
      </c>
      <c r="O898" s="129" t="e">
        <f t="shared" si="210"/>
        <v>#DIV/0!</v>
      </c>
      <c r="P898" s="129" t="e">
        <f t="shared" si="213"/>
        <v>#DIV/0!</v>
      </c>
      <c r="Q898" s="114" t="e">
        <f t="shared" si="214"/>
        <v>#DIV/0!</v>
      </c>
      <c r="R898" s="5" t="e">
        <f t="shared" si="216"/>
        <v>#DIV/0!</v>
      </c>
    </row>
    <row r="899" spans="1:18" s="4" customFormat="1" ht="15" customHeight="1">
      <c r="A899" s="64"/>
      <c r="B899" s="336" t="s">
        <v>22</v>
      </c>
      <c r="C899" s="337"/>
      <c r="D899" s="337"/>
      <c r="E899" s="338"/>
      <c r="F899" s="8">
        <f>+COUNTA(C746:C898)</f>
        <v>17</v>
      </c>
      <c r="G899" s="9"/>
      <c r="H899" s="7"/>
      <c r="I899" s="91"/>
      <c r="J899" s="91"/>
      <c r="K899" s="92"/>
      <c r="L899" s="92"/>
      <c r="M899" s="92"/>
      <c r="N899" s="129"/>
      <c r="O899" s="129"/>
      <c r="P899" s="129"/>
      <c r="Q899" s="114"/>
      <c r="R899" s="5" t="b">
        <f t="shared" si="216"/>
        <v>0</v>
      </c>
    </row>
    <row r="900" spans="1:18" s="4" customFormat="1" ht="15" customHeight="1">
      <c r="A900" s="64"/>
      <c r="B900" s="10"/>
      <c r="C900" s="10"/>
      <c r="D900" s="10"/>
      <c r="E900" s="10"/>
      <c r="F900" s="10"/>
      <c r="G900" s="10"/>
      <c r="H900" s="10"/>
      <c r="I900" s="10"/>
      <c r="J900" s="10"/>
      <c r="K900" s="94"/>
      <c r="L900" s="1"/>
      <c r="M900" s="1"/>
      <c r="N900" s="1"/>
      <c r="O900" s="1"/>
      <c r="P900" s="1"/>
      <c r="Q900" s="95"/>
      <c r="R900" s="5" t="b">
        <f t="shared" si="216"/>
        <v>0</v>
      </c>
    </row>
    <row r="901" spans="1:18" s="4" customFormat="1" ht="15" customHeight="1">
      <c r="A901" s="65" t="s">
        <v>95</v>
      </c>
      <c r="B901" s="66" t="s">
        <v>96</v>
      </c>
      <c r="F901" s="16"/>
      <c r="K901" s="1"/>
      <c r="L901" s="1"/>
      <c r="M901" s="1"/>
      <c r="N901" s="1"/>
      <c r="O901" s="1"/>
      <c r="P901" s="1"/>
      <c r="Q901" s="95"/>
      <c r="R901" s="5" t="b">
        <f t="shared" si="216"/>
        <v>0</v>
      </c>
    </row>
    <row r="902" spans="1:18" s="4" customFormat="1" ht="15" customHeight="1">
      <c r="A902" s="64"/>
      <c r="B902" s="6" t="s">
        <v>2</v>
      </c>
      <c r="C902" s="6" t="s">
        <v>3</v>
      </c>
      <c r="D902" s="6" t="s">
        <v>4</v>
      </c>
      <c r="E902" s="6" t="s">
        <v>5</v>
      </c>
      <c r="F902" s="6" t="s">
        <v>6</v>
      </c>
      <c r="G902" s="6" t="s">
        <v>7</v>
      </c>
      <c r="H902" s="6" t="s">
        <v>8</v>
      </c>
      <c r="I902" s="6" t="s">
        <v>9</v>
      </c>
      <c r="J902" s="182" t="s">
        <v>267</v>
      </c>
      <c r="K902" s="183" t="s">
        <v>262</v>
      </c>
      <c r="L902" s="183" t="s">
        <v>268</v>
      </c>
      <c r="M902" s="183" t="s">
        <v>269</v>
      </c>
      <c r="N902" s="183" t="s">
        <v>263</v>
      </c>
      <c r="O902" s="183" t="s">
        <v>264</v>
      </c>
      <c r="P902" s="183" t="s">
        <v>265</v>
      </c>
      <c r="Q902" s="184" t="s">
        <v>266</v>
      </c>
      <c r="R902" s="5" t="str">
        <f t="shared" si="216"/>
        <v>PAMA</v>
      </c>
    </row>
    <row r="903" spans="1:18" s="4" customFormat="1" ht="15" customHeight="1">
      <c r="A903" s="64"/>
      <c r="B903" s="327" t="s">
        <v>655</v>
      </c>
      <c r="C903" s="328"/>
      <c r="D903" s="328"/>
      <c r="E903" s="328"/>
      <c r="F903" s="328"/>
      <c r="G903" s="328"/>
      <c r="H903" s="328"/>
      <c r="I903" s="328"/>
      <c r="J903" s="328"/>
      <c r="K903" s="328"/>
      <c r="L903" s="328"/>
      <c r="M903" s="328"/>
      <c r="N903" s="328"/>
      <c r="O903" s="328"/>
      <c r="P903" s="328"/>
      <c r="Q903" s="329"/>
      <c r="R903" s="5" t="b">
        <f t="shared" si="216"/>
        <v>0</v>
      </c>
    </row>
    <row r="904" spans="1:18" s="4" customFormat="1" ht="15" customHeight="1">
      <c r="A904" s="64"/>
      <c r="B904" s="7">
        <v>1</v>
      </c>
      <c r="C904" s="177"/>
      <c r="D904" s="177" t="s">
        <v>100</v>
      </c>
      <c r="E904" s="177" t="s">
        <v>15</v>
      </c>
      <c r="F904" s="177" t="s">
        <v>97</v>
      </c>
      <c r="G904" s="177">
        <v>2009</v>
      </c>
      <c r="H904" s="177" t="s">
        <v>98</v>
      </c>
      <c r="I904" s="177" t="s">
        <v>99</v>
      </c>
      <c r="J904" s="259"/>
      <c r="K904" s="116">
        <v>0</v>
      </c>
      <c r="L904" s="116">
        <v>0</v>
      </c>
      <c r="M904" s="116">
        <v>720</v>
      </c>
      <c r="N904" s="129" t="e">
        <f t="shared" ref="N904:N942" si="217">+K904/(K904+L904)</f>
        <v>#DIV/0!</v>
      </c>
      <c r="O904" s="129">
        <f t="shared" ref="O904" si="218">+(K904+M904)/(K904+L904+M904)</f>
        <v>1</v>
      </c>
      <c r="P904" s="129">
        <f t="shared" ref="P904:P935" si="219">+K904/(K904+M904)</f>
        <v>0</v>
      </c>
      <c r="Q904" s="114"/>
      <c r="R904" s="5" t="str">
        <f t="shared" si="216"/>
        <v>PAMA</v>
      </c>
    </row>
    <row r="905" spans="1:18" s="4" customFormat="1" ht="15" customHeight="1">
      <c r="A905" s="64"/>
      <c r="B905" s="7">
        <f>B904+1</f>
        <v>2</v>
      </c>
      <c r="C905" s="177" t="s">
        <v>10</v>
      </c>
      <c r="D905" s="177" t="s">
        <v>101</v>
      </c>
      <c r="E905" s="177" t="s">
        <v>15</v>
      </c>
      <c r="F905" s="177" t="s">
        <v>102</v>
      </c>
      <c r="G905" s="177">
        <v>2010</v>
      </c>
      <c r="H905" s="177" t="s">
        <v>98</v>
      </c>
      <c r="I905" s="177" t="s">
        <v>103</v>
      </c>
      <c r="J905" s="259"/>
      <c r="K905" s="116">
        <v>132.5</v>
      </c>
      <c r="L905" s="116">
        <v>13.95</v>
      </c>
      <c r="M905" s="116">
        <v>573.54999999999995</v>
      </c>
      <c r="N905" s="129">
        <f t="shared" si="217"/>
        <v>0.90474564697849102</v>
      </c>
      <c r="O905" s="129">
        <f t="shared" ref="O905:O942" si="220">+(K905+M905)/(K905+L905+M905)</f>
        <v>0.98062499999999997</v>
      </c>
      <c r="P905" s="129">
        <f t="shared" si="219"/>
        <v>0.18766376318957581</v>
      </c>
      <c r="Q905" s="114"/>
      <c r="R905" s="5" t="str">
        <f t="shared" si="216"/>
        <v>PAMA</v>
      </c>
    </row>
    <row r="906" spans="1:18" s="4" customFormat="1" ht="15" customHeight="1">
      <c r="A906" s="64"/>
      <c r="B906" s="7">
        <f t="shared" ref="B906:B962" si="221">B905+1</f>
        <v>3</v>
      </c>
      <c r="C906" s="177" t="s">
        <v>10</v>
      </c>
      <c r="D906" s="177" t="s">
        <v>107</v>
      </c>
      <c r="E906" s="177" t="s">
        <v>104</v>
      </c>
      <c r="F906" s="177" t="s">
        <v>105</v>
      </c>
      <c r="G906" s="177">
        <v>2008</v>
      </c>
      <c r="H906" s="177" t="s">
        <v>106</v>
      </c>
      <c r="I906" s="177"/>
      <c r="J906" s="259"/>
      <c r="K906" s="116">
        <v>156.24</v>
      </c>
      <c r="L906" s="116">
        <v>12.41</v>
      </c>
      <c r="M906" s="116">
        <v>551.35</v>
      </c>
      <c r="N906" s="129">
        <f t="shared" si="217"/>
        <v>0.92641565372072343</v>
      </c>
      <c r="O906" s="129">
        <f t="shared" si="220"/>
        <v>0.98276388888888888</v>
      </c>
      <c r="P906" s="129">
        <f t="shared" si="219"/>
        <v>0.22080583388685537</v>
      </c>
      <c r="Q906" s="114"/>
      <c r="R906" s="5" t="str">
        <f t="shared" si="216"/>
        <v>PAMA</v>
      </c>
    </row>
    <row r="907" spans="1:18" s="4" customFormat="1" ht="15" customHeight="1">
      <c r="A907" s="64"/>
      <c r="B907" s="7">
        <f t="shared" si="221"/>
        <v>4</v>
      </c>
      <c r="C907" s="177" t="s">
        <v>10</v>
      </c>
      <c r="D907" s="177" t="s">
        <v>111</v>
      </c>
      <c r="E907" s="177" t="s">
        <v>104</v>
      </c>
      <c r="F907" s="177" t="s">
        <v>109</v>
      </c>
      <c r="G907" s="177">
        <v>2011</v>
      </c>
      <c r="H907" s="177" t="s">
        <v>106</v>
      </c>
      <c r="I907" s="177"/>
      <c r="J907" s="259"/>
      <c r="K907" s="116">
        <v>105.83</v>
      </c>
      <c r="L907" s="116">
        <v>17.5</v>
      </c>
      <c r="M907" s="116">
        <v>596.66999999999996</v>
      </c>
      <c r="N907" s="129">
        <f t="shared" si="217"/>
        <v>0.85810427308846182</v>
      </c>
      <c r="O907" s="129">
        <f t="shared" si="220"/>
        <v>0.97569444444444442</v>
      </c>
      <c r="P907" s="129">
        <f t="shared" si="219"/>
        <v>0.15064768683274021</v>
      </c>
      <c r="Q907" s="114"/>
      <c r="R907" s="5" t="str">
        <f t="shared" si="216"/>
        <v>PAMA</v>
      </c>
    </row>
    <row r="908" spans="1:18" s="4" customFormat="1" ht="15" customHeight="1">
      <c r="A908" s="64"/>
      <c r="B908" s="7">
        <f t="shared" si="221"/>
        <v>5</v>
      </c>
      <c r="C908" s="177" t="s">
        <v>10</v>
      </c>
      <c r="D908" s="177" t="s">
        <v>125</v>
      </c>
      <c r="E908" s="177" t="s">
        <v>15</v>
      </c>
      <c r="F908" s="177" t="s">
        <v>116</v>
      </c>
      <c r="G908" s="177">
        <v>2011</v>
      </c>
      <c r="H908" s="177" t="s">
        <v>114</v>
      </c>
      <c r="I908" s="177" t="s">
        <v>115</v>
      </c>
      <c r="J908" s="259"/>
      <c r="K908" s="116">
        <v>55</v>
      </c>
      <c r="L908" s="116">
        <v>5.87</v>
      </c>
      <c r="M908" s="116">
        <v>659.13</v>
      </c>
      <c r="N908" s="129">
        <f t="shared" si="217"/>
        <v>0.90356497453589624</v>
      </c>
      <c r="O908" s="129">
        <f t="shared" si="220"/>
        <v>0.99184722222222221</v>
      </c>
      <c r="P908" s="129">
        <f t="shared" si="219"/>
        <v>7.7016789660145912E-2</v>
      </c>
      <c r="Q908" s="114"/>
      <c r="R908" s="5" t="str">
        <f t="shared" si="216"/>
        <v>PAMA</v>
      </c>
    </row>
    <row r="909" spans="1:18" s="4" customFormat="1" ht="15" customHeight="1">
      <c r="A909" s="64"/>
      <c r="B909" s="7">
        <f t="shared" si="221"/>
        <v>6</v>
      </c>
      <c r="C909" s="177" t="s">
        <v>10</v>
      </c>
      <c r="D909" s="177" t="s">
        <v>311</v>
      </c>
      <c r="E909" s="177" t="s">
        <v>15</v>
      </c>
      <c r="F909" s="177" t="s">
        <v>123</v>
      </c>
      <c r="G909" s="177">
        <v>2016</v>
      </c>
      <c r="H909" s="177" t="s">
        <v>114</v>
      </c>
      <c r="I909" s="177" t="s">
        <v>115</v>
      </c>
      <c r="J909" s="259"/>
      <c r="K909" s="116">
        <v>410</v>
      </c>
      <c r="L909" s="116">
        <v>16.37</v>
      </c>
      <c r="M909" s="116">
        <v>293.63</v>
      </c>
      <c r="N909" s="129">
        <f t="shared" si="217"/>
        <v>0.96160611675305485</v>
      </c>
      <c r="O909" s="129">
        <f t="shared" si="220"/>
        <v>0.97726388888888893</v>
      </c>
      <c r="P909" s="129">
        <f t="shared" si="219"/>
        <v>0.58269260833108305</v>
      </c>
      <c r="Q909" s="114"/>
      <c r="R909" s="5" t="str">
        <f t="shared" si="216"/>
        <v>PAMA</v>
      </c>
    </row>
    <row r="910" spans="1:18" s="4" customFormat="1" ht="15" customHeight="1">
      <c r="A910" s="64"/>
      <c r="B910" s="7">
        <f t="shared" si="221"/>
        <v>7</v>
      </c>
      <c r="C910" s="177" t="s">
        <v>10</v>
      </c>
      <c r="D910" s="177" t="s">
        <v>461</v>
      </c>
      <c r="E910" s="177" t="s">
        <v>15</v>
      </c>
      <c r="F910" s="177" t="s">
        <v>123</v>
      </c>
      <c r="G910" s="177">
        <v>2017</v>
      </c>
      <c r="H910" s="177" t="s">
        <v>114</v>
      </c>
      <c r="I910" s="177" t="s">
        <v>115</v>
      </c>
      <c r="J910" s="259"/>
      <c r="K910" s="116">
        <v>357</v>
      </c>
      <c r="L910" s="116">
        <v>34.25</v>
      </c>
      <c r="M910" s="116">
        <v>328.75</v>
      </c>
      <c r="N910" s="129">
        <f t="shared" si="217"/>
        <v>0.91246006389776357</v>
      </c>
      <c r="O910" s="129">
        <f t="shared" si="220"/>
        <v>0.95243055555555556</v>
      </c>
      <c r="P910" s="129">
        <f t="shared" si="219"/>
        <v>0.52059788552679553</v>
      </c>
      <c r="Q910" s="114"/>
      <c r="R910" s="5" t="str">
        <f t="shared" si="216"/>
        <v>PAMA</v>
      </c>
    </row>
    <row r="911" spans="1:18" s="4" customFormat="1" ht="15" customHeight="1">
      <c r="A911" s="64"/>
      <c r="B911" s="7">
        <f t="shared" si="221"/>
        <v>8</v>
      </c>
      <c r="C911" s="177" t="s">
        <v>10</v>
      </c>
      <c r="D911" s="177" t="s">
        <v>2242</v>
      </c>
      <c r="E911" s="177" t="s">
        <v>15</v>
      </c>
      <c r="F911" s="177" t="s">
        <v>123</v>
      </c>
      <c r="G911" s="177">
        <v>2023</v>
      </c>
      <c r="H911" s="177" t="s">
        <v>114</v>
      </c>
      <c r="I911" s="177" t="s">
        <v>115</v>
      </c>
      <c r="J911" s="259"/>
      <c r="K911" s="116">
        <v>323</v>
      </c>
      <c r="L911" s="116">
        <v>6</v>
      </c>
      <c r="M911" s="116">
        <v>391</v>
      </c>
      <c r="N911" s="129">
        <f t="shared" si="217"/>
        <v>0.98176291793313075</v>
      </c>
      <c r="O911" s="129">
        <f t="shared" si="220"/>
        <v>0.9916666666666667</v>
      </c>
      <c r="P911" s="129">
        <f t="shared" si="219"/>
        <v>0.45238095238095238</v>
      </c>
      <c r="Q911" s="114"/>
      <c r="R911" s="5" t="str">
        <f t="shared" si="216"/>
        <v>PAMA</v>
      </c>
    </row>
    <row r="912" spans="1:18" s="4" customFormat="1" ht="15" customHeight="1">
      <c r="A912" s="64"/>
      <c r="B912" s="7">
        <f t="shared" si="221"/>
        <v>9</v>
      </c>
      <c r="C912" s="177"/>
      <c r="D912" s="177" t="s">
        <v>128</v>
      </c>
      <c r="E912" s="177" t="s">
        <v>15</v>
      </c>
      <c r="F912" s="177" t="s">
        <v>126</v>
      </c>
      <c r="G912" s="177">
        <v>2010</v>
      </c>
      <c r="H912" s="177" t="s">
        <v>114</v>
      </c>
      <c r="I912" s="177" t="s">
        <v>127</v>
      </c>
      <c r="J912" s="259"/>
      <c r="K912" s="116">
        <v>0</v>
      </c>
      <c r="L912" s="116">
        <v>0</v>
      </c>
      <c r="M912" s="116">
        <v>720</v>
      </c>
      <c r="N912" s="129" t="e">
        <f t="shared" si="217"/>
        <v>#DIV/0!</v>
      </c>
      <c r="O912" s="129">
        <f t="shared" si="220"/>
        <v>1</v>
      </c>
      <c r="P912" s="129">
        <f t="shared" si="219"/>
        <v>0</v>
      </c>
      <c r="Q912" s="114"/>
      <c r="R912" s="5" t="str">
        <f t="shared" si="216"/>
        <v>PAMA</v>
      </c>
    </row>
    <row r="913" spans="1:18" s="4" customFormat="1" ht="15" customHeight="1">
      <c r="A913" s="64"/>
      <c r="B913" s="7">
        <f t="shared" si="221"/>
        <v>10</v>
      </c>
      <c r="C913" s="177" t="s">
        <v>10</v>
      </c>
      <c r="D913" s="177" t="s">
        <v>508</v>
      </c>
      <c r="E913" s="177" t="s">
        <v>15</v>
      </c>
      <c r="F913" s="177" t="s">
        <v>126</v>
      </c>
      <c r="G913" s="177">
        <v>2010</v>
      </c>
      <c r="H913" s="177" t="s">
        <v>114</v>
      </c>
      <c r="I913" s="177" t="s">
        <v>127</v>
      </c>
      <c r="J913" s="259"/>
      <c r="K913" s="116">
        <v>0</v>
      </c>
      <c r="L913" s="116">
        <v>0</v>
      </c>
      <c r="M913" s="116">
        <v>720</v>
      </c>
      <c r="N913" s="129" t="e">
        <f t="shared" si="217"/>
        <v>#DIV/0!</v>
      </c>
      <c r="O913" s="129">
        <f t="shared" si="220"/>
        <v>1</v>
      </c>
      <c r="P913" s="129">
        <f t="shared" si="219"/>
        <v>0</v>
      </c>
      <c r="Q913" s="114"/>
      <c r="R913" s="5" t="str">
        <f t="shared" si="216"/>
        <v>PAMA</v>
      </c>
    </row>
    <row r="914" spans="1:18" s="4" customFormat="1" ht="15" customHeight="1">
      <c r="A914" s="64"/>
      <c r="B914" s="7">
        <f t="shared" si="221"/>
        <v>11</v>
      </c>
      <c r="C914" s="177"/>
      <c r="D914" s="177" t="s">
        <v>129</v>
      </c>
      <c r="E914" s="177" t="s">
        <v>15</v>
      </c>
      <c r="F914" s="177" t="s">
        <v>126</v>
      </c>
      <c r="G914" s="177">
        <v>2010</v>
      </c>
      <c r="H914" s="177" t="s">
        <v>114</v>
      </c>
      <c r="I914" s="177" t="s">
        <v>127</v>
      </c>
      <c r="J914" s="259"/>
      <c r="K914" s="116">
        <v>0</v>
      </c>
      <c r="L914" s="116">
        <v>0</v>
      </c>
      <c r="M914" s="116">
        <v>720</v>
      </c>
      <c r="N914" s="129" t="e">
        <f t="shared" si="217"/>
        <v>#DIV/0!</v>
      </c>
      <c r="O914" s="129">
        <f t="shared" si="220"/>
        <v>1</v>
      </c>
      <c r="P914" s="129">
        <f t="shared" si="219"/>
        <v>0</v>
      </c>
      <c r="Q914" s="114"/>
      <c r="R914" s="5" t="str">
        <f t="shared" si="216"/>
        <v>PAMA</v>
      </c>
    </row>
    <row r="915" spans="1:18" s="4" customFormat="1" ht="15" customHeight="1">
      <c r="A915" s="64"/>
      <c r="B915" s="7">
        <f t="shared" si="221"/>
        <v>12</v>
      </c>
      <c r="C915" s="177" t="s">
        <v>10</v>
      </c>
      <c r="D915" s="177" t="s">
        <v>130</v>
      </c>
      <c r="E915" s="177" t="s">
        <v>15</v>
      </c>
      <c r="F915" s="177" t="s">
        <v>131</v>
      </c>
      <c r="G915" s="177">
        <v>2011</v>
      </c>
      <c r="H915" s="177" t="s">
        <v>114</v>
      </c>
      <c r="I915" s="177" t="s">
        <v>127</v>
      </c>
      <c r="J915" s="259"/>
      <c r="K915" s="116">
        <v>0</v>
      </c>
      <c r="L915" s="116">
        <v>0</v>
      </c>
      <c r="M915" s="116">
        <v>720</v>
      </c>
      <c r="N915" s="129" t="e">
        <f t="shared" si="217"/>
        <v>#DIV/0!</v>
      </c>
      <c r="O915" s="129">
        <f t="shared" si="220"/>
        <v>1</v>
      </c>
      <c r="P915" s="129">
        <f t="shared" si="219"/>
        <v>0</v>
      </c>
      <c r="Q915" s="114"/>
      <c r="R915" s="5" t="str">
        <f t="shared" si="216"/>
        <v>PAMA</v>
      </c>
    </row>
    <row r="916" spans="1:18" s="4" customFormat="1" ht="15" customHeight="1">
      <c r="A916" s="64"/>
      <c r="B916" s="7">
        <f t="shared" si="221"/>
        <v>13</v>
      </c>
      <c r="C916" s="177" t="s">
        <v>10</v>
      </c>
      <c r="D916" s="177" t="s">
        <v>132</v>
      </c>
      <c r="E916" s="177" t="s">
        <v>15</v>
      </c>
      <c r="F916" s="177" t="s">
        <v>131</v>
      </c>
      <c r="G916" s="177">
        <v>2011</v>
      </c>
      <c r="H916" s="177" t="s">
        <v>114</v>
      </c>
      <c r="I916" s="177" t="s">
        <v>127</v>
      </c>
      <c r="J916" s="259"/>
      <c r="K916" s="116">
        <v>374.02</v>
      </c>
      <c r="L916" s="116">
        <v>40.53</v>
      </c>
      <c r="M916" s="116">
        <v>305.45000000000005</v>
      </c>
      <c r="N916" s="129">
        <v>0</v>
      </c>
      <c r="O916" s="129">
        <f t="shared" si="220"/>
        <v>0.94370833333333337</v>
      </c>
      <c r="P916" s="129">
        <f t="shared" si="219"/>
        <v>0.55045844555315171</v>
      </c>
      <c r="Q916" s="114"/>
      <c r="R916" s="5" t="str">
        <f t="shared" si="216"/>
        <v>PAMA</v>
      </c>
    </row>
    <row r="917" spans="1:18" s="4" customFormat="1" ht="15" customHeight="1">
      <c r="A917" s="64"/>
      <c r="B917" s="7">
        <f t="shared" si="221"/>
        <v>14</v>
      </c>
      <c r="C917" s="177" t="s">
        <v>10</v>
      </c>
      <c r="D917" s="177" t="s">
        <v>133</v>
      </c>
      <c r="E917" s="177" t="s">
        <v>15</v>
      </c>
      <c r="F917" s="177" t="s">
        <v>131</v>
      </c>
      <c r="G917" s="177">
        <v>2011</v>
      </c>
      <c r="H917" s="177" t="s">
        <v>114</v>
      </c>
      <c r="I917" s="177" t="s">
        <v>127</v>
      </c>
      <c r="J917" s="259"/>
      <c r="K917" s="116">
        <v>387</v>
      </c>
      <c r="L917" s="116">
        <v>14</v>
      </c>
      <c r="M917" s="116">
        <v>319</v>
      </c>
      <c r="N917" s="129">
        <v>0</v>
      </c>
      <c r="O917" s="129">
        <f t="shared" si="220"/>
        <v>0.98055555555555551</v>
      </c>
      <c r="P917" s="129">
        <f t="shared" si="219"/>
        <v>0.54815864022662886</v>
      </c>
      <c r="Q917" s="114"/>
      <c r="R917" s="5" t="str">
        <f t="shared" si="216"/>
        <v>PAMA</v>
      </c>
    </row>
    <row r="918" spans="1:18" s="4" customFormat="1" ht="15" customHeight="1">
      <c r="A918" s="64"/>
      <c r="B918" s="7">
        <f t="shared" si="221"/>
        <v>15</v>
      </c>
      <c r="C918" s="177" t="s">
        <v>10</v>
      </c>
      <c r="D918" s="177" t="s">
        <v>2243</v>
      </c>
      <c r="E918" s="177" t="s">
        <v>15</v>
      </c>
      <c r="F918" s="177" t="s">
        <v>131</v>
      </c>
      <c r="G918" s="177">
        <v>2011</v>
      </c>
      <c r="H918" s="177" t="s">
        <v>114</v>
      </c>
      <c r="I918" s="177" t="s">
        <v>127</v>
      </c>
      <c r="J918" s="259"/>
      <c r="K918" s="116">
        <v>349.52</v>
      </c>
      <c r="L918" s="116">
        <v>23.54</v>
      </c>
      <c r="M918" s="116">
        <v>346.94000000000005</v>
      </c>
      <c r="N918" s="129">
        <v>0</v>
      </c>
      <c r="O918" s="129">
        <f t="shared" si="220"/>
        <v>0.96730555555555564</v>
      </c>
      <c r="P918" s="129">
        <f t="shared" si="219"/>
        <v>0.50185222410475827</v>
      </c>
      <c r="Q918" s="114"/>
      <c r="R918" s="5" t="str">
        <f t="shared" si="216"/>
        <v>PAMA</v>
      </c>
    </row>
    <row r="919" spans="1:18" s="4" customFormat="1" ht="15" customHeight="1">
      <c r="A919" s="64"/>
      <c r="B919" s="7">
        <f t="shared" si="221"/>
        <v>16</v>
      </c>
      <c r="C919" s="177" t="s">
        <v>10</v>
      </c>
      <c r="D919" s="177" t="s">
        <v>161</v>
      </c>
      <c r="E919" s="177" t="s">
        <v>15</v>
      </c>
      <c r="F919" s="177" t="s">
        <v>131</v>
      </c>
      <c r="G919" s="177">
        <v>2011</v>
      </c>
      <c r="H919" s="177" t="s">
        <v>114</v>
      </c>
      <c r="I919" s="177" t="s">
        <v>127</v>
      </c>
      <c r="J919" s="259"/>
      <c r="K919" s="116">
        <v>360</v>
      </c>
      <c r="L919" s="116">
        <v>16</v>
      </c>
      <c r="M919" s="116">
        <v>344</v>
      </c>
      <c r="N919" s="129">
        <v>0</v>
      </c>
      <c r="O919" s="129">
        <f t="shared" si="220"/>
        <v>0.97777777777777775</v>
      </c>
      <c r="P919" s="129">
        <f t="shared" si="219"/>
        <v>0.51136363636363635</v>
      </c>
      <c r="Q919" s="114"/>
      <c r="R919" s="5" t="str">
        <f t="shared" si="216"/>
        <v>PAMA</v>
      </c>
    </row>
    <row r="920" spans="1:18" s="4" customFormat="1" ht="15" customHeight="1">
      <c r="A920" s="64"/>
      <c r="B920" s="7">
        <f t="shared" si="221"/>
        <v>17</v>
      </c>
      <c r="C920" s="177" t="s">
        <v>10</v>
      </c>
      <c r="D920" s="177" t="s">
        <v>2294</v>
      </c>
      <c r="E920" s="177" t="s">
        <v>15</v>
      </c>
      <c r="F920" s="177" t="s">
        <v>131</v>
      </c>
      <c r="G920" s="177">
        <v>2011</v>
      </c>
      <c r="H920" s="177" t="s">
        <v>114</v>
      </c>
      <c r="I920" s="177" t="s">
        <v>127</v>
      </c>
      <c r="J920" s="259"/>
      <c r="K920" s="116">
        <v>168.52</v>
      </c>
      <c r="L920" s="116">
        <v>9.48</v>
      </c>
      <c r="M920" s="116">
        <v>542</v>
      </c>
      <c r="N920" s="129">
        <f t="shared" si="217"/>
        <v>0.94674157303370787</v>
      </c>
      <c r="O920" s="129">
        <f t="shared" si="220"/>
        <v>0.98683333333333334</v>
      </c>
      <c r="P920" s="129">
        <f t="shared" si="219"/>
        <v>0.2371784045487812</v>
      </c>
      <c r="Q920" s="114"/>
      <c r="R920" s="5" t="str">
        <f t="shared" si="216"/>
        <v>PAMA</v>
      </c>
    </row>
    <row r="921" spans="1:18" s="4" customFormat="1" ht="15" customHeight="1">
      <c r="A921" s="64"/>
      <c r="B921" s="7">
        <f t="shared" si="221"/>
        <v>18</v>
      </c>
      <c r="C921" s="177" t="s">
        <v>10</v>
      </c>
      <c r="D921" s="177" t="s">
        <v>138</v>
      </c>
      <c r="E921" s="177" t="s">
        <v>15</v>
      </c>
      <c r="F921" s="177" t="s">
        <v>136</v>
      </c>
      <c r="G921" s="177">
        <v>2008</v>
      </c>
      <c r="H921" s="177" t="s">
        <v>135</v>
      </c>
      <c r="I921" s="177" t="s">
        <v>137</v>
      </c>
      <c r="J921" s="259"/>
      <c r="K921" s="116">
        <v>314.33999999999997</v>
      </c>
      <c r="L921" s="116">
        <v>31.05</v>
      </c>
      <c r="M921" s="116">
        <v>374.61000000000007</v>
      </c>
      <c r="N921" s="129">
        <f t="shared" si="217"/>
        <v>0.91010162425084684</v>
      </c>
      <c r="O921" s="129">
        <f t="shared" si="220"/>
        <v>0.95687500000000003</v>
      </c>
      <c r="P921" s="129">
        <f t="shared" si="219"/>
        <v>0.45625952536468534</v>
      </c>
      <c r="Q921" s="114"/>
      <c r="R921" s="5" t="str">
        <f t="shared" si="216"/>
        <v>PAMA</v>
      </c>
    </row>
    <row r="922" spans="1:18" s="4" customFormat="1" ht="15" customHeight="1">
      <c r="A922" s="64"/>
      <c r="B922" s="7">
        <f t="shared" si="221"/>
        <v>19</v>
      </c>
      <c r="C922" s="177"/>
      <c r="D922" s="177" t="s">
        <v>140</v>
      </c>
      <c r="E922" s="177" t="s">
        <v>15</v>
      </c>
      <c r="F922" s="177" t="s">
        <v>136</v>
      </c>
      <c r="G922" s="177">
        <v>2008</v>
      </c>
      <c r="H922" s="177" t="s">
        <v>135</v>
      </c>
      <c r="I922" s="177" t="s">
        <v>137</v>
      </c>
      <c r="J922" s="259"/>
      <c r="K922" s="116">
        <v>0</v>
      </c>
      <c r="L922" s="116">
        <v>0</v>
      </c>
      <c r="M922" s="116">
        <v>720</v>
      </c>
      <c r="N922" s="129" t="e">
        <f t="shared" si="217"/>
        <v>#DIV/0!</v>
      </c>
      <c r="O922" s="129">
        <f t="shared" si="220"/>
        <v>1</v>
      </c>
      <c r="P922" s="129">
        <f t="shared" si="219"/>
        <v>0</v>
      </c>
      <c r="Q922" s="114"/>
      <c r="R922" s="5" t="str">
        <f t="shared" si="216"/>
        <v>PAMA</v>
      </c>
    </row>
    <row r="923" spans="1:18" s="4" customFormat="1" ht="15" customHeight="1">
      <c r="A923" s="64"/>
      <c r="B923" s="7">
        <f t="shared" si="221"/>
        <v>20</v>
      </c>
      <c r="C923" s="177" t="s">
        <v>10</v>
      </c>
      <c r="D923" s="177" t="s">
        <v>141</v>
      </c>
      <c r="E923" s="177" t="s">
        <v>15</v>
      </c>
      <c r="F923" s="177" t="s">
        <v>136</v>
      </c>
      <c r="G923" s="177">
        <v>2009</v>
      </c>
      <c r="H923" s="177" t="s">
        <v>135</v>
      </c>
      <c r="I923" s="177" t="s">
        <v>137</v>
      </c>
      <c r="J923" s="259"/>
      <c r="K923" s="116">
        <v>266.76</v>
      </c>
      <c r="L923" s="116">
        <v>17.239999999999998</v>
      </c>
      <c r="M923" s="116">
        <v>436</v>
      </c>
      <c r="N923" s="129">
        <f t="shared" si="217"/>
        <v>0.93929577464788727</v>
      </c>
      <c r="O923" s="129">
        <f t="shared" si="220"/>
        <v>0.97605555555555557</v>
      </c>
      <c r="P923" s="129">
        <f t="shared" si="219"/>
        <v>0.37958904889293643</v>
      </c>
      <c r="Q923" s="114"/>
      <c r="R923" s="5" t="str">
        <f t="shared" si="216"/>
        <v>PAMA</v>
      </c>
    </row>
    <row r="924" spans="1:18" s="4" customFormat="1" ht="15" customHeight="1">
      <c r="A924" s="64"/>
      <c r="B924" s="7">
        <f t="shared" si="221"/>
        <v>21</v>
      </c>
      <c r="C924" s="177" t="s">
        <v>10</v>
      </c>
      <c r="D924" s="177" t="s">
        <v>142</v>
      </c>
      <c r="E924" s="177" t="s">
        <v>15</v>
      </c>
      <c r="F924" s="177" t="s">
        <v>136</v>
      </c>
      <c r="G924" s="177">
        <v>2009</v>
      </c>
      <c r="H924" s="177" t="s">
        <v>135</v>
      </c>
      <c r="I924" s="177" t="s">
        <v>137</v>
      </c>
      <c r="J924" s="259"/>
      <c r="K924" s="116">
        <v>26</v>
      </c>
      <c r="L924" s="116">
        <v>2.67</v>
      </c>
      <c r="M924" s="116">
        <v>691.33</v>
      </c>
      <c r="N924" s="129">
        <f t="shared" si="217"/>
        <v>0.9068712940355772</v>
      </c>
      <c r="O924" s="129">
        <f t="shared" si="220"/>
        <v>0.99629166666666669</v>
      </c>
      <c r="P924" s="129">
        <f t="shared" si="219"/>
        <v>3.6245521586996218E-2</v>
      </c>
      <c r="Q924" s="114"/>
      <c r="R924" s="5" t="str">
        <f t="shared" si="216"/>
        <v>PAMA</v>
      </c>
    </row>
    <row r="925" spans="1:18" s="4" customFormat="1" ht="15" customHeight="1">
      <c r="A925" s="64"/>
      <c r="B925" s="7">
        <f t="shared" si="221"/>
        <v>22</v>
      </c>
      <c r="C925" s="177" t="s">
        <v>10</v>
      </c>
      <c r="D925" s="177" t="s">
        <v>312</v>
      </c>
      <c r="E925" s="177" t="s">
        <v>15</v>
      </c>
      <c r="F925" s="177" t="s">
        <v>136</v>
      </c>
      <c r="G925" s="177">
        <v>2009</v>
      </c>
      <c r="H925" s="177" t="s">
        <v>135</v>
      </c>
      <c r="I925" s="177" t="s">
        <v>137</v>
      </c>
      <c r="J925" s="259"/>
      <c r="K925" s="116">
        <v>220.62</v>
      </c>
      <c r="L925" s="116">
        <v>268.27</v>
      </c>
      <c r="M925" s="116">
        <v>231.11</v>
      </c>
      <c r="N925" s="129">
        <f t="shared" si="217"/>
        <v>0.45126715621100866</v>
      </c>
      <c r="O925" s="129">
        <f t="shared" si="220"/>
        <v>0.62740277777777775</v>
      </c>
      <c r="P925" s="129">
        <f t="shared" si="219"/>
        <v>0.48838908197374536</v>
      </c>
      <c r="Q925" s="114"/>
      <c r="R925" s="5" t="b">
        <f t="shared" si="216"/>
        <v>0</v>
      </c>
    </row>
    <row r="926" spans="1:18" s="4" customFormat="1" ht="15" customHeight="1">
      <c r="A926" s="64"/>
      <c r="B926" s="7">
        <f t="shared" si="221"/>
        <v>23</v>
      </c>
      <c r="C926" s="177" t="s">
        <v>10</v>
      </c>
      <c r="D926" s="177" t="s">
        <v>144</v>
      </c>
      <c r="E926" s="177" t="s">
        <v>15</v>
      </c>
      <c r="F926" s="177" t="s">
        <v>136</v>
      </c>
      <c r="G926" s="177">
        <v>2009</v>
      </c>
      <c r="H926" s="177" t="s">
        <v>135</v>
      </c>
      <c r="I926" s="177" t="s">
        <v>137</v>
      </c>
      <c r="J926" s="259"/>
      <c r="K926" s="116">
        <v>345</v>
      </c>
      <c r="L926" s="116">
        <v>34.369999999999997</v>
      </c>
      <c r="M926" s="116">
        <v>340.63</v>
      </c>
      <c r="N926" s="129">
        <v>0</v>
      </c>
      <c r="O926" s="129">
        <f t="shared" si="220"/>
        <v>0.95226388888888891</v>
      </c>
      <c r="P926" s="129">
        <f t="shared" si="219"/>
        <v>0.50318685005031871</v>
      </c>
      <c r="Q926" s="114"/>
      <c r="R926" s="5" t="str">
        <f t="shared" si="216"/>
        <v>PAMA</v>
      </c>
    </row>
    <row r="927" spans="1:18" s="4" customFormat="1" ht="15" customHeight="1">
      <c r="A927" s="64"/>
      <c r="B927" s="7">
        <f t="shared" si="221"/>
        <v>24</v>
      </c>
      <c r="C927" s="177" t="s">
        <v>10</v>
      </c>
      <c r="D927" s="177" t="s">
        <v>145</v>
      </c>
      <c r="E927" s="177" t="s">
        <v>15</v>
      </c>
      <c r="F927" s="177" t="s">
        <v>136</v>
      </c>
      <c r="G927" s="177">
        <v>2010</v>
      </c>
      <c r="H927" s="177" t="s">
        <v>135</v>
      </c>
      <c r="I927" s="177" t="s">
        <v>137</v>
      </c>
      <c r="J927" s="259"/>
      <c r="K927" s="116">
        <v>23.12</v>
      </c>
      <c r="L927" s="116">
        <v>21.48</v>
      </c>
      <c r="M927" s="116">
        <v>675.4</v>
      </c>
      <c r="N927" s="129">
        <f t="shared" si="217"/>
        <v>0.51838565022421523</v>
      </c>
      <c r="O927" s="129">
        <f t="shared" si="220"/>
        <v>0.97016666666666662</v>
      </c>
      <c r="P927" s="129">
        <f t="shared" si="219"/>
        <v>3.3098551222584899E-2</v>
      </c>
      <c r="Q927" s="114"/>
      <c r="R927" s="5" t="str">
        <f t="shared" si="216"/>
        <v>PAMA</v>
      </c>
    </row>
    <row r="928" spans="1:18" s="4" customFormat="1" ht="15" customHeight="1">
      <c r="A928" s="64"/>
      <c r="B928" s="7">
        <f t="shared" si="221"/>
        <v>25</v>
      </c>
      <c r="C928" s="177" t="s">
        <v>10</v>
      </c>
      <c r="D928" s="177" t="s">
        <v>146</v>
      </c>
      <c r="E928" s="177" t="s">
        <v>15</v>
      </c>
      <c r="F928" s="177" t="s">
        <v>136</v>
      </c>
      <c r="G928" s="177">
        <v>2011</v>
      </c>
      <c r="H928" s="177" t="s">
        <v>135</v>
      </c>
      <c r="I928" s="177" t="s">
        <v>137</v>
      </c>
      <c r="J928" s="259"/>
      <c r="K928" s="116">
        <v>355.32</v>
      </c>
      <c r="L928" s="116">
        <v>39.82</v>
      </c>
      <c r="M928" s="116">
        <v>324.85999999999996</v>
      </c>
      <c r="N928" s="129">
        <f t="shared" si="217"/>
        <v>0.89922559092979704</v>
      </c>
      <c r="O928" s="129">
        <f t="shared" si="220"/>
        <v>0.94469444444444439</v>
      </c>
      <c r="P928" s="129">
        <f t="shared" si="219"/>
        <v>0.52239113175924023</v>
      </c>
      <c r="Q928" s="114"/>
      <c r="R928" s="5" t="str">
        <f t="shared" si="216"/>
        <v>PAMA</v>
      </c>
    </row>
    <row r="929" spans="1:18" s="4" customFormat="1" ht="15" customHeight="1">
      <c r="A929" s="64"/>
      <c r="B929" s="7">
        <f t="shared" si="221"/>
        <v>26</v>
      </c>
      <c r="C929" s="177" t="s">
        <v>10</v>
      </c>
      <c r="D929" s="177" t="s">
        <v>147</v>
      </c>
      <c r="E929" s="177" t="s">
        <v>15</v>
      </c>
      <c r="F929" s="177" t="s">
        <v>136</v>
      </c>
      <c r="G929" s="177">
        <v>2011</v>
      </c>
      <c r="H929" s="177" t="s">
        <v>135</v>
      </c>
      <c r="I929" s="177" t="s">
        <v>137</v>
      </c>
      <c r="J929" s="115"/>
      <c r="K929" s="116">
        <v>323</v>
      </c>
      <c r="L929" s="116">
        <v>30.22</v>
      </c>
      <c r="M929" s="116">
        <v>366.78</v>
      </c>
      <c r="N929" s="129">
        <f t="shared" si="217"/>
        <v>0.91444425570465993</v>
      </c>
      <c r="O929" s="129">
        <f t="shared" si="220"/>
        <v>0.9580277777777777</v>
      </c>
      <c r="P929" s="129">
        <f t="shared" si="219"/>
        <v>0.46826524399083769</v>
      </c>
      <c r="Q929" s="114"/>
      <c r="R929" s="5" t="str">
        <f t="shared" si="216"/>
        <v>PAMA</v>
      </c>
    </row>
    <row r="930" spans="1:18" s="4" customFormat="1" ht="15" customHeight="1">
      <c r="A930" s="64"/>
      <c r="B930" s="7">
        <f t="shared" si="221"/>
        <v>27</v>
      </c>
      <c r="C930" s="177" t="s">
        <v>10</v>
      </c>
      <c r="D930" s="177" t="s">
        <v>162</v>
      </c>
      <c r="E930" s="177" t="s">
        <v>15</v>
      </c>
      <c r="F930" s="177" t="s">
        <v>136</v>
      </c>
      <c r="G930" s="177">
        <v>2012</v>
      </c>
      <c r="H930" s="177" t="s">
        <v>135</v>
      </c>
      <c r="I930" s="177" t="s">
        <v>137</v>
      </c>
      <c r="J930" s="115"/>
      <c r="K930" s="116">
        <v>336</v>
      </c>
      <c r="L930" s="116">
        <v>19.63</v>
      </c>
      <c r="M930" s="116">
        <v>364.37</v>
      </c>
      <c r="N930" s="129">
        <f t="shared" si="217"/>
        <v>0.94480218204313471</v>
      </c>
      <c r="O930" s="129">
        <f t="shared" si="220"/>
        <v>0.97273611111111113</v>
      </c>
      <c r="P930" s="129">
        <f t="shared" si="219"/>
        <v>0.47974641974956095</v>
      </c>
      <c r="Q930" s="114"/>
      <c r="R930" s="5" t="str">
        <f t="shared" si="216"/>
        <v>PAMA</v>
      </c>
    </row>
    <row r="931" spans="1:18" s="4" customFormat="1" ht="15" customHeight="1">
      <c r="A931" s="64"/>
      <c r="B931" s="7">
        <f t="shared" si="221"/>
        <v>28</v>
      </c>
      <c r="C931" s="177" t="s">
        <v>10</v>
      </c>
      <c r="D931" s="177" t="s">
        <v>163</v>
      </c>
      <c r="E931" s="177" t="s">
        <v>15</v>
      </c>
      <c r="F931" s="177" t="s">
        <v>136</v>
      </c>
      <c r="G931" s="177">
        <v>2012</v>
      </c>
      <c r="H931" s="177" t="s">
        <v>135</v>
      </c>
      <c r="I931" s="177" t="s">
        <v>137</v>
      </c>
      <c r="J931" s="115"/>
      <c r="K931" s="116">
        <v>349</v>
      </c>
      <c r="L931" s="116">
        <v>17.850000000000001</v>
      </c>
      <c r="M931" s="116">
        <v>353.15</v>
      </c>
      <c r="N931" s="129">
        <f t="shared" si="217"/>
        <v>0.95134251056290031</v>
      </c>
      <c r="O931" s="129">
        <f t="shared" si="220"/>
        <v>0.97520833333333334</v>
      </c>
      <c r="P931" s="129">
        <f t="shared" si="219"/>
        <v>0.49704479099907428</v>
      </c>
      <c r="Q931" s="114"/>
      <c r="R931" s="5" t="str">
        <f t="shared" si="216"/>
        <v>PAMA</v>
      </c>
    </row>
    <row r="932" spans="1:18" s="4" customFormat="1" ht="15" customHeight="1">
      <c r="A932" s="64"/>
      <c r="B932" s="7">
        <f t="shared" si="221"/>
        <v>29</v>
      </c>
      <c r="C932" s="177" t="s">
        <v>10</v>
      </c>
      <c r="D932" s="177" t="s">
        <v>164</v>
      </c>
      <c r="E932" s="177" t="s">
        <v>15</v>
      </c>
      <c r="F932" s="177" t="s">
        <v>136</v>
      </c>
      <c r="G932" s="177">
        <v>2012</v>
      </c>
      <c r="H932" s="177" t="s">
        <v>135</v>
      </c>
      <c r="I932" s="177" t="s">
        <v>137</v>
      </c>
      <c r="J932" s="115"/>
      <c r="K932" s="116">
        <v>329</v>
      </c>
      <c r="L932" s="116">
        <v>23</v>
      </c>
      <c r="M932" s="116">
        <v>368</v>
      </c>
      <c r="N932" s="129">
        <f t="shared" si="217"/>
        <v>0.93465909090909094</v>
      </c>
      <c r="O932" s="129">
        <f t="shared" si="220"/>
        <v>0.96805555555555556</v>
      </c>
      <c r="P932" s="129">
        <f t="shared" si="219"/>
        <v>0.4720229555236729</v>
      </c>
      <c r="Q932" s="114"/>
      <c r="R932" s="5" t="str">
        <f t="shared" si="216"/>
        <v>PAMA</v>
      </c>
    </row>
    <row r="933" spans="1:18" s="4" customFormat="1" ht="15" customHeight="1">
      <c r="A933" s="64"/>
      <c r="B933" s="7">
        <f t="shared" si="221"/>
        <v>30</v>
      </c>
      <c r="C933" s="177" t="s">
        <v>10</v>
      </c>
      <c r="D933" s="177" t="s">
        <v>2295</v>
      </c>
      <c r="E933" s="177" t="s">
        <v>15</v>
      </c>
      <c r="F933" s="177" t="s">
        <v>136</v>
      </c>
      <c r="G933" s="177">
        <v>2023</v>
      </c>
      <c r="H933" s="177" t="s">
        <v>135</v>
      </c>
      <c r="I933" s="177" t="s">
        <v>137</v>
      </c>
      <c r="J933" s="115"/>
      <c r="K933" s="116">
        <v>129</v>
      </c>
      <c r="L933" s="116">
        <v>0</v>
      </c>
      <c r="M933" s="116">
        <v>591</v>
      </c>
      <c r="N933" s="129">
        <f t="shared" si="217"/>
        <v>1</v>
      </c>
      <c r="O933" s="129">
        <f t="shared" si="220"/>
        <v>1</v>
      </c>
      <c r="P933" s="129">
        <f t="shared" si="219"/>
        <v>0.17916666666666667</v>
      </c>
      <c r="Q933" s="114"/>
      <c r="R933" s="5" t="str">
        <f t="shared" si="216"/>
        <v>PAMA</v>
      </c>
    </row>
    <row r="934" spans="1:18" s="4" customFormat="1" ht="15" customHeight="1">
      <c r="A934" s="64"/>
      <c r="B934" s="7">
        <f t="shared" si="221"/>
        <v>31</v>
      </c>
      <c r="C934" s="177" t="s">
        <v>10</v>
      </c>
      <c r="D934" s="177" t="s">
        <v>398</v>
      </c>
      <c r="E934" s="177" t="s">
        <v>15</v>
      </c>
      <c r="F934" s="177" t="s">
        <v>228</v>
      </c>
      <c r="G934" s="177"/>
      <c r="H934" s="177" t="s">
        <v>148</v>
      </c>
      <c r="I934" s="177" t="s">
        <v>149</v>
      </c>
      <c r="J934" s="115"/>
      <c r="K934" s="116">
        <v>190.43</v>
      </c>
      <c r="L934" s="116">
        <v>38.6</v>
      </c>
      <c r="M934" s="116">
        <v>490.96999999999997</v>
      </c>
      <c r="N934" s="129">
        <f t="shared" si="217"/>
        <v>0.83146312710125314</v>
      </c>
      <c r="O934" s="129">
        <f t="shared" si="220"/>
        <v>0.94638888888888884</v>
      </c>
      <c r="P934" s="129">
        <f t="shared" si="219"/>
        <v>0.27946874082770767</v>
      </c>
      <c r="Q934" s="114"/>
      <c r="R934" s="5" t="str">
        <f t="shared" si="216"/>
        <v>PAMA</v>
      </c>
    </row>
    <row r="935" spans="1:18" s="4" customFormat="1" ht="15" customHeight="1">
      <c r="A935" s="64"/>
      <c r="B935" s="7">
        <f t="shared" si="221"/>
        <v>32</v>
      </c>
      <c r="C935" s="177" t="s">
        <v>10</v>
      </c>
      <c r="D935" s="177" t="s">
        <v>538</v>
      </c>
      <c r="E935" s="177" t="s">
        <v>15</v>
      </c>
      <c r="F935" s="177" t="s">
        <v>228</v>
      </c>
      <c r="G935" s="177"/>
      <c r="H935" s="177" t="s">
        <v>148</v>
      </c>
      <c r="I935" s="177" t="s">
        <v>149</v>
      </c>
      <c r="J935" s="115"/>
      <c r="K935" s="116">
        <v>177.23</v>
      </c>
      <c r="L935" s="116">
        <v>27.12</v>
      </c>
      <c r="M935" s="116">
        <v>515.65</v>
      </c>
      <c r="N935" s="129">
        <f t="shared" si="217"/>
        <v>0.86728651822852942</v>
      </c>
      <c r="O935" s="129">
        <f t="shared" si="220"/>
        <v>0.96233333333333337</v>
      </c>
      <c r="P935" s="129">
        <f t="shared" si="219"/>
        <v>0.25578743794019165</v>
      </c>
      <c r="Q935" s="114"/>
      <c r="R935" s="5" t="str">
        <f t="shared" si="216"/>
        <v>PAMA</v>
      </c>
    </row>
    <row r="936" spans="1:18" s="4" customFormat="1" ht="15" customHeight="1">
      <c r="A936" s="64"/>
      <c r="B936" s="7">
        <f t="shared" si="221"/>
        <v>33</v>
      </c>
      <c r="C936" s="177" t="s">
        <v>10</v>
      </c>
      <c r="D936" s="177" t="s">
        <v>539</v>
      </c>
      <c r="E936" s="177" t="s">
        <v>15</v>
      </c>
      <c r="F936" s="177" t="s">
        <v>228</v>
      </c>
      <c r="G936" s="177"/>
      <c r="H936" s="177" t="s">
        <v>148</v>
      </c>
      <c r="I936" s="177" t="s">
        <v>149</v>
      </c>
      <c r="J936" s="115"/>
      <c r="K936" s="116">
        <v>139.5</v>
      </c>
      <c r="L936" s="116">
        <v>5.75</v>
      </c>
      <c r="M936" s="116">
        <v>574.75</v>
      </c>
      <c r="N936" s="129">
        <f t="shared" si="217"/>
        <v>0.96041308089500865</v>
      </c>
      <c r="O936" s="129">
        <f t="shared" si="220"/>
        <v>0.99201388888888886</v>
      </c>
      <c r="P936" s="129">
        <f t="shared" ref="P936:P959" si="222">+K936/(K936+M936)</f>
        <v>0.19530976548827442</v>
      </c>
      <c r="Q936" s="114"/>
      <c r="R936" s="5" t="str">
        <f t="shared" si="216"/>
        <v>PAMA</v>
      </c>
    </row>
    <row r="937" spans="1:18" s="4" customFormat="1" ht="15" customHeight="1">
      <c r="A937" s="64"/>
      <c r="B937" s="7">
        <f t="shared" si="221"/>
        <v>34</v>
      </c>
      <c r="C937" s="177" t="s">
        <v>10</v>
      </c>
      <c r="D937" s="177" t="s">
        <v>399</v>
      </c>
      <c r="E937" s="177" t="s">
        <v>15</v>
      </c>
      <c r="F937" s="177" t="s">
        <v>228</v>
      </c>
      <c r="G937" s="177"/>
      <c r="H937" s="177" t="s">
        <v>148</v>
      </c>
      <c r="I937" s="177" t="s">
        <v>149</v>
      </c>
      <c r="J937" s="115"/>
      <c r="K937" s="116">
        <v>190.8</v>
      </c>
      <c r="L937" s="116">
        <v>11.33</v>
      </c>
      <c r="M937" s="116">
        <v>517.86999999999989</v>
      </c>
      <c r="N937" s="129">
        <f t="shared" si="217"/>
        <v>0.94394696482461782</v>
      </c>
      <c r="O937" s="129">
        <f t="shared" si="220"/>
        <v>0.98426388888888883</v>
      </c>
      <c r="P937" s="129">
        <f t="shared" si="222"/>
        <v>0.26923673924393587</v>
      </c>
      <c r="Q937" s="114"/>
      <c r="R937" s="5" t="str">
        <f t="shared" si="216"/>
        <v>PAMA</v>
      </c>
    </row>
    <row r="938" spans="1:18" s="4" customFormat="1" ht="15" customHeight="1">
      <c r="A938" s="64"/>
      <c r="B938" s="7">
        <f t="shared" si="221"/>
        <v>35</v>
      </c>
      <c r="C938" s="177" t="s">
        <v>10</v>
      </c>
      <c r="D938" s="177" t="s">
        <v>400</v>
      </c>
      <c r="E938" s="177" t="s">
        <v>15</v>
      </c>
      <c r="F938" s="177" t="s">
        <v>228</v>
      </c>
      <c r="G938" s="177"/>
      <c r="H938" s="177" t="s">
        <v>148</v>
      </c>
      <c r="I938" s="177" t="s">
        <v>149</v>
      </c>
      <c r="J938" s="115"/>
      <c r="K938" s="116">
        <v>143.72</v>
      </c>
      <c r="L938" s="116">
        <v>39.630000000000003</v>
      </c>
      <c r="M938" s="116">
        <v>536.65</v>
      </c>
      <c r="N938" s="129">
        <f t="shared" si="217"/>
        <v>0.78385601308971908</v>
      </c>
      <c r="O938" s="129">
        <f t="shared" si="220"/>
        <v>0.94495833333333334</v>
      </c>
      <c r="P938" s="129">
        <f t="shared" si="222"/>
        <v>0.21123800285138969</v>
      </c>
      <c r="Q938" s="114"/>
      <c r="R938" s="5" t="str">
        <f t="shared" si="216"/>
        <v>PAMA</v>
      </c>
    </row>
    <row r="939" spans="1:18" s="4" customFormat="1" ht="15" customHeight="1">
      <c r="A939" s="64"/>
      <c r="B939" s="7">
        <f t="shared" si="221"/>
        <v>36</v>
      </c>
      <c r="C939" s="177" t="s">
        <v>10</v>
      </c>
      <c r="D939" s="177" t="s">
        <v>460</v>
      </c>
      <c r="E939" s="177" t="s">
        <v>15</v>
      </c>
      <c r="F939" s="177" t="s">
        <v>228</v>
      </c>
      <c r="G939" s="177"/>
      <c r="H939" s="177" t="s">
        <v>148</v>
      </c>
      <c r="I939" s="177" t="s">
        <v>149</v>
      </c>
      <c r="J939" s="115"/>
      <c r="K939" s="116">
        <v>158.87</v>
      </c>
      <c r="L939" s="116">
        <v>19.739999999999998</v>
      </c>
      <c r="M939" s="116">
        <v>541.39</v>
      </c>
      <c r="N939" s="129">
        <f t="shared" si="217"/>
        <v>0.88947987234757286</v>
      </c>
      <c r="O939" s="129">
        <f t="shared" si="220"/>
        <v>0.97258333333333336</v>
      </c>
      <c r="P939" s="129">
        <f t="shared" si="222"/>
        <v>0.22687287578899268</v>
      </c>
      <c r="Q939" s="114"/>
      <c r="R939" s="5" t="str">
        <f t="shared" si="216"/>
        <v>PAMA</v>
      </c>
    </row>
    <row r="940" spans="1:18" s="4" customFormat="1" ht="15" customHeight="1">
      <c r="A940" s="64"/>
      <c r="B940" s="7">
        <f t="shared" si="221"/>
        <v>37</v>
      </c>
      <c r="C940" s="177" t="s">
        <v>10</v>
      </c>
      <c r="D940" s="177" t="s">
        <v>402</v>
      </c>
      <c r="E940" s="177" t="s">
        <v>15</v>
      </c>
      <c r="F940" s="177" t="s">
        <v>228</v>
      </c>
      <c r="G940" s="177"/>
      <c r="H940" s="177" t="s">
        <v>148</v>
      </c>
      <c r="I940" s="177" t="s">
        <v>149</v>
      </c>
      <c r="J940" s="115"/>
      <c r="K940" s="116">
        <v>176.34</v>
      </c>
      <c r="L940" s="116">
        <v>44.23</v>
      </c>
      <c r="M940" s="116">
        <v>499.42999999999995</v>
      </c>
      <c r="N940" s="129">
        <f t="shared" si="217"/>
        <v>0.79947408985809498</v>
      </c>
      <c r="O940" s="129">
        <f t="shared" si="220"/>
        <v>0.93856944444444446</v>
      </c>
      <c r="P940" s="129">
        <f t="shared" si="222"/>
        <v>0.26094677183065246</v>
      </c>
      <c r="Q940" s="114"/>
      <c r="R940" s="5" t="str">
        <f t="shared" si="216"/>
        <v>PAMA</v>
      </c>
    </row>
    <row r="941" spans="1:18" s="4" customFormat="1" ht="15" customHeight="1">
      <c r="A941" s="64"/>
      <c r="B941" s="7">
        <f t="shared" si="221"/>
        <v>38</v>
      </c>
      <c r="C941" s="177"/>
      <c r="D941" s="177" t="s">
        <v>2245</v>
      </c>
      <c r="E941" s="177" t="s">
        <v>15</v>
      </c>
      <c r="F941" s="177" t="s">
        <v>228</v>
      </c>
      <c r="G941" s="177"/>
      <c r="H941" s="177" t="s">
        <v>148</v>
      </c>
      <c r="I941" s="177" t="s">
        <v>149</v>
      </c>
      <c r="J941" s="115"/>
      <c r="K941" s="116">
        <v>0</v>
      </c>
      <c r="L941" s="116">
        <v>0</v>
      </c>
      <c r="M941" s="116">
        <v>720</v>
      </c>
      <c r="N941" s="129">
        <v>0</v>
      </c>
      <c r="O941" s="129">
        <f t="shared" si="220"/>
        <v>1</v>
      </c>
      <c r="P941" s="129">
        <f t="shared" si="222"/>
        <v>0</v>
      </c>
      <c r="Q941" s="114"/>
      <c r="R941" s="5" t="str">
        <f t="shared" si="216"/>
        <v>PAMA</v>
      </c>
    </row>
    <row r="942" spans="1:18" s="4" customFormat="1" ht="15" hidden="1" customHeight="1">
      <c r="A942" s="64"/>
      <c r="B942" s="7">
        <f t="shared" si="221"/>
        <v>39</v>
      </c>
      <c r="C942" s="211"/>
      <c r="D942" s="211"/>
      <c r="E942" s="211"/>
      <c r="F942" s="211"/>
      <c r="G942" s="211"/>
      <c r="H942" s="211"/>
      <c r="I942" s="211"/>
      <c r="J942" s="115"/>
      <c r="K942" s="239"/>
      <c r="L942" s="239"/>
      <c r="M942" s="239"/>
      <c r="N942" s="129" t="e">
        <f t="shared" si="217"/>
        <v>#DIV/0!</v>
      </c>
      <c r="O942" s="129" t="e">
        <f t="shared" si="220"/>
        <v>#DIV/0!</v>
      </c>
      <c r="P942" s="129" t="e">
        <f t="shared" si="222"/>
        <v>#DIV/0!</v>
      </c>
      <c r="Q942" s="114"/>
      <c r="R942" s="5" t="e">
        <f t="shared" si="216"/>
        <v>#DIV/0!</v>
      </c>
    </row>
    <row r="943" spans="1:18" s="4" customFormat="1" ht="15" hidden="1" customHeight="1">
      <c r="A943" s="64"/>
      <c r="B943" s="7">
        <f t="shared" si="221"/>
        <v>40</v>
      </c>
      <c r="C943" s="211"/>
      <c r="D943" s="211"/>
      <c r="E943" s="211"/>
      <c r="F943" s="211"/>
      <c r="G943" s="211"/>
      <c r="H943" s="211"/>
      <c r="I943" s="211"/>
      <c r="J943" s="115"/>
      <c r="K943" s="239"/>
      <c r="L943" s="239"/>
      <c r="M943" s="239"/>
      <c r="N943" s="129" t="e">
        <f t="shared" ref="N943:N946" si="223">+K943/(K943+L943)</f>
        <v>#DIV/0!</v>
      </c>
      <c r="O943" s="129" t="e">
        <f t="shared" ref="O943" si="224">+(K943+M943)/(K943+L943+M943)</f>
        <v>#DIV/0!</v>
      </c>
      <c r="P943" s="129" t="e">
        <f t="shared" si="222"/>
        <v>#DIV/0!</v>
      </c>
      <c r="Q943" s="114"/>
      <c r="R943" s="5" t="e">
        <f t="shared" ref="R943:R1006" si="225">IF(O943&gt;89.9999999999999%,"PAMA")</f>
        <v>#DIV/0!</v>
      </c>
    </row>
    <row r="944" spans="1:18" s="4" customFormat="1" ht="15" hidden="1" customHeight="1">
      <c r="A944" s="64"/>
      <c r="B944" s="7">
        <f t="shared" si="221"/>
        <v>41</v>
      </c>
      <c r="C944" s="211"/>
      <c r="D944" s="211"/>
      <c r="E944" s="211"/>
      <c r="F944" s="211"/>
      <c r="G944" s="211"/>
      <c r="H944" s="211"/>
      <c r="I944" s="211"/>
      <c r="J944" s="115"/>
      <c r="K944" s="239"/>
      <c r="L944" s="239"/>
      <c r="M944" s="239"/>
      <c r="N944" s="129">
        <v>0</v>
      </c>
      <c r="O944" s="129" t="e">
        <f t="shared" ref="O944:O946" si="226">+(K944+M944)/(K944+L944+M944)</f>
        <v>#DIV/0!</v>
      </c>
      <c r="P944" s="129" t="e">
        <f t="shared" si="222"/>
        <v>#DIV/0!</v>
      </c>
      <c r="Q944" s="114"/>
      <c r="R944" s="5" t="e">
        <f t="shared" si="225"/>
        <v>#DIV/0!</v>
      </c>
    </row>
    <row r="945" spans="1:18" s="4" customFormat="1" ht="15" hidden="1" customHeight="1">
      <c r="A945" s="64"/>
      <c r="B945" s="7">
        <f t="shared" si="221"/>
        <v>42</v>
      </c>
      <c r="C945" s="211"/>
      <c r="D945" s="211"/>
      <c r="E945" s="211"/>
      <c r="F945" s="211"/>
      <c r="G945" s="211"/>
      <c r="H945" s="211"/>
      <c r="I945" s="211"/>
      <c r="J945" s="115"/>
      <c r="K945" s="239"/>
      <c r="L945" s="239"/>
      <c r="M945" s="239"/>
      <c r="N945" s="129" t="e">
        <f t="shared" si="223"/>
        <v>#DIV/0!</v>
      </c>
      <c r="O945" s="129" t="e">
        <f t="shared" si="226"/>
        <v>#DIV/0!</v>
      </c>
      <c r="P945" s="129" t="e">
        <f t="shared" si="222"/>
        <v>#DIV/0!</v>
      </c>
      <c r="Q945" s="114"/>
      <c r="R945" s="5" t="e">
        <f t="shared" si="225"/>
        <v>#DIV/0!</v>
      </c>
    </row>
    <row r="946" spans="1:18" s="4" customFormat="1" ht="15" hidden="1" customHeight="1">
      <c r="A946" s="64"/>
      <c r="B946" s="7">
        <f t="shared" si="221"/>
        <v>43</v>
      </c>
      <c r="C946" s="211"/>
      <c r="D946" s="211"/>
      <c r="E946" s="211"/>
      <c r="F946" s="211"/>
      <c r="G946" s="211"/>
      <c r="H946" s="211"/>
      <c r="I946" s="211"/>
      <c r="J946" s="115"/>
      <c r="K946" s="239"/>
      <c r="L946" s="239"/>
      <c r="M946" s="239"/>
      <c r="N946" s="129" t="e">
        <f t="shared" si="223"/>
        <v>#DIV/0!</v>
      </c>
      <c r="O946" s="129" t="e">
        <f t="shared" si="226"/>
        <v>#DIV/0!</v>
      </c>
      <c r="P946" s="129" t="e">
        <f t="shared" si="222"/>
        <v>#DIV/0!</v>
      </c>
      <c r="Q946" s="114"/>
      <c r="R946" s="5" t="e">
        <f t="shared" si="225"/>
        <v>#DIV/0!</v>
      </c>
    </row>
    <row r="947" spans="1:18" s="4" customFormat="1" ht="15" hidden="1" customHeight="1">
      <c r="A947" s="64"/>
      <c r="B947" s="7">
        <f t="shared" si="221"/>
        <v>44</v>
      </c>
      <c r="C947" s="211"/>
      <c r="D947" s="211"/>
      <c r="E947" s="211"/>
      <c r="F947" s="211"/>
      <c r="G947" s="211"/>
      <c r="H947" s="211"/>
      <c r="I947" s="211"/>
      <c r="J947" s="115"/>
      <c r="K947" s="239"/>
      <c r="L947" s="239"/>
      <c r="M947" s="239"/>
      <c r="N947" s="129" t="e">
        <f t="shared" ref="N947:N955" si="227">+K947/(K947+L947)</f>
        <v>#DIV/0!</v>
      </c>
      <c r="O947" s="129" t="e">
        <f t="shared" ref="O947:O955" si="228">+(K947+M947)/(K947+L947+M947)</f>
        <v>#DIV/0!</v>
      </c>
      <c r="P947" s="129" t="e">
        <f t="shared" si="222"/>
        <v>#DIV/0!</v>
      </c>
      <c r="Q947" s="114"/>
      <c r="R947" s="5" t="e">
        <f t="shared" si="225"/>
        <v>#DIV/0!</v>
      </c>
    </row>
    <row r="948" spans="1:18" s="4" customFormat="1" ht="15" hidden="1" customHeight="1">
      <c r="A948" s="64"/>
      <c r="B948" s="7">
        <f t="shared" si="221"/>
        <v>45</v>
      </c>
      <c r="C948" s="211"/>
      <c r="D948" s="211"/>
      <c r="E948" s="211"/>
      <c r="F948" s="211"/>
      <c r="G948" s="211"/>
      <c r="H948" s="211"/>
      <c r="I948" s="211"/>
      <c r="J948" s="115"/>
      <c r="K948" s="239"/>
      <c r="L948" s="239"/>
      <c r="M948" s="239"/>
      <c r="N948" s="129" t="e">
        <f t="shared" si="227"/>
        <v>#DIV/0!</v>
      </c>
      <c r="O948" s="129" t="e">
        <f t="shared" si="228"/>
        <v>#DIV/0!</v>
      </c>
      <c r="P948" s="129" t="e">
        <f t="shared" si="222"/>
        <v>#DIV/0!</v>
      </c>
      <c r="Q948" s="114"/>
      <c r="R948" s="5" t="e">
        <f t="shared" si="225"/>
        <v>#DIV/0!</v>
      </c>
    </row>
    <row r="949" spans="1:18" s="4" customFormat="1" ht="15" hidden="1" customHeight="1">
      <c r="A949" s="64"/>
      <c r="B949" s="7">
        <f t="shared" si="221"/>
        <v>46</v>
      </c>
      <c r="C949" s="211"/>
      <c r="D949" s="211"/>
      <c r="E949" s="211"/>
      <c r="F949" s="211"/>
      <c r="G949" s="211"/>
      <c r="H949" s="211"/>
      <c r="I949" s="211"/>
      <c r="J949" s="115"/>
      <c r="K949" s="239"/>
      <c r="L949" s="239"/>
      <c r="M949" s="239"/>
      <c r="N949" s="129" t="e">
        <f t="shared" si="227"/>
        <v>#DIV/0!</v>
      </c>
      <c r="O949" s="129" t="e">
        <f t="shared" si="228"/>
        <v>#DIV/0!</v>
      </c>
      <c r="P949" s="129" t="e">
        <f t="shared" si="222"/>
        <v>#DIV/0!</v>
      </c>
      <c r="Q949" s="114"/>
      <c r="R949" s="5" t="e">
        <f t="shared" si="225"/>
        <v>#DIV/0!</v>
      </c>
    </row>
    <row r="950" spans="1:18" s="4" customFormat="1" ht="15" hidden="1" customHeight="1">
      <c r="A950" s="64"/>
      <c r="B950" s="7">
        <f t="shared" si="221"/>
        <v>47</v>
      </c>
      <c r="C950" s="211"/>
      <c r="D950" s="211"/>
      <c r="E950" s="211"/>
      <c r="F950" s="211"/>
      <c r="G950" s="211"/>
      <c r="H950" s="211"/>
      <c r="I950" s="211"/>
      <c r="J950" s="115"/>
      <c r="K950" s="239"/>
      <c r="L950" s="239"/>
      <c r="M950" s="239"/>
      <c r="N950" s="129" t="e">
        <f t="shared" si="227"/>
        <v>#DIV/0!</v>
      </c>
      <c r="O950" s="129" t="e">
        <f t="shared" si="228"/>
        <v>#DIV/0!</v>
      </c>
      <c r="P950" s="129" t="e">
        <f t="shared" si="222"/>
        <v>#DIV/0!</v>
      </c>
      <c r="Q950" s="114"/>
      <c r="R950" s="5" t="e">
        <f t="shared" si="225"/>
        <v>#DIV/0!</v>
      </c>
    </row>
    <row r="951" spans="1:18" s="4" customFormat="1" ht="15" hidden="1" customHeight="1">
      <c r="A951" s="64"/>
      <c r="B951" s="7">
        <f t="shared" si="221"/>
        <v>48</v>
      </c>
      <c r="C951" s="211"/>
      <c r="D951" s="211"/>
      <c r="E951" s="211"/>
      <c r="F951" s="211"/>
      <c r="G951" s="211"/>
      <c r="H951" s="211"/>
      <c r="I951" s="211"/>
      <c r="J951" s="240"/>
      <c r="K951" s="239"/>
      <c r="L951" s="239"/>
      <c r="M951" s="239"/>
      <c r="N951" s="129" t="e">
        <f t="shared" ref="N951:N952" si="229">+K951/(K951+L951)</f>
        <v>#DIV/0!</v>
      </c>
      <c r="O951" s="129" t="e">
        <f t="shared" ref="O951:O952" si="230">+(K951+M951)/(K951+L951+M951)</f>
        <v>#DIV/0!</v>
      </c>
      <c r="P951" s="129" t="e">
        <f t="shared" si="222"/>
        <v>#DIV/0!</v>
      </c>
      <c r="Q951" s="114"/>
      <c r="R951" s="5" t="e">
        <f t="shared" si="225"/>
        <v>#DIV/0!</v>
      </c>
    </row>
    <row r="952" spans="1:18" s="4" customFormat="1" ht="15" hidden="1" customHeight="1">
      <c r="A952" s="64"/>
      <c r="B952" s="7">
        <f t="shared" si="221"/>
        <v>49</v>
      </c>
      <c r="C952" s="211"/>
      <c r="D952" s="211"/>
      <c r="E952" s="211"/>
      <c r="F952" s="211"/>
      <c r="G952" s="211"/>
      <c r="H952" s="211"/>
      <c r="I952" s="211"/>
      <c r="J952" s="240"/>
      <c r="K952" s="239"/>
      <c r="L952" s="239"/>
      <c r="M952" s="239"/>
      <c r="N952" s="129" t="e">
        <f t="shared" si="229"/>
        <v>#DIV/0!</v>
      </c>
      <c r="O952" s="129" t="e">
        <f t="shared" si="230"/>
        <v>#DIV/0!</v>
      </c>
      <c r="P952" s="129" t="e">
        <f t="shared" si="222"/>
        <v>#DIV/0!</v>
      </c>
      <c r="Q952" s="114"/>
      <c r="R952" s="5" t="e">
        <f t="shared" si="225"/>
        <v>#DIV/0!</v>
      </c>
    </row>
    <row r="953" spans="1:18" s="4" customFormat="1" ht="15" hidden="1" customHeight="1">
      <c r="A953" s="64"/>
      <c r="B953" s="7">
        <f t="shared" si="221"/>
        <v>50</v>
      </c>
      <c r="C953" s="211"/>
      <c r="D953" s="211"/>
      <c r="E953" s="211"/>
      <c r="F953" s="211"/>
      <c r="G953" s="211"/>
      <c r="H953" s="211"/>
      <c r="I953" s="211"/>
      <c r="J953" s="240"/>
      <c r="K953" s="239"/>
      <c r="L953" s="239"/>
      <c r="M953" s="239"/>
      <c r="N953" s="129" t="e">
        <f t="shared" si="227"/>
        <v>#DIV/0!</v>
      </c>
      <c r="O953" s="129" t="e">
        <f t="shared" si="228"/>
        <v>#DIV/0!</v>
      </c>
      <c r="P953" s="129" t="e">
        <f t="shared" si="222"/>
        <v>#DIV/0!</v>
      </c>
      <c r="Q953" s="114"/>
      <c r="R953" s="5" t="e">
        <f t="shared" si="225"/>
        <v>#DIV/0!</v>
      </c>
    </row>
    <row r="954" spans="1:18" s="4" customFormat="1" ht="15" hidden="1" customHeight="1">
      <c r="A954" s="64"/>
      <c r="B954" s="7">
        <f t="shared" si="221"/>
        <v>51</v>
      </c>
      <c r="C954" s="211"/>
      <c r="D954" s="211"/>
      <c r="E954" s="211"/>
      <c r="F954" s="211"/>
      <c r="G954" s="211"/>
      <c r="H954" s="211"/>
      <c r="I954" s="211"/>
      <c r="J954" s="240"/>
      <c r="K954" s="239"/>
      <c r="L954" s="239"/>
      <c r="M954" s="239"/>
      <c r="N954" s="129" t="e">
        <f t="shared" si="227"/>
        <v>#DIV/0!</v>
      </c>
      <c r="O954" s="129" t="e">
        <f t="shared" si="228"/>
        <v>#DIV/0!</v>
      </c>
      <c r="P954" s="129" t="e">
        <f t="shared" si="222"/>
        <v>#DIV/0!</v>
      </c>
      <c r="Q954" s="114"/>
      <c r="R954" s="5" t="e">
        <f t="shared" si="225"/>
        <v>#DIV/0!</v>
      </c>
    </row>
    <row r="955" spans="1:18" s="4" customFormat="1" ht="15" hidden="1" customHeight="1">
      <c r="A955" s="64"/>
      <c r="B955" s="7">
        <f t="shared" si="221"/>
        <v>52</v>
      </c>
      <c r="C955" s="211"/>
      <c r="D955" s="211"/>
      <c r="E955" s="211"/>
      <c r="F955" s="211"/>
      <c r="G955" s="211"/>
      <c r="H955" s="211"/>
      <c r="I955" s="211"/>
      <c r="J955" s="240"/>
      <c r="K955" s="239"/>
      <c r="L955" s="239"/>
      <c r="M955" s="239"/>
      <c r="N955" s="129" t="e">
        <f t="shared" si="227"/>
        <v>#DIV/0!</v>
      </c>
      <c r="O955" s="129" t="e">
        <f t="shared" si="228"/>
        <v>#DIV/0!</v>
      </c>
      <c r="P955" s="129" t="e">
        <f t="shared" si="222"/>
        <v>#DIV/0!</v>
      </c>
      <c r="Q955" s="114"/>
      <c r="R955" s="5" t="e">
        <f t="shared" si="225"/>
        <v>#DIV/0!</v>
      </c>
    </row>
    <row r="956" spans="1:18" s="4" customFormat="1" ht="15" hidden="1" customHeight="1">
      <c r="A956" s="64"/>
      <c r="B956" s="7">
        <f t="shared" si="221"/>
        <v>53</v>
      </c>
      <c r="C956" s="211"/>
      <c r="D956" s="211"/>
      <c r="E956" s="211"/>
      <c r="F956" s="211"/>
      <c r="G956" s="211"/>
      <c r="H956" s="211"/>
      <c r="I956" s="211"/>
      <c r="J956" s="240"/>
      <c r="K956" s="239"/>
      <c r="L956" s="239"/>
      <c r="M956" s="239"/>
      <c r="N956" s="129" t="e">
        <f t="shared" ref="N956:N958" si="231">+K956/(K956+L956)</f>
        <v>#DIV/0!</v>
      </c>
      <c r="O956" s="129" t="e">
        <f t="shared" ref="O956:O958" si="232">+(K956+M956)/(K956+L956+M956)</f>
        <v>#DIV/0!</v>
      </c>
      <c r="P956" s="129" t="e">
        <f t="shared" si="222"/>
        <v>#DIV/0!</v>
      </c>
      <c r="Q956" s="114"/>
      <c r="R956" s="5" t="e">
        <f t="shared" si="225"/>
        <v>#DIV/0!</v>
      </c>
    </row>
    <row r="957" spans="1:18" s="4" customFormat="1" ht="15" hidden="1" customHeight="1">
      <c r="A957" s="64"/>
      <c r="B957" s="7">
        <f t="shared" si="221"/>
        <v>54</v>
      </c>
      <c r="C957" s="211"/>
      <c r="D957" s="211"/>
      <c r="E957" s="211"/>
      <c r="F957" s="211"/>
      <c r="G957" s="211"/>
      <c r="H957" s="211"/>
      <c r="I957" s="211"/>
      <c r="J957" s="240"/>
      <c r="K957" s="239"/>
      <c r="L957" s="239"/>
      <c r="M957" s="239"/>
      <c r="N957" s="129" t="e">
        <f t="shared" si="231"/>
        <v>#DIV/0!</v>
      </c>
      <c r="O957" s="129" t="e">
        <f t="shared" si="232"/>
        <v>#DIV/0!</v>
      </c>
      <c r="P957" s="129" t="e">
        <f t="shared" si="222"/>
        <v>#DIV/0!</v>
      </c>
      <c r="Q957" s="114"/>
      <c r="R957" s="5" t="e">
        <f t="shared" si="225"/>
        <v>#DIV/0!</v>
      </c>
    </row>
    <row r="958" spans="1:18" s="4" customFormat="1" ht="15" hidden="1" customHeight="1">
      <c r="A958" s="64"/>
      <c r="B958" s="7">
        <f t="shared" si="221"/>
        <v>55</v>
      </c>
      <c r="C958" s="211"/>
      <c r="D958" s="211"/>
      <c r="E958" s="211"/>
      <c r="F958" s="211"/>
      <c r="G958" s="211"/>
      <c r="H958" s="211"/>
      <c r="I958" s="211"/>
      <c r="J958" s="240"/>
      <c r="K958" s="239"/>
      <c r="L958" s="239"/>
      <c r="M958" s="239"/>
      <c r="N958" s="129" t="e">
        <f t="shared" si="231"/>
        <v>#DIV/0!</v>
      </c>
      <c r="O958" s="129" t="e">
        <f t="shared" si="232"/>
        <v>#DIV/0!</v>
      </c>
      <c r="P958" s="129" t="e">
        <f t="shared" si="222"/>
        <v>#DIV/0!</v>
      </c>
      <c r="Q958" s="114"/>
      <c r="R958" s="5" t="e">
        <f t="shared" si="225"/>
        <v>#DIV/0!</v>
      </c>
    </row>
    <row r="959" spans="1:18" s="4" customFormat="1" ht="15" hidden="1" customHeight="1">
      <c r="A959" s="64"/>
      <c r="B959" s="7">
        <f t="shared" si="221"/>
        <v>56</v>
      </c>
      <c r="C959" s="211"/>
      <c r="D959" s="211"/>
      <c r="E959" s="211"/>
      <c r="F959" s="211"/>
      <c r="G959" s="211"/>
      <c r="H959" s="211"/>
      <c r="I959" s="211"/>
      <c r="J959" s="240"/>
      <c r="K959" s="239"/>
      <c r="L959" s="239"/>
      <c r="M959" s="239"/>
      <c r="N959" s="129" t="e">
        <f t="shared" ref="N959" si="233">+K959/(K959+L959)</f>
        <v>#DIV/0!</v>
      </c>
      <c r="O959" s="129" t="e">
        <f t="shared" ref="O959" si="234">+(K959+M959)/(K959+L959+M959)</f>
        <v>#DIV/0!</v>
      </c>
      <c r="P959" s="129" t="e">
        <f t="shared" si="222"/>
        <v>#DIV/0!</v>
      </c>
      <c r="Q959" s="114"/>
      <c r="R959" s="5" t="e">
        <f t="shared" si="225"/>
        <v>#DIV/0!</v>
      </c>
    </row>
    <row r="960" spans="1:18" s="4" customFormat="1" ht="15" hidden="1" customHeight="1">
      <c r="A960" s="64"/>
      <c r="B960" s="7">
        <f t="shared" si="221"/>
        <v>57</v>
      </c>
      <c r="C960" s="211"/>
      <c r="D960" s="211"/>
      <c r="E960" s="211"/>
      <c r="F960" s="211"/>
      <c r="G960" s="211"/>
      <c r="H960" s="211"/>
      <c r="I960" s="211"/>
      <c r="J960" s="5"/>
      <c r="R960" s="5" t="b">
        <f t="shared" si="225"/>
        <v>0</v>
      </c>
    </row>
    <row r="961" spans="1:18" s="4" customFormat="1" ht="15" hidden="1" customHeight="1">
      <c r="A961" s="64"/>
      <c r="B961" s="7">
        <f t="shared" si="221"/>
        <v>58</v>
      </c>
      <c r="C961" s="211"/>
      <c r="D961" s="211"/>
      <c r="E961" s="211"/>
      <c r="F961" s="211"/>
      <c r="G961" s="211"/>
      <c r="H961" s="211"/>
      <c r="I961" s="211"/>
      <c r="J961" s="16"/>
      <c r="K961" s="1"/>
      <c r="M961" s="1"/>
      <c r="N961" s="1"/>
      <c r="O961" s="1"/>
      <c r="P961" s="1"/>
      <c r="Q961" s="95"/>
      <c r="R961" s="5" t="b">
        <f t="shared" si="225"/>
        <v>0</v>
      </c>
    </row>
    <row r="962" spans="1:18" s="4" customFormat="1" ht="15" hidden="1" customHeight="1">
      <c r="A962" s="64"/>
      <c r="B962" s="7">
        <f t="shared" si="221"/>
        <v>59</v>
      </c>
      <c r="C962" s="211"/>
      <c r="D962" s="211"/>
      <c r="E962" s="211"/>
      <c r="F962" s="211"/>
      <c r="G962" s="211"/>
      <c r="H962" s="211"/>
      <c r="I962" s="211"/>
      <c r="J962" s="16"/>
      <c r="K962" s="1"/>
      <c r="M962" s="1"/>
      <c r="N962" s="1"/>
      <c r="O962" s="1"/>
      <c r="P962" s="1"/>
      <c r="Q962" s="95"/>
      <c r="R962" s="5" t="b">
        <f t="shared" si="225"/>
        <v>0</v>
      </c>
    </row>
    <row r="963" spans="1:18" s="4" customFormat="1" ht="15" hidden="1" customHeight="1">
      <c r="A963" s="64"/>
      <c r="B963" s="7">
        <f t="shared" ref="B963:B1028" si="235">B962+1</f>
        <v>60</v>
      </c>
      <c r="C963" s="211"/>
      <c r="D963" s="211"/>
      <c r="E963" s="211"/>
      <c r="F963" s="211"/>
      <c r="G963" s="211"/>
      <c r="H963" s="211"/>
      <c r="I963" s="211"/>
      <c r="J963" s="16"/>
      <c r="K963" s="1"/>
      <c r="M963" s="1"/>
      <c r="N963" s="1"/>
      <c r="O963" s="1"/>
      <c r="P963" s="1"/>
      <c r="Q963" s="95"/>
      <c r="R963" s="5" t="b">
        <f t="shared" si="225"/>
        <v>0</v>
      </c>
    </row>
    <row r="964" spans="1:18" s="4" customFormat="1" ht="15" hidden="1" customHeight="1">
      <c r="A964" s="64"/>
      <c r="B964" s="7">
        <f t="shared" si="235"/>
        <v>61</v>
      </c>
      <c r="C964" s="211"/>
      <c r="D964" s="211"/>
      <c r="E964" s="211"/>
      <c r="F964" s="211"/>
      <c r="G964" s="211"/>
      <c r="H964" s="211"/>
      <c r="I964" s="211"/>
      <c r="J964" s="16"/>
      <c r="K964" s="1"/>
      <c r="M964" s="1"/>
      <c r="N964" s="1"/>
      <c r="O964" s="1"/>
      <c r="P964" s="1"/>
      <c r="Q964" s="95"/>
      <c r="R964" s="5" t="b">
        <f t="shared" si="225"/>
        <v>0</v>
      </c>
    </row>
    <row r="965" spans="1:18" s="4" customFormat="1" ht="15" hidden="1" customHeight="1">
      <c r="A965" s="64"/>
      <c r="B965" s="7">
        <f t="shared" si="235"/>
        <v>62</v>
      </c>
      <c r="C965" s="211"/>
      <c r="D965" s="211"/>
      <c r="E965" s="211"/>
      <c r="F965" s="211"/>
      <c r="G965" s="211"/>
      <c r="H965" s="211"/>
      <c r="I965" s="211"/>
      <c r="J965" s="16"/>
      <c r="K965" s="1"/>
      <c r="M965" s="1"/>
      <c r="N965" s="1"/>
      <c r="O965" s="1"/>
      <c r="P965" s="1"/>
      <c r="Q965" s="95"/>
      <c r="R965" s="5" t="b">
        <f t="shared" si="225"/>
        <v>0</v>
      </c>
    </row>
    <row r="966" spans="1:18" s="4" customFormat="1" ht="15" hidden="1" customHeight="1">
      <c r="A966" s="64"/>
      <c r="B966" s="7">
        <f t="shared" si="235"/>
        <v>63</v>
      </c>
      <c r="C966" s="211"/>
      <c r="D966" s="211"/>
      <c r="E966" s="211"/>
      <c r="F966" s="211"/>
      <c r="G966" s="211"/>
      <c r="H966" s="211"/>
      <c r="I966" s="211"/>
      <c r="J966" s="16"/>
      <c r="K966" s="1"/>
      <c r="M966" s="1"/>
      <c r="N966" s="1"/>
      <c r="O966" s="1"/>
      <c r="P966" s="1"/>
      <c r="Q966" s="95"/>
      <c r="R966" s="5" t="b">
        <f t="shared" si="225"/>
        <v>0</v>
      </c>
    </row>
    <row r="967" spans="1:18" s="4" customFormat="1" ht="15" hidden="1" customHeight="1">
      <c r="A967" s="64"/>
      <c r="B967" s="7">
        <f t="shared" si="235"/>
        <v>64</v>
      </c>
      <c r="C967" s="211"/>
      <c r="D967" s="211"/>
      <c r="E967" s="211"/>
      <c r="F967" s="211"/>
      <c r="G967" s="211"/>
      <c r="H967" s="211"/>
      <c r="I967" s="211"/>
      <c r="J967" s="16"/>
      <c r="K967" s="1"/>
      <c r="M967" s="1"/>
      <c r="N967" s="1"/>
      <c r="O967" s="1"/>
      <c r="P967" s="1"/>
      <c r="Q967" s="95"/>
      <c r="R967" s="5" t="b">
        <f t="shared" si="225"/>
        <v>0</v>
      </c>
    </row>
    <row r="968" spans="1:18" s="4" customFormat="1" ht="15" hidden="1" customHeight="1">
      <c r="A968" s="64"/>
      <c r="B968" s="7">
        <f t="shared" si="235"/>
        <v>65</v>
      </c>
      <c r="C968" s="211"/>
      <c r="D968" s="211"/>
      <c r="E968" s="211"/>
      <c r="F968" s="211"/>
      <c r="G968" s="211"/>
      <c r="H968" s="211"/>
      <c r="I968" s="211"/>
      <c r="J968" s="16"/>
      <c r="K968" s="1"/>
      <c r="M968" s="1"/>
      <c r="N968" s="1"/>
      <c r="O968" s="1"/>
      <c r="P968" s="1"/>
      <c r="Q968" s="95"/>
      <c r="R968" s="5" t="b">
        <f t="shared" si="225"/>
        <v>0</v>
      </c>
    </row>
    <row r="969" spans="1:18" s="4" customFormat="1" ht="15" hidden="1" customHeight="1">
      <c r="A969" s="64"/>
      <c r="B969" s="7">
        <f t="shared" si="235"/>
        <v>66</v>
      </c>
      <c r="C969" s="211"/>
      <c r="D969" s="211"/>
      <c r="E969" s="211"/>
      <c r="F969" s="211"/>
      <c r="G969" s="211"/>
      <c r="H969" s="211"/>
      <c r="I969" s="211"/>
      <c r="J969" s="16"/>
      <c r="K969" s="1"/>
      <c r="M969" s="1"/>
      <c r="N969" s="1"/>
      <c r="O969" s="1"/>
      <c r="P969" s="1"/>
      <c r="Q969" s="95"/>
      <c r="R969" s="5" t="b">
        <f t="shared" si="225"/>
        <v>0</v>
      </c>
    </row>
    <row r="970" spans="1:18" s="4" customFormat="1" ht="15" hidden="1" customHeight="1">
      <c r="A970" s="64"/>
      <c r="B970" s="7">
        <f t="shared" si="235"/>
        <v>67</v>
      </c>
      <c r="C970" s="211"/>
      <c r="D970" s="211"/>
      <c r="E970" s="211"/>
      <c r="F970" s="211"/>
      <c r="G970" s="211"/>
      <c r="H970" s="211"/>
      <c r="I970" s="211"/>
      <c r="J970" s="16"/>
      <c r="K970" s="1"/>
      <c r="M970" s="1"/>
      <c r="N970" s="1"/>
      <c r="O970" s="1"/>
      <c r="P970" s="1"/>
      <c r="Q970" s="95"/>
      <c r="R970" s="5" t="b">
        <f t="shared" si="225"/>
        <v>0</v>
      </c>
    </row>
    <row r="971" spans="1:18" s="4" customFormat="1" ht="15" hidden="1" customHeight="1">
      <c r="A971" s="64"/>
      <c r="B971" s="7">
        <f t="shared" si="235"/>
        <v>68</v>
      </c>
      <c r="C971" s="211"/>
      <c r="D971" s="211"/>
      <c r="E971" s="211"/>
      <c r="F971" s="211"/>
      <c r="G971" s="211"/>
      <c r="H971" s="211"/>
      <c r="I971" s="211"/>
      <c r="J971" s="16"/>
      <c r="K971" s="1"/>
      <c r="M971" s="1"/>
      <c r="N971" s="1"/>
      <c r="O971" s="1"/>
      <c r="P971" s="1"/>
      <c r="Q971" s="95"/>
      <c r="R971" s="5" t="b">
        <f t="shared" si="225"/>
        <v>0</v>
      </c>
    </row>
    <row r="972" spans="1:18" s="4" customFormat="1" ht="15" hidden="1" customHeight="1">
      <c r="A972" s="64"/>
      <c r="B972" s="7">
        <f t="shared" si="235"/>
        <v>69</v>
      </c>
      <c r="C972" s="211"/>
      <c r="D972" s="211"/>
      <c r="E972" s="211"/>
      <c r="F972" s="211"/>
      <c r="G972" s="211"/>
      <c r="H972" s="211"/>
      <c r="I972" s="211"/>
      <c r="J972" s="16"/>
      <c r="K972" s="1"/>
      <c r="M972" s="1"/>
      <c r="N972" s="1"/>
      <c r="O972" s="1"/>
      <c r="P972" s="1"/>
      <c r="Q972" s="95"/>
      <c r="R972" s="5" t="b">
        <f t="shared" si="225"/>
        <v>0</v>
      </c>
    </row>
    <row r="973" spans="1:18" s="4" customFormat="1" ht="15" hidden="1" customHeight="1">
      <c r="A973" s="64"/>
      <c r="B973" s="7">
        <f>B972+1</f>
        <v>70</v>
      </c>
      <c r="C973" s="211"/>
      <c r="D973" s="211"/>
      <c r="E973" s="211"/>
      <c r="F973" s="211"/>
      <c r="G973" s="211"/>
      <c r="H973" s="211"/>
      <c r="I973" s="211"/>
      <c r="J973" s="16"/>
      <c r="K973" s="1"/>
      <c r="M973" s="1"/>
      <c r="N973" s="1"/>
      <c r="O973" s="1"/>
      <c r="P973" s="1"/>
      <c r="Q973" s="95"/>
      <c r="R973" s="5" t="b">
        <f t="shared" si="225"/>
        <v>0</v>
      </c>
    </row>
    <row r="974" spans="1:18" s="4" customFormat="1" ht="15" hidden="1" customHeight="1">
      <c r="A974" s="64"/>
      <c r="B974" s="7">
        <f t="shared" si="235"/>
        <v>71</v>
      </c>
      <c r="C974" s="211"/>
      <c r="D974" s="211"/>
      <c r="E974" s="211"/>
      <c r="F974" s="211"/>
      <c r="G974" s="211"/>
      <c r="H974" s="211"/>
      <c r="I974" s="211"/>
      <c r="J974" s="16"/>
      <c r="K974" s="1"/>
      <c r="M974" s="1"/>
      <c r="N974" s="1"/>
      <c r="O974" s="1"/>
      <c r="P974" s="1"/>
      <c r="Q974" s="95"/>
      <c r="R974" s="5" t="b">
        <f t="shared" si="225"/>
        <v>0</v>
      </c>
    </row>
    <row r="975" spans="1:18" s="4" customFormat="1" ht="15" hidden="1" customHeight="1">
      <c r="A975" s="64"/>
      <c r="B975" s="7">
        <f t="shared" si="235"/>
        <v>72</v>
      </c>
      <c r="C975" s="211"/>
      <c r="D975" s="211"/>
      <c r="E975" s="211"/>
      <c r="F975" s="211"/>
      <c r="G975" s="211"/>
      <c r="H975" s="211"/>
      <c r="I975" s="211"/>
      <c r="J975" s="16"/>
      <c r="K975" s="1"/>
      <c r="M975" s="1"/>
      <c r="N975" s="1"/>
      <c r="O975" s="1"/>
      <c r="P975" s="1"/>
      <c r="Q975" s="95"/>
      <c r="R975" s="5" t="b">
        <f t="shared" si="225"/>
        <v>0</v>
      </c>
    </row>
    <row r="976" spans="1:18" s="4" customFormat="1" ht="15" hidden="1" customHeight="1">
      <c r="A976" s="64"/>
      <c r="B976" s="7">
        <f t="shared" si="235"/>
        <v>73</v>
      </c>
      <c r="C976" s="211"/>
      <c r="D976" s="211"/>
      <c r="E976" s="211"/>
      <c r="F976" s="211"/>
      <c r="G976" s="211"/>
      <c r="H976" s="211"/>
      <c r="I976" s="211"/>
      <c r="J976" s="16"/>
      <c r="K976" s="1"/>
      <c r="M976" s="1"/>
      <c r="N976" s="1"/>
      <c r="O976" s="1"/>
      <c r="P976" s="1"/>
      <c r="Q976" s="95"/>
      <c r="R976" s="5" t="b">
        <f t="shared" si="225"/>
        <v>0</v>
      </c>
    </row>
    <row r="977" spans="1:18" s="4" customFormat="1" ht="15" hidden="1" customHeight="1">
      <c r="A977" s="64"/>
      <c r="B977" s="7">
        <f t="shared" si="235"/>
        <v>74</v>
      </c>
      <c r="C977" s="211"/>
      <c r="D977" s="211"/>
      <c r="E977" s="211"/>
      <c r="F977" s="211"/>
      <c r="G977" s="211"/>
      <c r="H977" s="211"/>
      <c r="I977" s="211"/>
      <c r="J977" s="16"/>
      <c r="K977" s="1"/>
      <c r="M977" s="1"/>
      <c r="N977" s="1"/>
      <c r="O977" s="1"/>
      <c r="P977" s="1"/>
      <c r="Q977" s="95"/>
      <c r="R977" s="5" t="b">
        <f t="shared" si="225"/>
        <v>0</v>
      </c>
    </row>
    <row r="978" spans="1:18" s="4" customFormat="1" ht="15" hidden="1" customHeight="1">
      <c r="A978" s="64"/>
      <c r="B978" s="7">
        <f t="shared" si="235"/>
        <v>75</v>
      </c>
      <c r="C978" s="211"/>
      <c r="D978" s="211"/>
      <c r="E978" s="211"/>
      <c r="F978" s="211"/>
      <c r="G978" s="211"/>
      <c r="H978" s="211"/>
      <c r="I978" s="211"/>
      <c r="J978" s="16"/>
      <c r="K978" s="1"/>
      <c r="M978" s="1"/>
      <c r="N978" s="1"/>
      <c r="O978" s="1"/>
      <c r="P978" s="1"/>
      <c r="Q978" s="95"/>
      <c r="R978" s="5" t="b">
        <f t="shared" si="225"/>
        <v>0</v>
      </c>
    </row>
    <row r="979" spans="1:18" s="4" customFormat="1" ht="15" hidden="1" customHeight="1">
      <c r="A979" s="64"/>
      <c r="B979" s="7">
        <f t="shared" si="235"/>
        <v>76</v>
      </c>
      <c r="C979" s="211"/>
      <c r="D979" s="211"/>
      <c r="E979" s="211"/>
      <c r="F979" s="211"/>
      <c r="G979" s="211"/>
      <c r="H979" s="211"/>
      <c r="I979" s="211"/>
      <c r="J979" s="16"/>
      <c r="K979" s="1"/>
      <c r="M979" s="1"/>
      <c r="N979" s="1"/>
      <c r="O979" s="1"/>
      <c r="P979" s="1"/>
      <c r="Q979" s="95"/>
      <c r="R979" s="5" t="b">
        <f t="shared" si="225"/>
        <v>0</v>
      </c>
    </row>
    <row r="980" spans="1:18" s="4" customFormat="1" ht="15" hidden="1" customHeight="1">
      <c r="A980" s="64"/>
      <c r="B980" s="7">
        <f t="shared" si="235"/>
        <v>77</v>
      </c>
      <c r="C980" s="211"/>
      <c r="D980" s="211"/>
      <c r="E980" s="211"/>
      <c r="F980" s="211"/>
      <c r="G980" s="211"/>
      <c r="H980" s="211"/>
      <c r="I980" s="211"/>
      <c r="J980" s="16"/>
      <c r="K980" s="1"/>
      <c r="M980" s="1"/>
      <c r="N980" s="1"/>
      <c r="O980" s="1"/>
      <c r="P980" s="1"/>
      <c r="Q980" s="95"/>
      <c r="R980" s="5" t="b">
        <f t="shared" si="225"/>
        <v>0</v>
      </c>
    </row>
    <row r="981" spans="1:18" s="4" customFormat="1" ht="15" hidden="1" customHeight="1">
      <c r="A981" s="64"/>
      <c r="B981" s="7">
        <f t="shared" si="235"/>
        <v>78</v>
      </c>
      <c r="C981" s="211"/>
      <c r="D981" s="211"/>
      <c r="E981" s="211"/>
      <c r="F981" s="211"/>
      <c r="G981" s="211"/>
      <c r="H981" s="211"/>
      <c r="I981" s="211"/>
      <c r="J981" s="16"/>
      <c r="K981" s="1"/>
      <c r="M981" s="1"/>
      <c r="N981" s="1"/>
      <c r="O981" s="1"/>
      <c r="P981" s="1"/>
      <c r="Q981" s="95"/>
      <c r="R981" s="5" t="b">
        <f t="shared" si="225"/>
        <v>0</v>
      </c>
    </row>
    <row r="982" spans="1:18" s="4" customFormat="1" ht="15" hidden="1" customHeight="1">
      <c r="A982" s="64"/>
      <c r="B982" s="7">
        <f t="shared" si="235"/>
        <v>79</v>
      </c>
      <c r="C982" s="211"/>
      <c r="D982" s="211"/>
      <c r="E982" s="211"/>
      <c r="F982" s="211"/>
      <c r="G982" s="211"/>
      <c r="H982" s="211"/>
      <c r="I982" s="211"/>
      <c r="J982" s="16"/>
      <c r="K982" s="1"/>
      <c r="M982" s="1"/>
      <c r="N982" s="1"/>
      <c r="O982" s="1"/>
      <c r="P982" s="1"/>
      <c r="Q982" s="95"/>
      <c r="R982" s="5" t="b">
        <f t="shared" si="225"/>
        <v>0</v>
      </c>
    </row>
    <row r="983" spans="1:18" s="4" customFormat="1" ht="15" hidden="1" customHeight="1">
      <c r="A983" s="64"/>
      <c r="B983" s="7">
        <f t="shared" si="235"/>
        <v>80</v>
      </c>
      <c r="C983" s="211"/>
      <c r="D983" s="211"/>
      <c r="E983" s="211"/>
      <c r="F983" s="211"/>
      <c r="G983" s="211"/>
      <c r="H983" s="211"/>
      <c r="I983" s="211"/>
      <c r="J983" s="16"/>
      <c r="K983" s="1"/>
      <c r="M983" s="1"/>
      <c r="N983" s="1"/>
      <c r="O983" s="1"/>
      <c r="P983" s="1"/>
      <c r="Q983" s="95"/>
      <c r="R983" s="5" t="b">
        <f t="shared" si="225"/>
        <v>0</v>
      </c>
    </row>
    <row r="984" spans="1:18" s="4" customFormat="1" ht="15" hidden="1" customHeight="1">
      <c r="A984" s="64"/>
      <c r="B984" s="7">
        <f t="shared" si="235"/>
        <v>81</v>
      </c>
      <c r="C984" s="211"/>
      <c r="D984" s="211"/>
      <c r="E984" s="211"/>
      <c r="F984" s="211"/>
      <c r="G984" s="211"/>
      <c r="H984" s="211"/>
      <c r="I984" s="211"/>
      <c r="J984" s="16"/>
      <c r="K984" s="1"/>
      <c r="M984" s="1"/>
      <c r="N984" s="1"/>
      <c r="O984" s="1"/>
      <c r="P984" s="1"/>
      <c r="Q984" s="95"/>
      <c r="R984" s="5" t="b">
        <f t="shared" si="225"/>
        <v>0</v>
      </c>
    </row>
    <row r="985" spans="1:18" s="4" customFormat="1" ht="15" hidden="1" customHeight="1">
      <c r="A985" s="64"/>
      <c r="B985" s="7">
        <f t="shared" si="235"/>
        <v>82</v>
      </c>
      <c r="C985" s="211"/>
      <c r="D985" s="211"/>
      <c r="E985" s="211"/>
      <c r="F985" s="211"/>
      <c r="G985" s="211"/>
      <c r="H985" s="211"/>
      <c r="I985" s="211"/>
      <c r="J985" s="16"/>
      <c r="K985" s="1"/>
      <c r="M985" s="1"/>
      <c r="N985" s="1"/>
      <c r="O985" s="1"/>
      <c r="P985" s="1"/>
      <c r="Q985" s="95"/>
      <c r="R985" s="5" t="b">
        <f t="shared" si="225"/>
        <v>0</v>
      </c>
    </row>
    <row r="986" spans="1:18" s="4" customFormat="1" ht="15" hidden="1" customHeight="1">
      <c r="A986" s="64"/>
      <c r="B986" s="7">
        <f t="shared" si="235"/>
        <v>83</v>
      </c>
      <c r="C986" s="211"/>
      <c r="D986" s="211"/>
      <c r="E986" s="211"/>
      <c r="F986" s="211"/>
      <c r="G986" s="211"/>
      <c r="H986" s="211"/>
      <c r="I986" s="211"/>
      <c r="J986" s="16"/>
      <c r="K986" s="1"/>
      <c r="M986" s="1"/>
      <c r="N986" s="1"/>
      <c r="O986" s="1"/>
      <c r="P986" s="1"/>
      <c r="Q986" s="95"/>
      <c r="R986" s="5" t="b">
        <f t="shared" si="225"/>
        <v>0</v>
      </c>
    </row>
    <row r="987" spans="1:18" s="4" customFormat="1" ht="15" hidden="1" customHeight="1">
      <c r="A987" s="64"/>
      <c r="B987" s="7">
        <f t="shared" si="235"/>
        <v>84</v>
      </c>
      <c r="C987" s="211"/>
      <c r="D987" s="211"/>
      <c r="E987" s="211"/>
      <c r="F987" s="211"/>
      <c r="G987" s="211"/>
      <c r="H987" s="211"/>
      <c r="I987" s="211"/>
      <c r="J987" s="16"/>
      <c r="K987" s="1"/>
      <c r="M987" s="1"/>
      <c r="N987" s="1"/>
      <c r="O987" s="1"/>
      <c r="P987" s="1"/>
      <c r="Q987" s="95"/>
      <c r="R987" s="5" t="b">
        <f t="shared" si="225"/>
        <v>0</v>
      </c>
    </row>
    <row r="988" spans="1:18" s="4" customFormat="1" ht="15" hidden="1" customHeight="1">
      <c r="A988" s="64"/>
      <c r="B988" s="7">
        <f t="shared" si="235"/>
        <v>85</v>
      </c>
      <c r="C988" s="211"/>
      <c r="D988" s="211"/>
      <c r="E988" s="211"/>
      <c r="F988" s="211"/>
      <c r="G988" s="211"/>
      <c r="H988" s="211"/>
      <c r="I988" s="211"/>
      <c r="J988" s="16"/>
      <c r="K988" s="1"/>
      <c r="M988" s="1"/>
      <c r="N988" s="1"/>
      <c r="O988" s="1"/>
      <c r="P988" s="1"/>
      <c r="Q988" s="95"/>
      <c r="R988" s="5" t="b">
        <f t="shared" si="225"/>
        <v>0</v>
      </c>
    </row>
    <row r="989" spans="1:18" s="4" customFormat="1" ht="15" hidden="1" customHeight="1">
      <c r="A989" s="64"/>
      <c r="B989" s="7">
        <f t="shared" si="235"/>
        <v>86</v>
      </c>
      <c r="C989" s="211"/>
      <c r="D989" s="211"/>
      <c r="E989" s="211"/>
      <c r="F989" s="211"/>
      <c r="G989" s="211"/>
      <c r="H989" s="211"/>
      <c r="I989" s="211"/>
      <c r="J989" s="16"/>
      <c r="K989" s="1"/>
      <c r="M989" s="1"/>
      <c r="N989" s="1"/>
      <c r="O989" s="1"/>
      <c r="P989" s="1"/>
      <c r="Q989" s="95"/>
      <c r="R989" s="5" t="b">
        <f t="shared" si="225"/>
        <v>0</v>
      </c>
    </row>
    <row r="990" spans="1:18" s="4" customFormat="1" ht="15" hidden="1" customHeight="1">
      <c r="A990" s="64"/>
      <c r="B990" s="7">
        <f t="shared" si="235"/>
        <v>87</v>
      </c>
      <c r="C990" s="211"/>
      <c r="D990" s="211"/>
      <c r="E990" s="211"/>
      <c r="F990" s="211"/>
      <c r="G990" s="211"/>
      <c r="H990" s="211"/>
      <c r="I990" s="211"/>
      <c r="J990" s="16"/>
      <c r="K990" s="1"/>
      <c r="M990" s="1"/>
      <c r="N990" s="1"/>
      <c r="O990" s="1"/>
      <c r="P990" s="1"/>
      <c r="Q990" s="95"/>
      <c r="R990" s="5" t="b">
        <f t="shared" si="225"/>
        <v>0</v>
      </c>
    </row>
    <row r="991" spans="1:18" s="4" customFormat="1" ht="15" hidden="1" customHeight="1">
      <c r="A991" s="64"/>
      <c r="B991" s="7">
        <f t="shared" si="235"/>
        <v>88</v>
      </c>
      <c r="C991" s="211"/>
      <c r="D991" s="211"/>
      <c r="E991" s="211"/>
      <c r="F991" s="211"/>
      <c r="G991" s="211"/>
      <c r="H991" s="211"/>
      <c r="I991" s="211"/>
      <c r="J991" s="16"/>
      <c r="K991" s="1"/>
      <c r="M991" s="1"/>
      <c r="N991" s="1"/>
      <c r="O991" s="1"/>
      <c r="P991" s="1"/>
      <c r="Q991" s="95"/>
      <c r="R991" s="5" t="b">
        <f t="shared" si="225"/>
        <v>0</v>
      </c>
    </row>
    <row r="992" spans="1:18" s="4" customFormat="1" ht="15" hidden="1" customHeight="1">
      <c r="A992" s="64"/>
      <c r="B992" s="7">
        <f t="shared" si="235"/>
        <v>89</v>
      </c>
      <c r="C992" s="211"/>
      <c r="D992" s="211"/>
      <c r="E992" s="211"/>
      <c r="F992" s="211"/>
      <c r="G992" s="211"/>
      <c r="H992" s="211"/>
      <c r="I992" s="211"/>
      <c r="J992" s="16"/>
      <c r="K992" s="1"/>
      <c r="M992" s="1"/>
      <c r="N992" s="1"/>
      <c r="O992" s="1"/>
      <c r="P992" s="1"/>
      <c r="Q992" s="95"/>
      <c r="R992" s="5" t="b">
        <f t="shared" si="225"/>
        <v>0</v>
      </c>
    </row>
    <row r="993" spans="1:18" s="4" customFormat="1" ht="15" hidden="1" customHeight="1">
      <c r="A993" s="64"/>
      <c r="B993" s="7">
        <f t="shared" si="235"/>
        <v>90</v>
      </c>
      <c r="C993" s="211"/>
      <c r="D993" s="211"/>
      <c r="E993" s="211"/>
      <c r="F993" s="211"/>
      <c r="G993" s="211"/>
      <c r="H993" s="211"/>
      <c r="I993" s="211"/>
      <c r="J993" s="16"/>
      <c r="K993" s="1"/>
      <c r="M993" s="1"/>
      <c r="N993" s="1"/>
      <c r="O993" s="1"/>
      <c r="P993" s="1"/>
      <c r="Q993" s="95"/>
      <c r="R993" s="5" t="b">
        <f t="shared" si="225"/>
        <v>0</v>
      </c>
    </row>
    <row r="994" spans="1:18" s="4" customFormat="1" ht="15" hidden="1" customHeight="1">
      <c r="A994" s="64"/>
      <c r="B994" s="7">
        <f t="shared" si="235"/>
        <v>91</v>
      </c>
      <c r="C994" s="211"/>
      <c r="D994" s="211"/>
      <c r="E994" s="211"/>
      <c r="F994" s="211"/>
      <c r="G994" s="211"/>
      <c r="H994" s="211"/>
      <c r="I994" s="211"/>
      <c r="J994" s="16"/>
      <c r="K994" s="1"/>
      <c r="M994" s="1"/>
      <c r="N994" s="1"/>
      <c r="O994" s="1"/>
      <c r="P994" s="1"/>
      <c r="Q994" s="95"/>
      <c r="R994" s="5" t="b">
        <f t="shared" si="225"/>
        <v>0</v>
      </c>
    </row>
    <row r="995" spans="1:18" s="4" customFormat="1" ht="15" hidden="1" customHeight="1">
      <c r="A995" s="64"/>
      <c r="B995" s="7">
        <f t="shared" si="235"/>
        <v>92</v>
      </c>
      <c r="C995" s="211"/>
      <c r="D995" s="211"/>
      <c r="E995" s="211"/>
      <c r="F995" s="211"/>
      <c r="G995" s="211"/>
      <c r="H995" s="211"/>
      <c r="I995" s="211"/>
      <c r="J995" s="16"/>
      <c r="K995" s="1"/>
      <c r="M995" s="1"/>
      <c r="N995" s="1"/>
      <c r="O995" s="1"/>
      <c r="P995" s="1"/>
      <c r="Q995" s="95"/>
      <c r="R995" s="5" t="b">
        <f t="shared" si="225"/>
        <v>0</v>
      </c>
    </row>
    <row r="996" spans="1:18" s="4" customFormat="1" ht="15" hidden="1" customHeight="1">
      <c r="A996" s="64"/>
      <c r="B996" s="7">
        <f t="shared" si="235"/>
        <v>93</v>
      </c>
      <c r="C996" s="211"/>
      <c r="D996" s="211"/>
      <c r="E996" s="211"/>
      <c r="F996" s="211"/>
      <c r="G996" s="211"/>
      <c r="H996" s="211"/>
      <c r="I996" s="211"/>
      <c r="J996" s="16"/>
      <c r="K996" s="1"/>
      <c r="M996" s="1"/>
      <c r="N996" s="1"/>
      <c r="O996" s="1"/>
      <c r="P996" s="1"/>
      <c r="Q996" s="95"/>
      <c r="R996" s="5" t="b">
        <f t="shared" si="225"/>
        <v>0</v>
      </c>
    </row>
    <row r="997" spans="1:18" s="4" customFormat="1" ht="15" hidden="1" customHeight="1">
      <c r="A997" s="64"/>
      <c r="B997" s="7">
        <f t="shared" si="235"/>
        <v>94</v>
      </c>
      <c r="C997" s="211"/>
      <c r="D997" s="211"/>
      <c r="E997" s="211"/>
      <c r="F997" s="211"/>
      <c r="G997" s="211"/>
      <c r="H997" s="211"/>
      <c r="I997" s="211"/>
      <c r="J997" s="16"/>
      <c r="K997" s="1"/>
      <c r="M997" s="1"/>
      <c r="N997" s="1"/>
      <c r="O997" s="1"/>
      <c r="P997" s="1"/>
      <c r="Q997" s="95"/>
      <c r="R997" s="5" t="b">
        <f t="shared" si="225"/>
        <v>0</v>
      </c>
    </row>
    <row r="998" spans="1:18" s="4" customFormat="1" ht="15" hidden="1" customHeight="1">
      <c r="A998" s="64"/>
      <c r="B998" s="7">
        <f t="shared" si="235"/>
        <v>95</v>
      </c>
      <c r="C998" s="211"/>
      <c r="D998" s="211"/>
      <c r="E998" s="211"/>
      <c r="F998" s="211"/>
      <c r="G998" s="211"/>
      <c r="H998" s="211"/>
      <c r="I998" s="211"/>
      <c r="J998" s="16"/>
      <c r="K998" s="1"/>
      <c r="M998" s="1"/>
      <c r="N998" s="1"/>
      <c r="O998" s="1"/>
      <c r="P998" s="1"/>
      <c r="Q998" s="95"/>
      <c r="R998" s="5" t="b">
        <f t="shared" si="225"/>
        <v>0</v>
      </c>
    </row>
    <row r="999" spans="1:18" s="4" customFormat="1" ht="15" hidden="1" customHeight="1">
      <c r="A999" s="64"/>
      <c r="B999" s="7">
        <f t="shared" si="235"/>
        <v>96</v>
      </c>
      <c r="C999" s="211"/>
      <c r="D999" s="211"/>
      <c r="E999" s="211"/>
      <c r="F999" s="211"/>
      <c r="G999" s="211"/>
      <c r="H999" s="211"/>
      <c r="I999" s="211"/>
      <c r="J999" s="16"/>
      <c r="K999" s="1"/>
      <c r="M999" s="1"/>
      <c r="N999" s="1"/>
      <c r="O999" s="1"/>
      <c r="P999" s="1"/>
      <c r="Q999" s="95"/>
      <c r="R999" s="5" t="b">
        <f t="shared" si="225"/>
        <v>0</v>
      </c>
    </row>
    <row r="1000" spans="1:18" s="4" customFormat="1" ht="15" hidden="1" customHeight="1">
      <c r="A1000" s="64"/>
      <c r="B1000" s="7">
        <f t="shared" si="235"/>
        <v>97</v>
      </c>
      <c r="C1000" s="211"/>
      <c r="D1000" s="211"/>
      <c r="E1000" s="211"/>
      <c r="F1000" s="211"/>
      <c r="G1000" s="211"/>
      <c r="H1000" s="211"/>
      <c r="I1000" s="211"/>
      <c r="J1000" s="16"/>
      <c r="K1000" s="1"/>
      <c r="M1000" s="1"/>
      <c r="N1000" s="1"/>
      <c r="O1000" s="1"/>
      <c r="P1000" s="1"/>
      <c r="Q1000" s="95"/>
      <c r="R1000" s="5" t="b">
        <f t="shared" si="225"/>
        <v>0</v>
      </c>
    </row>
    <row r="1001" spans="1:18" s="4" customFormat="1" ht="15" hidden="1" customHeight="1">
      <c r="A1001" s="64"/>
      <c r="B1001" s="7">
        <f t="shared" si="235"/>
        <v>98</v>
      </c>
      <c r="C1001" s="211"/>
      <c r="D1001" s="211"/>
      <c r="E1001" s="211"/>
      <c r="F1001" s="211"/>
      <c r="G1001" s="211"/>
      <c r="H1001" s="211"/>
      <c r="I1001" s="211"/>
      <c r="J1001" s="16"/>
      <c r="K1001" s="1"/>
      <c r="M1001" s="1"/>
      <c r="N1001" s="1"/>
      <c r="O1001" s="1"/>
      <c r="P1001" s="1"/>
      <c r="Q1001" s="95"/>
      <c r="R1001" s="5" t="b">
        <f t="shared" si="225"/>
        <v>0</v>
      </c>
    </row>
    <row r="1002" spans="1:18" s="4" customFormat="1" ht="15" hidden="1" customHeight="1">
      <c r="A1002" s="64"/>
      <c r="B1002" s="7">
        <f t="shared" si="235"/>
        <v>99</v>
      </c>
      <c r="C1002" s="211"/>
      <c r="D1002" s="211"/>
      <c r="E1002" s="211"/>
      <c r="F1002" s="211"/>
      <c r="G1002" s="211"/>
      <c r="H1002" s="211"/>
      <c r="I1002" s="211"/>
      <c r="J1002" s="16"/>
      <c r="K1002" s="1"/>
      <c r="M1002" s="1"/>
      <c r="N1002" s="1"/>
      <c r="O1002" s="1"/>
      <c r="P1002" s="1"/>
      <c r="Q1002" s="95"/>
      <c r="R1002" s="5" t="b">
        <f t="shared" si="225"/>
        <v>0</v>
      </c>
    </row>
    <row r="1003" spans="1:18" s="4" customFormat="1" ht="15" hidden="1" customHeight="1">
      <c r="A1003" s="64"/>
      <c r="B1003" s="7">
        <f t="shared" si="235"/>
        <v>100</v>
      </c>
      <c r="C1003" s="211"/>
      <c r="D1003" s="211"/>
      <c r="E1003" s="211"/>
      <c r="F1003" s="211"/>
      <c r="G1003" s="211"/>
      <c r="H1003" s="211"/>
      <c r="I1003" s="211"/>
      <c r="J1003" s="16"/>
      <c r="K1003" s="1"/>
      <c r="M1003" s="1"/>
      <c r="N1003" s="1"/>
      <c r="O1003" s="1"/>
      <c r="P1003" s="1"/>
      <c r="Q1003" s="95"/>
      <c r="R1003" s="5" t="b">
        <f t="shared" si="225"/>
        <v>0</v>
      </c>
    </row>
    <row r="1004" spans="1:18" s="4" customFormat="1" ht="15" hidden="1" customHeight="1">
      <c r="A1004" s="64"/>
      <c r="B1004" s="7">
        <f t="shared" si="235"/>
        <v>101</v>
      </c>
      <c r="C1004" s="211"/>
      <c r="D1004" s="211"/>
      <c r="E1004" s="211"/>
      <c r="F1004" s="211"/>
      <c r="G1004" s="211"/>
      <c r="H1004" s="211"/>
      <c r="I1004" s="211"/>
      <c r="J1004" s="16"/>
      <c r="K1004" s="1"/>
      <c r="M1004" s="1"/>
      <c r="N1004" s="1"/>
      <c r="O1004" s="1"/>
      <c r="P1004" s="1"/>
      <c r="Q1004" s="95"/>
      <c r="R1004" s="5" t="b">
        <f t="shared" si="225"/>
        <v>0</v>
      </c>
    </row>
    <row r="1005" spans="1:18" s="4" customFormat="1" ht="15" hidden="1" customHeight="1">
      <c r="A1005" s="64"/>
      <c r="B1005" s="7">
        <f t="shared" si="235"/>
        <v>102</v>
      </c>
      <c r="C1005" s="211"/>
      <c r="D1005" s="211"/>
      <c r="E1005" s="211"/>
      <c r="F1005" s="211"/>
      <c r="G1005" s="211"/>
      <c r="H1005" s="211"/>
      <c r="I1005" s="211"/>
      <c r="J1005" s="16"/>
      <c r="K1005" s="1"/>
      <c r="M1005" s="1"/>
      <c r="N1005" s="1"/>
      <c r="O1005" s="1"/>
      <c r="P1005" s="1"/>
      <c r="Q1005" s="95"/>
      <c r="R1005" s="5" t="b">
        <f t="shared" si="225"/>
        <v>0</v>
      </c>
    </row>
    <row r="1006" spans="1:18" s="4" customFormat="1" ht="15" hidden="1" customHeight="1">
      <c r="A1006" s="64"/>
      <c r="B1006" s="7">
        <f t="shared" si="235"/>
        <v>103</v>
      </c>
      <c r="C1006" s="211"/>
      <c r="D1006" s="211"/>
      <c r="E1006" s="211"/>
      <c r="F1006" s="211"/>
      <c r="G1006" s="211"/>
      <c r="H1006" s="211"/>
      <c r="I1006" s="211"/>
      <c r="J1006" s="16"/>
      <c r="K1006" s="1"/>
      <c r="M1006" s="1"/>
      <c r="N1006" s="1"/>
      <c r="O1006" s="1"/>
      <c r="P1006" s="1"/>
      <c r="Q1006" s="95"/>
      <c r="R1006" s="5" t="b">
        <f t="shared" si="225"/>
        <v>0</v>
      </c>
    </row>
    <row r="1007" spans="1:18" s="4" customFormat="1" ht="15" hidden="1" customHeight="1">
      <c r="A1007" s="64"/>
      <c r="B1007" s="7">
        <f t="shared" si="235"/>
        <v>104</v>
      </c>
      <c r="C1007" s="211"/>
      <c r="D1007" s="211"/>
      <c r="E1007" s="211"/>
      <c r="F1007" s="211"/>
      <c r="G1007" s="211"/>
      <c r="H1007" s="211"/>
      <c r="I1007" s="211"/>
      <c r="J1007" s="16"/>
      <c r="K1007" s="1"/>
      <c r="M1007" s="1"/>
      <c r="N1007" s="1"/>
      <c r="O1007" s="1"/>
      <c r="P1007" s="1"/>
      <c r="Q1007" s="95"/>
      <c r="R1007" s="5" t="b">
        <f t="shared" ref="R1007:R1070" si="236">IF(O1007&gt;89.9999999999999%,"PAMA")</f>
        <v>0</v>
      </c>
    </row>
    <row r="1008" spans="1:18" s="4" customFormat="1" ht="15" hidden="1" customHeight="1">
      <c r="A1008" s="64"/>
      <c r="B1008" s="7">
        <f t="shared" si="235"/>
        <v>105</v>
      </c>
      <c r="C1008" s="211"/>
      <c r="D1008" s="211"/>
      <c r="E1008" s="211"/>
      <c r="F1008" s="211"/>
      <c r="G1008" s="211"/>
      <c r="H1008" s="211"/>
      <c r="I1008" s="211"/>
      <c r="J1008" s="16"/>
      <c r="K1008" s="1"/>
      <c r="M1008" s="1"/>
      <c r="N1008" s="1"/>
      <c r="O1008" s="1"/>
      <c r="P1008" s="1"/>
      <c r="Q1008" s="95"/>
      <c r="R1008" s="5" t="b">
        <f t="shared" si="236"/>
        <v>0</v>
      </c>
    </row>
    <row r="1009" spans="1:18" s="4" customFormat="1" ht="15" hidden="1" customHeight="1">
      <c r="A1009" s="64"/>
      <c r="B1009" s="7">
        <f t="shared" si="235"/>
        <v>106</v>
      </c>
      <c r="C1009" s="211"/>
      <c r="D1009" s="211"/>
      <c r="E1009" s="211"/>
      <c r="F1009" s="211"/>
      <c r="G1009" s="211"/>
      <c r="H1009" s="211"/>
      <c r="I1009" s="211"/>
      <c r="J1009" s="16"/>
      <c r="K1009" s="1"/>
      <c r="M1009" s="1"/>
      <c r="N1009" s="1"/>
      <c r="O1009" s="1"/>
      <c r="P1009" s="1"/>
      <c r="Q1009" s="95"/>
      <c r="R1009" s="5" t="b">
        <f t="shared" si="236"/>
        <v>0</v>
      </c>
    </row>
    <row r="1010" spans="1:18" s="4" customFormat="1" ht="15" hidden="1" customHeight="1">
      <c r="A1010" s="64"/>
      <c r="B1010" s="7">
        <f t="shared" si="235"/>
        <v>107</v>
      </c>
      <c r="C1010" s="211"/>
      <c r="D1010" s="211"/>
      <c r="E1010" s="211"/>
      <c r="F1010" s="211"/>
      <c r="G1010" s="211"/>
      <c r="H1010" s="211"/>
      <c r="I1010" s="211"/>
      <c r="J1010" s="16"/>
      <c r="K1010" s="1"/>
      <c r="M1010" s="1"/>
      <c r="N1010" s="1"/>
      <c r="O1010" s="1"/>
      <c r="P1010" s="1"/>
      <c r="Q1010" s="95"/>
      <c r="R1010" s="5" t="b">
        <f t="shared" si="236"/>
        <v>0</v>
      </c>
    </row>
    <row r="1011" spans="1:18" s="4" customFormat="1" ht="15" hidden="1" customHeight="1">
      <c r="A1011" s="64"/>
      <c r="B1011" s="7">
        <f t="shared" si="235"/>
        <v>108</v>
      </c>
      <c r="C1011" s="211"/>
      <c r="D1011" s="211"/>
      <c r="E1011" s="211"/>
      <c r="F1011" s="211"/>
      <c r="G1011" s="211"/>
      <c r="H1011" s="211"/>
      <c r="I1011" s="211"/>
      <c r="J1011" s="16"/>
      <c r="K1011" s="1"/>
      <c r="M1011" s="1"/>
      <c r="N1011" s="1"/>
      <c r="O1011" s="1"/>
      <c r="P1011" s="1"/>
      <c r="Q1011" s="95"/>
      <c r="R1011" s="5" t="b">
        <f t="shared" si="236"/>
        <v>0</v>
      </c>
    </row>
    <row r="1012" spans="1:18" s="4" customFormat="1" ht="15" hidden="1" customHeight="1">
      <c r="A1012" s="64"/>
      <c r="B1012" s="7">
        <f t="shared" si="235"/>
        <v>109</v>
      </c>
      <c r="C1012" s="211"/>
      <c r="D1012" s="211"/>
      <c r="E1012" s="211"/>
      <c r="F1012" s="211"/>
      <c r="G1012" s="211"/>
      <c r="H1012" s="211"/>
      <c r="I1012" s="211"/>
      <c r="J1012" s="16"/>
      <c r="K1012" s="1"/>
      <c r="M1012" s="1"/>
      <c r="N1012" s="1"/>
      <c r="O1012" s="1"/>
      <c r="P1012" s="1"/>
      <c r="Q1012" s="95"/>
      <c r="R1012" s="5" t="b">
        <f t="shared" si="236"/>
        <v>0</v>
      </c>
    </row>
    <row r="1013" spans="1:18" s="4" customFormat="1" ht="15" hidden="1" customHeight="1">
      <c r="A1013" s="64"/>
      <c r="B1013" s="7">
        <f t="shared" si="235"/>
        <v>110</v>
      </c>
      <c r="C1013" s="211"/>
      <c r="D1013" s="211"/>
      <c r="E1013" s="211"/>
      <c r="F1013" s="211"/>
      <c r="G1013" s="211"/>
      <c r="H1013" s="211"/>
      <c r="I1013" s="211"/>
      <c r="J1013" s="16"/>
      <c r="K1013" s="1"/>
      <c r="M1013" s="1"/>
      <c r="N1013" s="1"/>
      <c r="O1013" s="1"/>
      <c r="P1013" s="1"/>
      <c r="Q1013" s="95"/>
      <c r="R1013" s="5" t="b">
        <f t="shared" si="236"/>
        <v>0</v>
      </c>
    </row>
    <row r="1014" spans="1:18" s="4" customFormat="1" ht="15" hidden="1" customHeight="1">
      <c r="A1014" s="64"/>
      <c r="B1014" s="7">
        <f t="shared" si="235"/>
        <v>111</v>
      </c>
      <c r="C1014" s="211"/>
      <c r="D1014" s="211"/>
      <c r="E1014" s="211"/>
      <c r="F1014" s="211"/>
      <c r="G1014" s="211"/>
      <c r="H1014" s="211"/>
      <c r="I1014" s="211"/>
      <c r="J1014" s="16"/>
      <c r="K1014" s="1"/>
      <c r="M1014" s="1"/>
      <c r="N1014" s="1"/>
      <c r="O1014" s="1"/>
      <c r="P1014" s="1"/>
      <c r="Q1014" s="95"/>
      <c r="R1014" s="5" t="b">
        <f t="shared" si="236"/>
        <v>0</v>
      </c>
    </row>
    <row r="1015" spans="1:18" s="4" customFormat="1" ht="15" hidden="1" customHeight="1">
      <c r="A1015" s="64"/>
      <c r="B1015" s="7">
        <f t="shared" si="235"/>
        <v>112</v>
      </c>
      <c r="C1015" s="211"/>
      <c r="D1015" s="211"/>
      <c r="E1015" s="211"/>
      <c r="F1015" s="211"/>
      <c r="G1015" s="211"/>
      <c r="H1015" s="211"/>
      <c r="I1015" s="211"/>
      <c r="J1015" s="16"/>
      <c r="K1015" s="1"/>
      <c r="M1015" s="1"/>
      <c r="N1015" s="1"/>
      <c r="O1015" s="1"/>
      <c r="P1015" s="1"/>
      <c r="Q1015" s="95"/>
      <c r="R1015" s="5" t="b">
        <f t="shared" si="236"/>
        <v>0</v>
      </c>
    </row>
    <row r="1016" spans="1:18" s="4" customFormat="1" ht="15" hidden="1" customHeight="1">
      <c r="A1016" s="64"/>
      <c r="B1016" s="7">
        <f t="shared" si="235"/>
        <v>113</v>
      </c>
      <c r="C1016" s="211"/>
      <c r="D1016" s="211"/>
      <c r="E1016" s="211"/>
      <c r="F1016" s="211"/>
      <c r="G1016" s="211"/>
      <c r="H1016" s="211"/>
      <c r="I1016" s="211"/>
      <c r="J1016" s="16"/>
      <c r="K1016" s="1"/>
      <c r="M1016" s="1"/>
      <c r="N1016" s="1"/>
      <c r="O1016" s="1"/>
      <c r="P1016" s="1"/>
      <c r="Q1016" s="95"/>
      <c r="R1016" s="5" t="b">
        <f t="shared" si="236"/>
        <v>0</v>
      </c>
    </row>
    <row r="1017" spans="1:18" s="4" customFormat="1" ht="15" hidden="1" customHeight="1">
      <c r="A1017" s="64"/>
      <c r="B1017" s="7">
        <f t="shared" si="235"/>
        <v>114</v>
      </c>
      <c r="C1017" s="211"/>
      <c r="D1017" s="211"/>
      <c r="E1017" s="211"/>
      <c r="F1017" s="211"/>
      <c r="G1017" s="211"/>
      <c r="H1017" s="211"/>
      <c r="I1017" s="211"/>
      <c r="J1017" s="16"/>
      <c r="K1017" s="1"/>
      <c r="M1017" s="1"/>
      <c r="N1017" s="1"/>
      <c r="O1017" s="1"/>
      <c r="P1017" s="1"/>
      <c r="Q1017" s="95"/>
      <c r="R1017" s="5" t="b">
        <f t="shared" si="236"/>
        <v>0</v>
      </c>
    </row>
    <row r="1018" spans="1:18" s="4" customFormat="1" ht="15" hidden="1" customHeight="1">
      <c r="A1018" s="64"/>
      <c r="B1018" s="7">
        <f t="shared" si="235"/>
        <v>115</v>
      </c>
      <c r="C1018" s="211"/>
      <c r="D1018" s="211"/>
      <c r="E1018" s="211"/>
      <c r="F1018" s="211"/>
      <c r="G1018" s="211"/>
      <c r="H1018" s="211"/>
      <c r="I1018" s="211"/>
      <c r="J1018" s="16"/>
      <c r="K1018" s="1"/>
      <c r="M1018" s="1"/>
      <c r="N1018" s="1"/>
      <c r="O1018" s="1"/>
      <c r="P1018" s="1"/>
      <c r="Q1018" s="95"/>
      <c r="R1018" s="5" t="b">
        <f t="shared" si="236"/>
        <v>0</v>
      </c>
    </row>
    <row r="1019" spans="1:18" s="4" customFormat="1" ht="15" hidden="1" customHeight="1">
      <c r="A1019" s="64"/>
      <c r="B1019" s="7">
        <f t="shared" si="235"/>
        <v>116</v>
      </c>
      <c r="C1019" s="211"/>
      <c r="D1019" s="211"/>
      <c r="E1019" s="211"/>
      <c r="F1019" s="211"/>
      <c r="G1019" s="211"/>
      <c r="H1019" s="211"/>
      <c r="I1019" s="211"/>
      <c r="J1019" s="16"/>
      <c r="K1019" s="1"/>
      <c r="M1019" s="1"/>
      <c r="N1019" s="1"/>
      <c r="O1019" s="1"/>
      <c r="P1019" s="1"/>
      <c r="Q1019" s="95"/>
      <c r="R1019" s="5" t="b">
        <f t="shared" si="236"/>
        <v>0</v>
      </c>
    </row>
    <row r="1020" spans="1:18" s="4" customFormat="1" ht="15" hidden="1" customHeight="1">
      <c r="A1020" s="64"/>
      <c r="B1020" s="7">
        <f t="shared" si="235"/>
        <v>117</v>
      </c>
      <c r="C1020" s="211"/>
      <c r="D1020" s="211"/>
      <c r="E1020" s="211"/>
      <c r="F1020" s="211"/>
      <c r="G1020" s="211"/>
      <c r="H1020" s="211"/>
      <c r="I1020" s="211"/>
      <c r="J1020" s="16"/>
      <c r="K1020" s="1"/>
      <c r="M1020" s="1"/>
      <c r="N1020" s="1"/>
      <c r="O1020" s="1"/>
      <c r="P1020" s="1"/>
      <c r="Q1020" s="95"/>
      <c r="R1020" s="5" t="b">
        <f t="shared" si="236"/>
        <v>0</v>
      </c>
    </row>
    <row r="1021" spans="1:18" s="4" customFormat="1" ht="15" hidden="1" customHeight="1">
      <c r="A1021" s="64"/>
      <c r="B1021" s="7">
        <f t="shared" si="235"/>
        <v>118</v>
      </c>
      <c r="C1021" s="211"/>
      <c r="D1021" s="211"/>
      <c r="E1021" s="211"/>
      <c r="F1021" s="211"/>
      <c r="G1021" s="211"/>
      <c r="H1021" s="211"/>
      <c r="I1021" s="211"/>
      <c r="J1021" s="16"/>
      <c r="K1021" s="1"/>
      <c r="M1021" s="1"/>
      <c r="N1021" s="1"/>
      <c r="O1021" s="1"/>
      <c r="P1021" s="1"/>
      <c r="Q1021" s="95"/>
      <c r="R1021" s="5" t="b">
        <f t="shared" si="236"/>
        <v>0</v>
      </c>
    </row>
    <row r="1022" spans="1:18" s="4" customFormat="1" ht="15" hidden="1" customHeight="1">
      <c r="A1022" s="64"/>
      <c r="B1022" s="7">
        <f t="shared" si="235"/>
        <v>119</v>
      </c>
      <c r="C1022" s="211"/>
      <c r="D1022" s="211"/>
      <c r="E1022" s="211"/>
      <c r="F1022" s="211"/>
      <c r="G1022" s="211"/>
      <c r="H1022" s="211"/>
      <c r="I1022" s="211"/>
      <c r="J1022" s="16"/>
      <c r="K1022" s="1"/>
      <c r="M1022" s="1"/>
      <c r="N1022" s="1"/>
      <c r="O1022" s="1"/>
      <c r="P1022" s="1"/>
      <c r="Q1022" s="95"/>
      <c r="R1022" s="5" t="b">
        <f t="shared" si="236"/>
        <v>0</v>
      </c>
    </row>
    <row r="1023" spans="1:18" s="4" customFormat="1" ht="15" hidden="1" customHeight="1">
      <c r="A1023" s="64"/>
      <c r="B1023" s="7">
        <f t="shared" si="235"/>
        <v>120</v>
      </c>
      <c r="C1023" s="211"/>
      <c r="D1023" s="211"/>
      <c r="E1023" s="211"/>
      <c r="F1023" s="211"/>
      <c r="G1023" s="211"/>
      <c r="H1023" s="211"/>
      <c r="I1023" s="211"/>
      <c r="J1023" s="16"/>
      <c r="K1023" s="1"/>
      <c r="M1023" s="1"/>
      <c r="N1023" s="1"/>
      <c r="O1023" s="1"/>
      <c r="P1023" s="1"/>
      <c r="Q1023" s="95"/>
      <c r="R1023" s="5" t="b">
        <f t="shared" si="236"/>
        <v>0</v>
      </c>
    </row>
    <row r="1024" spans="1:18" s="4" customFormat="1" ht="15" hidden="1" customHeight="1">
      <c r="A1024" s="64"/>
      <c r="B1024" s="7">
        <f t="shared" si="235"/>
        <v>121</v>
      </c>
      <c r="C1024" s="211"/>
      <c r="D1024" s="211"/>
      <c r="E1024" s="211"/>
      <c r="F1024" s="211"/>
      <c r="G1024" s="211"/>
      <c r="H1024" s="211"/>
      <c r="I1024" s="211"/>
      <c r="J1024" s="16"/>
      <c r="K1024" s="1"/>
      <c r="M1024" s="1"/>
      <c r="N1024" s="1"/>
      <c r="O1024" s="1"/>
      <c r="P1024" s="1"/>
      <c r="Q1024" s="95"/>
      <c r="R1024" s="5" t="b">
        <f t="shared" si="236"/>
        <v>0</v>
      </c>
    </row>
    <row r="1025" spans="1:18" s="4" customFormat="1" ht="15" hidden="1" customHeight="1">
      <c r="A1025" s="64"/>
      <c r="B1025" s="7">
        <f t="shared" si="235"/>
        <v>122</v>
      </c>
      <c r="C1025" s="211"/>
      <c r="D1025" s="211"/>
      <c r="E1025" s="211"/>
      <c r="F1025" s="211"/>
      <c r="G1025" s="211"/>
      <c r="H1025" s="211"/>
      <c r="I1025" s="211"/>
      <c r="J1025" s="16"/>
      <c r="K1025" s="1"/>
      <c r="M1025" s="1"/>
      <c r="N1025" s="1"/>
      <c r="O1025" s="1"/>
      <c r="P1025" s="1"/>
      <c r="Q1025" s="95"/>
      <c r="R1025" s="5" t="b">
        <f t="shared" si="236"/>
        <v>0</v>
      </c>
    </row>
    <row r="1026" spans="1:18" s="4" customFormat="1" ht="15" hidden="1" customHeight="1">
      <c r="A1026" s="64"/>
      <c r="B1026" s="7">
        <f t="shared" si="235"/>
        <v>123</v>
      </c>
      <c r="C1026" s="211"/>
      <c r="D1026" s="211"/>
      <c r="E1026" s="211"/>
      <c r="F1026" s="211"/>
      <c r="G1026" s="211"/>
      <c r="H1026" s="211"/>
      <c r="I1026" s="211"/>
      <c r="J1026" s="16"/>
      <c r="K1026" s="1"/>
      <c r="M1026" s="1"/>
      <c r="N1026" s="1"/>
      <c r="O1026" s="1"/>
      <c r="P1026" s="1"/>
      <c r="Q1026" s="95"/>
      <c r="R1026" s="5" t="b">
        <f t="shared" si="236"/>
        <v>0</v>
      </c>
    </row>
    <row r="1027" spans="1:18" s="4" customFormat="1" ht="15" hidden="1" customHeight="1">
      <c r="A1027" s="64"/>
      <c r="B1027" s="7">
        <f t="shared" si="235"/>
        <v>124</v>
      </c>
      <c r="C1027" s="211"/>
      <c r="D1027" s="211"/>
      <c r="E1027" s="211"/>
      <c r="F1027" s="211"/>
      <c r="G1027" s="211"/>
      <c r="H1027" s="211"/>
      <c r="I1027" s="211"/>
      <c r="J1027" s="16"/>
      <c r="K1027" s="1"/>
      <c r="M1027" s="1"/>
      <c r="N1027" s="1"/>
      <c r="O1027" s="1"/>
      <c r="P1027" s="1"/>
      <c r="Q1027" s="95"/>
      <c r="R1027" s="5" t="b">
        <f t="shared" si="236"/>
        <v>0</v>
      </c>
    </row>
    <row r="1028" spans="1:18" s="4" customFormat="1" ht="15" hidden="1" customHeight="1">
      <c r="A1028" s="64"/>
      <c r="B1028" s="7">
        <f t="shared" si="235"/>
        <v>125</v>
      </c>
      <c r="C1028" s="211"/>
      <c r="D1028" s="211"/>
      <c r="E1028" s="211"/>
      <c r="F1028" s="211"/>
      <c r="G1028" s="211"/>
      <c r="H1028" s="211"/>
      <c r="I1028" s="211"/>
      <c r="J1028" s="16"/>
      <c r="K1028" s="1"/>
      <c r="M1028" s="1"/>
      <c r="N1028" s="1"/>
      <c r="O1028" s="1"/>
      <c r="P1028" s="1"/>
      <c r="Q1028" s="95"/>
      <c r="R1028" s="5" t="b">
        <f t="shared" si="236"/>
        <v>0</v>
      </c>
    </row>
    <row r="1029" spans="1:18" s="4" customFormat="1" ht="15" hidden="1" customHeight="1">
      <c r="A1029" s="64"/>
      <c r="B1029" s="7">
        <f t="shared" ref="B1029:B1103" si="237">B1028+1</f>
        <v>126</v>
      </c>
      <c r="C1029" s="211"/>
      <c r="D1029" s="211"/>
      <c r="E1029" s="211"/>
      <c r="F1029" s="211"/>
      <c r="G1029" s="211"/>
      <c r="H1029" s="211"/>
      <c r="I1029" s="211"/>
      <c r="J1029" s="16"/>
      <c r="K1029" s="1"/>
      <c r="M1029" s="1"/>
      <c r="N1029" s="1"/>
      <c r="O1029" s="1"/>
      <c r="P1029" s="1"/>
      <c r="Q1029" s="95"/>
      <c r="R1029" s="5" t="b">
        <f t="shared" si="236"/>
        <v>0</v>
      </c>
    </row>
    <row r="1030" spans="1:18" s="4" customFormat="1" ht="15" hidden="1" customHeight="1">
      <c r="A1030" s="64"/>
      <c r="B1030" s="7">
        <f t="shared" si="237"/>
        <v>127</v>
      </c>
      <c r="C1030" s="211"/>
      <c r="D1030" s="211"/>
      <c r="E1030" s="211"/>
      <c r="F1030" s="211"/>
      <c r="G1030" s="211"/>
      <c r="H1030" s="211"/>
      <c r="I1030" s="211"/>
      <c r="J1030" s="16"/>
      <c r="K1030" s="1"/>
      <c r="M1030" s="1"/>
      <c r="N1030" s="1"/>
      <c r="O1030" s="1"/>
      <c r="P1030" s="1"/>
      <c r="Q1030" s="95"/>
      <c r="R1030" s="5" t="b">
        <f t="shared" si="236"/>
        <v>0</v>
      </c>
    </row>
    <row r="1031" spans="1:18" s="4" customFormat="1" ht="15" hidden="1" customHeight="1">
      <c r="A1031" s="64"/>
      <c r="B1031" s="7">
        <f t="shared" si="237"/>
        <v>128</v>
      </c>
      <c r="C1031" s="211"/>
      <c r="D1031" s="211"/>
      <c r="E1031" s="211"/>
      <c r="F1031" s="211"/>
      <c r="G1031" s="211"/>
      <c r="H1031" s="211"/>
      <c r="I1031" s="211"/>
      <c r="J1031" s="16"/>
      <c r="K1031" s="1"/>
      <c r="M1031" s="1"/>
      <c r="N1031" s="1"/>
      <c r="O1031" s="1"/>
      <c r="P1031" s="1"/>
      <c r="Q1031" s="95"/>
      <c r="R1031" s="5" t="b">
        <f t="shared" si="236"/>
        <v>0</v>
      </c>
    </row>
    <row r="1032" spans="1:18" s="4" customFormat="1" ht="15" hidden="1" customHeight="1">
      <c r="A1032" s="64"/>
      <c r="B1032" s="7">
        <f t="shared" si="237"/>
        <v>129</v>
      </c>
      <c r="C1032" s="211"/>
      <c r="D1032" s="211"/>
      <c r="E1032" s="211"/>
      <c r="F1032" s="211"/>
      <c r="G1032" s="211"/>
      <c r="H1032" s="211"/>
      <c r="I1032" s="211"/>
      <c r="J1032" s="16"/>
      <c r="K1032" s="1"/>
      <c r="M1032" s="1"/>
      <c r="N1032" s="1"/>
      <c r="O1032" s="1"/>
      <c r="P1032" s="1"/>
      <c r="Q1032" s="95"/>
      <c r="R1032" s="5" t="b">
        <f t="shared" si="236"/>
        <v>0</v>
      </c>
    </row>
    <row r="1033" spans="1:18" s="4" customFormat="1" ht="15" hidden="1" customHeight="1">
      <c r="A1033" s="64"/>
      <c r="B1033" s="7">
        <f t="shared" si="237"/>
        <v>130</v>
      </c>
      <c r="C1033" s="211"/>
      <c r="D1033" s="211"/>
      <c r="E1033" s="211"/>
      <c r="F1033" s="211"/>
      <c r="G1033" s="211"/>
      <c r="H1033" s="211"/>
      <c r="I1033" s="211"/>
      <c r="J1033" s="16"/>
      <c r="K1033" s="1"/>
      <c r="M1033" s="1"/>
      <c r="N1033" s="1"/>
      <c r="O1033" s="1"/>
      <c r="P1033" s="1"/>
      <c r="Q1033" s="95"/>
      <c r="R1033" s="5" t="b">
        <f t="shared" si="236"/>
        <v>0</v>
      </c>
    </row>
    <row r="1034" spans="1:18" s="4" customFormat="1" ht="15" hidden="1" customHeight="1">
      <c r="A1034" s="64"/>
      <c r="B1034" s="7">
        <f t="shared" si="237"/>
        <v>131</v>
      </c>
      <c r="C1034" s="211"/>
      <c r="D1034" s="211"/>
      <c r="E1034" s="211"/>
      <c r="F1034" s="211"/>
      <c r="G1034" s="211"/>
      <c r="H1034" s="211"/>
      <c r="I1034" s="211"/>
      <c r="J1034" s="16"/>
      <c r="K1034" s="1"/>
      <c r="M1034" s="1"/>
      <c r="N1034" s="1"/>
      <c r="O1034" s="1"/>
      <c r="P1034" s="1"/>
      <c r="Q1034" s="95"/>
      <c r="R1034" s="5" t="b">
        <f t="shared" si="236"/>
        <v>0</v>
      </c>
    </row>
    <row r="1035" spans="1:18" s="4" customFormat="1" ht="15" hidden="1" customHeight="1">
      <c r="A1035" s="64"/>
      <c r="B1035" s="7">
        <f t="shared" si="237"/>
        <v>132</v>
      </c>
      <c r="C1035" s="211"/>
      <c r="D1035" s="211"/>
      <c r="E1035" s="211"/>
      <c r="F1035" s="211"/>
      <c r="G1035" s="211"/>
      <c r="H1035" s="211"/>
      <c r="I1035" s="211"/>
      <c r="J1035" s="16"/>
      <c r="K1035" s="1"/>
      <c r="M1035" s="1"/>
      <c r="N1035" s="1"/>
      <c r="O1035" s="1"/>
      <c r="P1035" s="1"/>
      <c r="Q1035" s="95"/>
      <c r="R1035" s="5" t="b">
        <f t="shared" si="236"/>
        <v>0</v>
      </c>
    </row>
    <row r="1036" spans="1:18" s="4" customFormat="1" ht="15" hidden="1" customHeight="1">
      <c r="A1036" s="64"/>
      <c r="B1036" s="7">
        <f t="shared" si="237"/>
        <v>133</v>
      </c>
      <c r="C1036" s="211"/>
      <c r="D1036" s="211"/>
      <c r="E1036" s="211"/>
      <c r="F1036" s="211"/>
      <c r="G1036" s="211"/>
      <c r="H1036" s="211"/>
      <c r="I1036" s="211"/>
      <c r="J1036" s="16"/>
      <c r="K1036" s="1"/>
      <c r="M1036" s="1"/>
      <c r="N1036" s="1"/>
      <c r="O1036" s="1"/>
      <c r="P1036" s="1"/>
      <c r="Q1036" s="95"/>
      <c r="R1036" s="5" t="b">
        <f t="shared" si="236"/>
        <v>0</v>
      </c>
    </row>
    <row r="1037" spans="1:18" s="4" customFormat="1" ht="15" hidden="1" customHeight="1">
      <c r="A1037" s="64"/>
      <c r="B1037" s="7">
        <f t="shared" si="237"/>
        <v>134</v>
      </c>
      <c r="C1037" s="211"/>
      <c r="D1037" s="211"/>
      <c r="E1037" s="211"/>
      <c r="F1037" s="211"/>
      <c r="G1037" s="211"/>
      <c r="H1037" s="211"/>
      <c r="I1037" s="211"/>
      <c r="J1037" s="16"/>
      <c r="K1037" s="1"/>
      <c r="M1037" s="1"/>
      <c r="N1037" s="1"/>
      <c r="O1037" s="1"/>
      <c r="P1037" s="1"/>
      <c r="Q1037" s="95"/>
      <c r="R1037" s="5" t="b">
        <f t="shared" si="236"/>
        <v>0</v>
      </c>
    </row>
    <row r="1038" spans="1:18" s="4" customFormat="1" ht="15" hidden="1" customHeight="1">
      <c r="A1038" s="64"/>
      <c r="B1038" s="7">
        <f t="shared" si="237"/>
        <v>135</v>
      </c>
      <c r="C1038" s="211"/>
      <c r="D1038" s="211"/>
      <c r="E1038" s="211"/>
      <c r="F1038" s="211"/>
      <c r="G1038" s="211"/>
      <c r="H1038" s="211"/>
      <c r="I1038" s="211"/>
      <c r="J1038" s="16"/>
      <c r="K1038" s="1"/>
      <c r="M1038" s="1"/>
      <c r="N1038" s="1"/>
      <c r="O1038" s="1"/>
      <c r="P1038" s="1"/>
      <c r="Q1038" s="95"/>
      <c r="R1038" s="5" t="b">
        <f t="shared" si="236"/>
        <v>0</v>
      </c>
    </row>
    <row r="1039" spans="1:18" s="4" customFormat="1" ht="15" hidden="1" customHeight="1">
      <c r="A1039" s="64"/>
      <c r="B1039" s="7">
        <f t="shared" si="237"/>
        <v>136</v>
      </c>
      <c r="C1039" s="211"/>
      <c r="D1039" s="211"/>
      <c r="E1039" s="211"/>
      <c r="F1039" s="211"/>
      <c r="G1039" s="211"/>
      <c r="H1039" s="211"/>
      <c r="I1039" s="211"/>
      <c r="J1039" s="16"/>
      <c r="K1039" s="1"/>
      <c r="M1039" s="1"/>
      <c r="N1039" s="1"/>
      <c r="O1039" s="1"/>
      <c r="P1039" s="1"/>
      <c r="Q1039" s="95"/>
      <c r="R1039" s="5" t="b">
        <f t="shared" si="236"/>
        <v>0</v>
      </c>
    </row>
    <row r="1040" spans="1:18" s="4" customFormat="1" ht="15" hidden="1" customHeight="1">
      <c r="A1040" s="64"/>
      <c r="B1040" s="7">
        <f t="shared" si="237"/>
        <v>137</v>
      </c>
      <c r="C1040" s="211"/>
      <c r="D1040" s="211"/>
      <c r="E1040" s="211"/>
      <c r="F1040" s="211"/>
      <c r="G1040" s="211"/>
      <c r="H1040" s="211"/>
      <c r="I1040" s="211"/>
      <c r="J1040" s="16"/>
      <c r="K1040" s="1"/>
      <c r="M1040" s="1"/>
      <c r="N1040" s="1"/>
      <c r="O1040" s="1"/>
      <c r="P1040" s="1"/>
      <c r="Q1040" s="95"/>
      <c r="R1040" s="5" t="b">
        <f t="shared" si="236"/>
        <v>0</v>
      </c>
    </row>
    <row r="1041" spans="1:18" s="4" customFormat="1" ht="15" hidden="1" customHeight="1">
      <c r="A1041" s="64"/>
      <c r="B1041" s="7">
        <f t="shared" si="237"/>
        <v>138</v>
      </c>
      <c r="C1041" s="211"/>
      <c r="D1041" s="211"/>
      <c r="E1041" s="211"/>
      <c r="F1041" s="211"/>
      <c r="G1041" s="211"/>
      <c r="H1041" s="211"/>
      <c r="I1041" s="211"/>
      <c r="J1041" s="16"/>
      <c r="K1041" s="1"/>
      <c r="M1041" s="1"/>
      <c r="N1041" s="1"/>
      <c r="O1041" s="1"/>
      <c r="P1041" s="1"/>
      <c r="Q1041" s="95"/>
      <c r="R1041" s="5" t="b">
        <f t="shared" si="236"/>
        <v>0</v>
      </c>
    </row>
    <row r="1042" spans="1:18" s="4" customFormat="1" ht="15" hidden="1" customHeight="1">
      <c r="A1042" s="64"/>
      <c r="B1042" s="7">
        <f t="shared" si="237"/>
        <v>139</v>
      </c>
      <c r="C1042" s="211"/>
      <c r="D1042" s="211"/>
      <c r="E1042" s="211"/>
      <c r="F1042" s="211"/>
      <c r="G1042" s="211"/>
      <c r="H1042" s="211"/>
      <c r="I1042" s="211"/>
      <c r="J1042" s="16"/>
      <c r="K1042" s="1"/>
      <c r="M1042" s="1"/>
      <c r="N1042" s="1"/>
      <c r="O1042" s="1"/>
      <c r="P1042" s="1"/>
      <c r="Q1042" s="95"/>
      <c r="R1042" s="5" t="b">
        <f t="shared" si="236"/>
        <v>0</v>
      </c>
    </row>
    <row r="1043" spans="1:18" s="4" customFormat="1" ht="15" hidden="1" customHeight="1">
      <c r="A1043" s="64"/>
      <c r="B1043" s="7">
        <f t="shared" si="237"/>
        <v>140</v>
      </c>
      <c r="C1043" s="211"/>
      <c r="D1043" s="211"/>
      <c r="E1043" s="211"/>
      <c r="F1043" s="211"/>
      <c r="G1043" s="211"/>
      <c r="H1043" s="211"/>
      <c r="I1043" s="211"/>
      <c r="J1043" s="16"/>
      <c r="K1043" s="1"/>
      <c r="M1043" s="1"/>
      <c r="N1043" s="1"/>
      <c r="O1043" s="1"/>
      <c r="P1043" s="1"/>
      <c r="Q1043" s="95"/>
      <c r="R1043" s="5" t="b">
        <f t="shared" si="236"/>
        <v>0</v>
      </c>
    </row>
    <row r="1044" spans="1:18" s="4" customFormat="1" ht="15" hidden="1" customHeight="1">
      <c r="A1044" s="64"/>
      <c r="B1044" s="7">
        <f t="shared" si="237"/>
        <v>141</v>
      </c>
      <c r="C1044" s="211"/>
      <c r="D1044" s="211"/>
      <c r="E1044" s="211"/>
      <c r="F1044" s="211"/>
      <c r="G1044" s="211"/>
      <c r="H1044" s="211"/>
      <c r="I1044" s="211"/>
      <c r="J1044" s="16"/>
      <c r="K1044" s="1"/>
      <c r="M1044" s="1"/>
      <c r="N1044" s="1"/>
      <c r="O1044" s="1"/>
      <c r="P1044" s="1"/>
      <c r="Q1044" s="95"/>
      <c r="R1044" s="5" t="b">
        <f t="shared" si="236"/>
        <v>0</v>
      </c>
    </row>
    <row r="1045" spans="1:18" s="4" customFormat="1" ht="15" hidden="1" customHeight="1">
      <c r="A1045" s="64"/>
      <c r="B1045" s="7">
        <f t="shared" si="237"/>
        <v>142</v>
      </c>
      <c r="C1045" s="211"/>
      <c r="D1045" s="211"/>
      <c r="E1045" s="211"/>
      <c r="F1045" s="211"/>
      <c r="G1045" s="211"/>
      <c r="H1045" s="211"/>
      <c r="I1045" s="211"/>
      <c r="J1045" s="16"/>
      <c r="K1045" s="1"/>
      <c r="M1045" s="1"/>
      <c r="N1045" s="1"/>
      <c r="O1045" s="1"/>
      <c r="P1045" s="1"/>
      <c r="Q1045" s="95"/>
      <c r="R1045" s="5" t="b">
        <f t="shared" si="236"/>
        <v>0</v>
      </c>
    </row>
    <row r="1046" spans="1:18" s="4" customFormat="1" ht="15" hidden="1" customHeight="1">
      <c r="A1046" s="64"/>
      <c r="B1046" s="7">
        <f t="shared" si="237"/>
        <v>143</v>
      </c>
      <c r="C1046" s="211"/>
      <c r="D1046" s="211"/>
      <c r="E1046" s="211"/>
      <c r="F1046" s="211"/>
      <c r="G1046" s="211"/>
      <c r="H1046" s="211"/>
      <c r="I1046" s="211"/>
      <c r="J1046" s="16"/>
      <c r="K1046" s="1"/>
      <c r="M1046" s="1"/>
      <c r="N1046" s="1"/>
      <c r="O1046" s="1"/>
      <c r="P1046" s="1"/>
      <c r="Q1046" s="95"/>
      <c r="R1046" s="5" t="b">
        <f t="shared" si="236"/>
        <v>0</v>
      </c>
    </row>
    <row r="1047" spans="1:18" s="4" customFormat="1" ht="15" hidden="1" customHeight="1">
      <c r="A1047" s="64"/>
      <c r="B1047" s="7">
        <f t="shared" si="237"/>
        <v>144</v>
      </c>
      <c r="C1047" s="211"/>
      <c r="D1047" s="211"/>
      <c r="E1047" s="211"/>
      <c r="F1047" s="211"/>
      <c r="G1047" s="211"/>
      <c r="H1047" s="211"/>
      <c r="I1047" s="211"/>
      <c r="J1047" s="16"/>
      <c r="K1047" s="1"/>
      <c r="M1047" s="1"/>
      <c r="N1047" s="1"/>
      <c r="O1047" s="1"/>
      <c r="P1047" s="1"/>
      <c r="Q1047" s="95"/>
      <c r="R1047" s="5" t="b">
        <f t="shared" si="236"/>
        <v>0</v>
      </c>
    </row>
    <row r="1048" spans="1:18" s="4" customFormat="1" ht="15" hidden="1" customHeight="1">
      <c r="A1048" s="64"/>
      <c r="B1048" s="7">
        <f t="shared" si="237"/>
        <v>145</v>
      </c>
      <c r="C1048" s="211"/>
      <c r="D1048" s="211"/>
      <c r="E1048" s="211"/>
      <c r="F1048" s="211"/>
      <c r="G1048" s="211"/>
      <c r="H1048" s="211"/>
      <c r="I1048" s="211"/>
      <c r="J1048" s="16"/>
      <c r="K1048" s="1"/>
      <c r="M1048" s="1"/>
      <c r="N1048" s="1"/>
      <c r="O1048" s="1"/>
      <c r="P1048" s="1"/>
      <c r="Q1048" s="95"/>
      <c r="R1048" s="5" t="b">
        <f t="shared" si="236"/>
        <v>0</v>
      </c>
    </row>
    <row r="1049" spans="1:18" s="4" customFormat="1" ht="15" hidden="1" customHeight="1">
      <c r="A1049" s="64"/>
      <c r="B1049" s="7">
        <f t="shared" si="237"/>
        <v>146</v>
      </c>
      <c r="C1049" s="211"/>
      <c r="D1049" s="211"/>
      <c r="E1049" s="211"/>
      <c r="F1049" s="211"/>
      <c r="G1049" s="211"/>
      <c r="H1049" s="211"/>
      <c r="I1049" s="211"/>
      <c r="J1049" s="16"/>
      <c r="K1049" s="1"/>
      <c r="M1049" s="1"/>
      <c r="N1049" s="1"/>
      <c r="O1049" s="1"/>
      <c r="P1049" s="1"/>
      <c r="Q1049" s="95"/>
      <c r="R1049" s="5" t="b">
        <f t="shared" si="236"/>
        <v>0</v>
      </c>
    </row>
    <row r="1050" spans="1:18" s="4" customFormat="1" ht="15" hidden="1" customHeight="1">
      <c r="A1050" s="64"/>
      <c r="B1050" s="7">
        <f t="shared" si="237"/>
        <v>147</v>
      </c>
      <c r="C1050" s="211"/>
      <c r="D1050" s="211"/>
      <c r="E1050" s="211"/>
      <c r="F1050" s="211"/>
      <c r="G1050" s="211"/>
      <c r="H1050" s="211"/>
      <c r="I1050" s="211"/>
      <c r="J1050" s="16"/>
      <c r="K1050" s="1"/>
      <c r="M1050" s="1"/>
      <c r="N1050" s="1"/>
      <c r="O1050" s="1"/>
      <c r="P1050" s="1"/>
      <c r="Q1050" s="95"/>
      <c r="R1050" s="5" t="b">
        <f t="shared" si="236"/>
        <v>0</v>
      </c>
    </row>
    <row r="1051" spans="1:18" s="4" customFormat="1" ht="15" hidden="1" customHeight="1">
      <c r="A1051" s="64"/>
      <c r="B1051" s="7">
        <f t="shared" si="237"/>
        <v>148</v>
      </c>
      <c r="C1051" s="211"/>
      <c r="D1051" s="211"/>
      <c r="E1051" s="211"/>
      <c r="F1051" s="211"/>
      <c r="G1051" s="211"/>
      <c r="H1051" s="211"/>
      <c r="I1051" s="211"/>
      <c r="J1051" s="16"/>
      <c r="K1051" s="1"/>
      <c r="M1051" s="1"/>
      <c r="N1051" s="1"/>
      <c r="O1051" s="1"/>
      <c r="P1051" s="1"/>
      <c r="Q1051" s="95"/>
      <c r="R1051" s="5" t="b">
        <f t="shared" si="236"/>
        <v>0</v>
      </c>
    </row>
    <row r="1052" spans="1:18" s="4" customFormat="1" ht="15" hidden="1" customHeight="1">
      <c r="A1052" s="64"/>
      <c r="B1052" s="7">
        <f t="shared" si="237"/>
        <v>149</v>
      </c>
      <c r="C1052" s="211"/>
      <c r="D1052" s="211"/>
      <c r="E1052" s="211"/>
      <c r="F1052" s="211"/>
      <c r="G1052" s="211"/>
      <c r="H1052" s="211"/>
      <c r="I1052" s="211"/>
      <c r="J1052" s="16"/>
      <c r="K1052" s="1"/>
      <c r="M1052" s="1"/>
      <c r="N1052" s="1"/>
      <c r="O1052" s="1"/>
      <c r="P1052" s="1"/>
      <c r="Q1052" s="95"/>
      <c r="R1052" s="5" t="b">
        <f t="shared" si="236"/>
        <v>0</v>
      </c>
    </row>
    <row r="1053" spans="1:18" s="4" customFormat="1" ht="15" hidden="1" customHeight="1">
      <c r="A1053" s="64"/>
      <c r="B1053" s="7">
        <f t="shared" si="237"/>
        <v>150</v>
      </c>
      <c r="C1053" s="211"/>
      <c r="D1053" s="211"/>
      <c r="E1053" s="211"/>
      <c r="F1053" s="211"/>
      <c r="G1053" s="211"/>
      <c r="H1053" s="211"/>
      <c r="I1053" s="211"/>
      <c r="J1053" s="16"/>
      <c r="K1053" s="1"/>
      <c r="M1053" s="1"/>
      <c r="N1053" s="1"/>
      <c r="O1053" s="1"/>
      <c r="P1053" s="1"/>
      <c r="Q1053" s="95"/>
      <c r="R1053" s="5" t="b">
        <f t="shared" si="236"/>
        <v>0</v>
      </c>
    </row>
    <row r="1054" spans="1:18" s="4" customFormat="1" ht="15" hidden="1" customHeight="1">
      <c r="A1054" s="64"/>
      <c r="B1054" s="7">
        <f t="shared" si="237"/>
        <v>151</v>
      </c>
      <c r="C1054" s="211"/>
      <c r="D1054" s="211"/>
      <c r="E1054" s="211"/>
      <c r="F1054" s="211"/>
      <c r="G1054" s="211"/>
      <c r="H1054" s="211"/>
      <c r="I1054" s="211"/>
      <c r="J1054" s="16"/>
      <c r="K1054" s="1"/>
      <c r="M1054" s="1"/>
      <c r="N1054" s="1"/>
      <c r="O1054" s="1"/>
      <c r="P1054" s="1"/>
      <c r="Q1054" s="95"/>
      <c r="R1054" s="5" t="b">
        <f t="shared" si="236"/>
        <v>0</v>
      </c>
    </row>
    <row r="1055" spans="1:18" s="4" customFormat="1" ht="15" hidden="1" customHeight="1">
      <c r="A1055" s="64"/>
      <c r="B1055" s="7">
        <f t="shared" si="237"/>
        <v>152</v>
      </c>
      <c r="C1055" s="211"/>
      <c r="D1055" s="211"/>
      <c r="E1055" s="211"/>
      <c r="F1055" s="211"/>
      <c r="G1055" s="211"/>
      <c r="H1055" s="211"/>
      <c r="I1055" s="211"/>
      <c r="J1055" s="16"/>
      <c r="K1055" s="1"/>
      <c r="M1055" s="1"/>
      <c r="N1055" s="1"/>
      <c r="O1055" s="1"/>
      <c r="P1055" s="1"/>
      <c r="Q1055" s="95"/>
      <c r="R1055" s="5" t="b">
        <f t="shared" si="236"/>
        <v>0</v>
      </c>
    </row>
    <row r="1056" spans="1:18" s="4" customFormat="1" ht="15" hidden="1" customHeight="1">
      <c r="A1056" s="64"/>
      <c r="B1056" s="7">
        <f t="shared" si="237"/>
        <v>153</v>
      </c>
      <c r="C1056" s="211"/>
      <c r="D1056" s="211"/>
      <c r="E1056" s="211"/>
      <c r="F1056" s="211"/>
      <c r="G1056" s="211"/>
      <c r="H1056" s="211"/>
      <c r="I1056" s="211"/>
      <c r="J1056" s="16"/>
      <c r="K1056" s="1"/>
      <c r="M1056" s="1"/>
      <c r="N1056" s="1"/>
      <c r="O1056" s="1"/>
      <c r="P1056" s="1"/>
      <c r="Q1056" s="95"/>
      <c r="R1056" s="5" t="b">
        <f t="shared" si="236"/>
        <v>0</v>
      </c>
    </row>
    <row r="1057" spans="1:18" s="4" customFormat="1" ht="15" hidden="1" customHeight="1">
      <c r="A1057" s="64"/>
      <c r="B1057" s="7">
        <f t="shared" si="237"/>
        <v>154</v>
      </c>
      <c r="C1057" s="211"/>
      <c r="D1057" s="211"/>
      <c r="E1057" s="211"/>
      <c r="F1057" s="211"/>
      <c r="G1057" s="211"/>
      <c r="H1057" s="211"/>
      <c r="I1057" s="211"/>
      <c r="J1057" s="16"/>
      <c r="K1057" s="1"/>
      <c r="M1057" s="1"/>
      <c r="N1057" s="1"/>
      <c r="O1057" s="1"/>
      <c r="P1057" s="1"/>
      <c r="Q1057" s="95"/>
      <c r="R1057" s="5" t="b">
        <f t="shared" si="236"/>
        <v>0</v>
      </c>
    </row>
    <row r="1058" spans="1:18" s="4" customFormat="1" ht="15" hidden="1" customHeight="1">
      <c r="A1058" s="64"/>
      <c r="B1058" s="7">
        <f t="shared" si="237"/>
        <v>155</v>
      </c>
      <c r="C1058" s="211"/>
      <c r="D1058" s="211"/>
      <c r="E1058" s="211"/>
      <c r="F1058" s="211"/>
      <c r="G1058" s="211"/>
      <c r="H1058" s="211"/>
      <c r="I1058" s="211"/>
      <c r="J1058" s="16"/>
      <c r="K1058" s="1"/>
      <c r="M1058" s="1"/>
      <c r="N1058" s="1"/>
      <c r="O1058" s="1"/>
      <c r="P1058" s="1"/>
      <c r="Q1058" s="95"/>
      <c r="R1058" s="5" t="b">
        <f t="shared" si="236"/>
        <v>0</v>
      </c>
    </row>
    <row r="1059" spans="1:18" s="4" customFormat="1" ht="15" hidden="1" customHeight="1">
      <c r="A1059" s="64"/>
      <c r="B1059" s="7">
        <f t="shared" si="237"/>
        <v>156</v>
      </c>
      <c r="C1059" s="211"/>
      <c r="D1059" s="211"/>
      <c r="E1059" s="211"/>
      <c r="F1059" s="211"/>
      <c r="G1059" s="211"/>
      <c r="H1059" s="211"/>
      <c r="I1059" s="211"/>
      <c r="J1059" s="16"/>
      <c r="K1059" s="1"/>
      <c r="M1059" s="1"/>
      <c r="N1059" s="1"/>
      <c r="O1059" s="1"/>
      <c r="P1059" s="1"/>
      <c r="Q1059" s="95"/>
      <c r="R1059" s="5" t="b">
        <f t="shared" si="236"/>
        <v>0</v>
      </c>
    </row>
    <row r="1060" spans="1:18" s="4" customFormat="1" ht="15" hidden="1" customHeight="1">
      <c r="A1060" s="64"/>
      <c r="B1060" s="7">
        <f t="shared" si="237"/>
        <v>157</v>
      </c>
      <c r="C1060" s="211"/>
      <c r="D1060" s="211"/>
      <c r="E1060" s="211"/>
      <c r="F1060" s="211"/>
      <c r="G1060" s="211"/>
      <c r="H1060" s="211"/>
      <c r="I1060" s="211"/>
      <c r="J1060" s="16"/>
      <c r="K1060" s="1"/>
      <c r="M1060" s="1"/>
      <c r="N1060" s="1"/>
      <c r="O1060" s="1"/>
      <c r="P1060" s="1"/>
      <c r="Q1060" s="95"/>
      <c r="R1060" s="5" t="b">
        <f t="shared" si="236"/>
        <v>0</v>
      </c>
    </row>
    <row r="1061" spans="1:18" s="4" customFormat="1" ht="15" hidden="1" customHeight="1">
      <c r="A1061" s="64"/>
      <c r="B1061" s="7">
        <f t="shared" si="237"/>
        <v>158</v>
      </c>
      <c r="C1061" s="211"/>
      <c r="D1061" s="211"/>
      <c r="E1061" s="211"/>
      <c r="F1061" s="211"/>
      <c r="G1061" s="211"/>
      <c r="H1061" s="211"/>
      <c r="I1061" s="211"/>
      <c r="J1061" s="16"/>
      <c r="K1061" s="1"/>
      <c r="M1061" s="1"/>
      <c r="N1061" s="1"/>
      <c r="O1061" s="1"/>
      <c r="P1061" s="1"/>
      <c r="Q1061" s="95"/>
      <c r="R1061" s="5" t="b">
        <f t="shared" si="236"/>
        <v>0</v>
      </c>
    </row>
    <row r="1062" spans="1:18" s="4" customFormat="1" ht="15" hidden="1" customHeight="1">
      <c r="A1062" s="64"/>
      <c r="B1062" s="7">
        <f t="shared" si="237"/>
        <v>159</v>
      </c>
      <c r="C1062" s="211"/>
      <c r="D1062" s="211"/>
      <c r="E1062" s="211"/>
      <c r="F1062" s="211"/>
      <c r="G1062" s="211"/>
      <c r="H1062" s="211"/>
      <c r="I1062" s="211"/>
      <c r="J1062" s="16"/>
      <c r="K1062" s="1"/>
      <c r="M1062" s="1"/>
      <c r="N1062" s="1"/>
      <c r="O1062" s="1"/>
      <c r="P1062" s="1"/>
      <c r="Q1062" s="95"/>
      <c r="R1062" s="5" t="b">
        <f t="shared" si="236"/>
        <v>0</v>
      </c>
    </row>
    <row r="1063" spans="1:18" s="4" customFormat="1" ht="15" hidden="1" customHeight="1">
      <c r="A1063" s="64"/>
      <c r="B1063" s="7">
        <f t="shared" si="237"/>
        <v>160</v>
      </c>
      <c r="C1063" s="211"/>
      <c r="D1063" s="211"/>
      <c r="E1063" s="211"/>
      <c r="F1063" s="211"/>
      <c r="G1063" s="211"/>
      <c r="H1063" s="211"/>
      <c r="I1063" s="211"/>
      <c r="J1063" s="16"/>
      <c r="K1063" s="1"/>
      <c r="M1063" s="1"/>
      <c r="N1063" s="1"/>
      <c r="O1063" s="1"/>
      <c r="P1063" s="1"/>
      <c r="Q1063" s="95"/>
      <c r="R1063" s="5" t="b">
        <f t="shared" si="236"/>
        <v>0</v>
      </c>
    </row>
    <row r="1064" spans="1:18" s="4" customFormat="1" ht="15" hidden="1" customHeight="1">
      <c r="A1064" s="64"/>
      <c r="B1064" s="7">
        <f t="shared" si="237"/>
        <v>161</v>
      </c>
      <c r="C1064" s="211"/>
      <c r="D1064" s="211"/>
      <c r="E1064" s="211"/>
      <c r="F1064" s="211"/>
      <c r="G1064" s="211"/>
      <c r="H1064" s="211"/>
      <c r="I1064" s="211"/>
      <c r="J1064" s="16"/>
      <c r="K1064" s="1"/>
      <c r="M1064" s="1"/>
      <c r="N1064" s="1"/>
      <c r="O1064" s="1"/>
      <c r="P1064" s="1"/>
      <c r="Q1064" s="95"/>
      <c r="R1064" s="5" t="b">
        <f t="shared" si="236"/>
        <v>0</v>
      </c>
    </row>
    <row r="1065" spans="1:18" s="4" customFormat="1" ht="15" hidden="1" customHeight="1">
      <c r="A1065" s="64"/>
      <c r="B1065" s="7">
        <f t="shared" si="237"/>
        <v>162</v>
      </c>
      <c r="C1065" s="211"/>
      <c r="D1065" s="211"/>
      <c r="E1065" s="211"/>
      <c r="F1065" s="211"/>
      <c r="G1065" s="211"/>
      <c r="H1065" s="211"/>
      <c r="I1065" s="211"/>
      <c r="J1065" s="16"/>
      <c r="K1065" s="1"/>
      <c r="M1065" s="1"/>
      <c r="N1065" s="1"/>
      <c r="O1065" s="1"/>
      <c r="P1065" s="1"/>
      <c r="Q1065" s="95"/>
      <c r="R1065" s="5" t="b">
        <f t="shared" si="236"/>
        <v>0</v>
      </c>
    </row>
    <row r="1066" spans="1:18" s="4" customFormat="1" ht="15" hidden="1" customHeight="1">
      <c r="A1066" s="64"/>
      <c r="B1066" s="7">
        <f t="shared" si="237"/>
        <v>163</v>
      </c>
      <c r="C1066" s="211"/>
      <c r="D1066" s="211"/>
      <c r="E1066" s="211"/>
      <c r="F1066" s="211"/>
      <c r="G1066" s="211"/>
      <c r="H1066" s="211"/>
      <c r="I1066" s="211"/>
      <c r="J1066" s="16"/>
      <c r="K1066" s="1"/>
      <c r="M1066" s="1"/>
      <c r="N1066" s="1"/>
      <c r="O1066" s="1"/>
      <c r="P1066" s="1"/>
      <c r="Q1066" s="95"/>
      <c r="R1066" s="5" t="b">
        <f t="shared" si="236"/>
        <v>0</v>
      </c>
    </row>
    <row r="1067" spans="1:18" s="4" customFormat="1" ht="15" hidden="1" customHeight="1">
      <c r="A1067" s="64"/>
      <c r="B1067" s="7">
        <f t="shared" si="237"/>
        <v>164</v>
      </c>
      <c r="C1067" s="211"/>
      <c r="D1067" s="211"/>
      <c r="E1067" s="211"/>
      <c r="F1067" s="211"/>
      <c r="G1067" s="211"/>
      <c r="H1067" s="211"/>
      <c r="I1067" s="211"/>
      <c r="J1067" s="16"/>
      <c r="K1067" s="1"/>
      <c r="M1067" s="1"/>
      <c r="N1067" s="1"/>
      <c r="O1067" s="1"/>
      <c r="P1067" s="1"/>
      <c r="Q1067" s="95"/>
      <c r="R1067" s="5" t="b">
        <f t="shared" si="236"/>
        <v>0</v>
      </c>
    </row>
    <row r="1068" spans="1:18" s="4" customFormat="1" ht="15" hidden="1" customHeight="1">
      <c r="A1068" s="64"/>
      <c r="B1068" s="7">
        <f t="shared" si="237"/>
        <v>165</v>
      </c>
      <c r="C1068" s="211"/>
      <c r="D1068" s="211"/>
      <c r="E1068" s="211"/>
      <c r="F1068" s="211"/>
      <c r="G1068" s="211"/>
      <c r="H1068" s="211"/>
      <c r="I1068" s="211"/>
      <c r="J1068" s="16"/>
      <c r="K1068" s="1"/>
      <c r="M1068" s="1"/>
      <c r="N1068" s="1"/>
      <c r="O1068" s="1"/>
      <c r="P1068" s="1"/>
      <c r="Q1068" s="95"/>
      <c r="R1068" s="5" t="b">
        <f t="shared" si="236"/>
        <v>0</v>
      </c>
    </row>
    <row r="1069" spans="1:18" s="4" customFormat="1" ht="15" hidden="1" customHeight="1">
      <c r="A1069" s="64"/>
      <c r="B1069" s="7">
        <f t="shared" si="237"/>
        <v>166</v>
      </c>
      <c r="C1069" s="211"/>
      <c r="D1069" s="211"/>
      <c r="E1069" s="211"/>
      <c r="F1069" s="211"/>
      <c r="G1069" s="211"/>
      <c r="H1069" s="211"/>
      <c r="I1069" s="211"/>
      <c r="J1069" s="16"/>
      <c r="K1069" s="1"/>
      <c r="M1069" s="1"/>
      <c r="N1069" s="1"/>
      <c r="O1069" s="1"/>
      <c r="P1069" s="1"/>
      <c r="Q1069" s="95"/>
      <c r="R1069" s="5" t="b">
        <f t="shared" si="236"/>
        <v>0</v>
      </c>
    </row>
    <row r="1070" spans="1:18" s="4" customFormat="1" ht="15" hidden="1" customHeight="1">
      <c r="A1070" s="64"/>
      <c r="B1070" s="7">
        <f t="shared" si="237"/>
        <v>167</v>
      </c>
      <c r="C1070" s="211"/>
      <c r="D1070" s="211"/>
      <c r="E1070" s="211"/>
      <c r="F1070" s="211"/>
      <c r="G1070" s="211"/>
      <c r="H1070" s="211"/>
      <c r="I1070" s="211"/>
      <c r="J1070" s="16"/>
      <c r="K1070" s="1"/>
      <c r="M1070" s="1"/>
      <c r="N1070" s="1"/>
      <c r="O1070" s="1"/>
      <c r="P1070" s="1"/>
      <c r="Q1070" s="95"/>
      <c r="R1070" s="5" t="b">
        <f t="shared" si="236"/>
        <v>0</v>
      </c>
    </row>
    <row r="1071" spans="1:18" s="4" customFormat="1" ht="15" hidden="1" customHeight="1">
      <c r="A1071" s="64"/>
      <c r="B1071" s="7">
        <f t="shared" si="237"/>
        <v>168</v>
      </c>
      <c r="C1071" s="211"/>
      <c r="D1071" s="211"/>
      <c r="E1071" s="211"/>
      <c r="F1071" s="211"/>
      <c r="G1071" s="211"/>
      <c r="H1071" s="211"/>
      <c r="I1071" s="211"/>
      <c r="J1071" s="16"/>
      <c r="K1071" s="1"/>
      <c r="M1071" s="1"/>
      <c r="N1071" s="1"/>
      <c r="O1071" s="1"/>
      <c r="P1071" s="1"/>
      <c r="Q1071" s="95"/>
      <c r="R1071" s="5" t="b">
        <f t="shared" ref="R1071:R1134" si="238">IF(O1071&gt;89.9999999999999%,"PAMA")</f>
        <v>0</v>
      </c>
    </row>
    <row r="1072" spans="1:18" s="4" customFormat="1" ht="15" hidden="1" customHeight="1">
      <c r="A1072" s="64"/>
      <c r="B1072" s="7">
        <f t="shared" si="237"/>
        <v>169</v>
      </c>
      <c r="C1072" s="211"/>
      <c r="D1072" s="211"/>
      <c r="E1072" s="211"/>
      <c r="F1072" s="211"/>
      <c r="G1072" s="211"/>
      <c r="H1072" s="211"/>
      <c r="I1072" s="211"/>
      <c r="J1072" s="16"/>
      <c r="K1072" s="1"/>
      <c r="M1072" s="1"/>
      <c r="N1072" s="1"/>
      <c r="O1072" s="1"/>
      <c r="P1072" s="1"/>
      <c r="Q1072" s="95"/>
      <c r="R1072" s="5" t="b">
        <f t="shared" si="238"/>
        <v>0</v>
      </c>
    </row>
    <row r="1073" spans="1:18" s="4" customFormat="1" ht="15" hidden="1" customHeight="1">
      <c r="A1073" s="64"/>
      <c r="B1073" s="7">
        <f t="shared" si="237"/>
        <v>170</v>
      </c>
      <c r="C1073" s="211"/>
      <c r="D1073" s="211"/>
      <c r="E1073" s="211"/>
      <c r="F1073" s="211"/>
      <c r="G1073" s="211"/>
      <c r="H1073" s="211"/>
      <c r="I1073" s="211"/>
      <c r="J1073" s="16"/>
      <c r="K1073" s="1"/>
      <c r="M1073" s="1"/>
      <c r="N1073" s="1"/>
      <c r="O1073" s="1"/>
      <c r="P1073" s="1"/>
      <c r="Q1073" s="95"/>
      <c r="R1073" s="5" t="b">
        <f t="shared" si="238"/>
        <v>0</v>
      </c>
    </row>
    <row r="1074" spans="1:18" s="4" customFormat="1" ht="15" hidden="1" customHeight="1">
      <c r="A1074" s="64"/>
      <c r="B1074" s="7">
        <f t="shared" si="237"/>
        <v>171</v>
      </c>
      <c r="C1074" s="211"/>
      <c r="D1074" s="211"/>
      <c r="E1074" s="211"/>
      <c r="F1074" s="211"/>
      <c r="G1074" s="211"/>
      <c r="H1074" s="211"/>
      <c r="I1074" s="211"/>
      <c r="J1074" s="16"/>
      <c r="K1074" s="1"/>
      <c r="M1074" s="1"/>
      <c r="N1074" s="1"/>
      <c r="O1074" s="1"/>
      <c r="P1074" s="1"/>
      <c r="Q1074" s="95"/>
      <c r="R1074" s="5" t="b">
        <f t="shared" si="238"/>
        <v>0</v>
      </c>
    </row>
    <row r="1075" spans="1:18" s="4" customFormat="1" ht="15" hidden="1" customHeight="1">
      <c r="A1075" s="64"/>
      <c r="B1075" s="7">
        <f t="shared" si="237"/>
        <v>172</v>
      </c>
      <c r="C1075" s="211"/>
      <c r="D1075" s="211"/>
      <c r="E1075" s="211"/>
      <c r="F1075" s="211"/>
      <c r="G1075" s="211"/>
      <c r="H1075" s="211"/>
      <c r="I1075" s="211"/>
      <c r="J1075" s="16"/>
      <c r="K1075" s="1"/>
      <c r="M1075" s="1"/>
      <c r="N1075" s="1"/>
      <c r="O1075" s="1"/>
      <c r="P1075" s="1"/>
      <c r="Q1075" s="95"/>
      <c r="R1075" s="5" t="b">
        <f t="shared" si="238"/>
        <v>0</v>
      </c>
    </row>
    <row r="1076" spans="1:18" s="4" customFormat="1" ht="15" hidden="1" customHeight="1">
      <c r="A1076" s="64"/>
      <c r="B1076" s="7">
        <f t="shared" si="237"/>
        <v>173</v>
      </c>
      <c r="C1076" s="211"/>
      <c r="D1076" s="211"/>
      <c r="E1076" s="211"/>
      <c r="F1076" s="211"/>
      <c r="G1076" s="211"/>
      <c r="H1076" s="211"/>
      <c r="I1076" s="211"/>
      <c r="J1076" s="16"/>
      <c r="K1076" s="1"/>
      <c r="M1076" s="1"/>
      <c r="N1076" s="1"/>
      <c r="O1076" s="1"/>
      <c r="P1076" s="1"/>
      <c r="Q1076" s="95"/>
      <c r="R1076" s="5" t="b">
        <f t="shared" si="238"/>
        <v>0</v>
      </c>
    </row>
    <row r="1077" spans="1:18" s="4" customFormat="1" ht="15" hidden="1" customHeight="1">
      <c r="A1077" s="64"/>
      <c r="B1077" s="7">
        <f t="shared" si="237"/>
        <v>174</v>
      </c>
      <c r="C1077" s="211"/>
      <c r="D1077" s="211"/>
      <c r="E1077" s="211"/>
      <c r="F1077" s="211"/>
      <c r="G1077" s="211"/>
      <c r="H1077" s="211"/>
      <c r="I1077" s="211"/>
      <c r="J1077" s="16"/>
      <c r="K1077" s="1"/>
      <c r="M1077" s="1"/>
      <c r="N1077" s="1"/>
      <c r="O1077" s="1"/>
      <c r="P1077" s="1"/>
      <c r="Q1077" s="95"/>
      <c r="R1077" s="5" t="b">
        <f t="shared" si="238"/>
        <v>0</v>
      </c>
    </row>
    <row r="1078" spans="1:18" s="4" customFormat="1" ht="15" hidden="1" customHeight="1">
      <c r="A1078" s="64"/>
      <c r="B1078" s="7">
        <f t="shared" si="237"/>
        <v>175</v>
      </c>
      <c r="C1078" s="211"/>
      <c r="D1078" s="211"/>
      <c r="E1078" s="211"/>
      <c r="F1078" s="211"/>
      <c r="G1078" s="211"/>
      <c r="H1078" s="211"/>
      <c r="I1078" s="211"/>
      <c r="J1078" s="16"/>
      <c r="K1078" s="1"/>
      <c r="M1078" s="1"/>
      <c r="N1078" s="1"/>
      <c r="O1078" s="1"/>
      <c r="P1078" s="1"/>
      <c r="Q1078" s="95"/>
      <c r="R1078" s="5" t="b">
        <f t="shared" si="238"/>
        <v>0</v>
      </c>
    </row>
    <row r="1079" spans="1:18" s="4" customFormat="1" ht="15" hidden="1" customHeight="1">
      <c r="A1079" s="64"/>
      <c r="B1079" s="7">
        <f t="shared" si="237"/>
        <v>176</v>
      </c>
      <c r="C1079" s="211"/>
      <c r="D1079" s="211"/>
      <c r="E1079" s="211"/>
      <c r="F1079" s="211"/>
      <c r="G1079" s="211"/>
      <c r="H1079" s="211"/>
      <c r="I1079" s="211"/>
      <c r="J1079" s="16"/>
      <c r="K1079" s="1"/>
      <c r="M1079" s="1"/>
      <c r="N1079" s="1"/>
      <c r="O1079" s="1"/>
      <c r="P1079" s="1"/>
      <c r="Q1079" s="95"/>
      <c r="R1079" s="5" t="b">
        <f t="shared" si="238"/>
        <v>0</v>
      </c>
    </row>
    <row r="1080" spans="1:18" s="4" customFormat="1" ht="15" hidden="1" customHeight="1">
      <c r="A1080" s="64"/>
      <c r="B1080" s="7">
        <f t="shared" si="237"/>
        <v>177</v>
      </c>
      <c r="C1080" s="211"/>
      <c r="D1080" s="211"/>
      <c r="E1080" s="211"/>
      <c r="F1080" s="211"/>
      <c r="G1080" s="211"/>
      <c r="H1080" s="211"/>
      <c r="I1080" s="211"/>
      <c r="J1080" s="16"/>
      <c r="K1080" s="1"/>
      <c r="M1080" s="1"/>
      <c r="N1080" s="1"/>
      <c r="O1080" s="1"/>
      <c r="P1080" s="1"/>
      <c r="Q1080" s="95"/>
      <c r="R1080" s="5" t="b">
        <f t="shared" si="238"/>
        <v>0</v>
      </c>
    </row>
    <row r="1081" spans="1:18" s="4" customFormat="1" ht="15" hidden="1" customHeight="1">
      <c r="A1081" s="64"/>
      <c r="B1081" s="7">
        <f t="shared" si="237"/>
        <v>178</v>
      </c>
      <c r="C1081" s="211"/>
      <c r="D1081" s="211"/>
      <c r="E1081" s="211"/>
      <c r="F1081" s="211"/>
      <c r="G1081" s="211"/>
      <c r="H1081" s="211"/>
      <c r="I1081" s="211"/>
      <c r="J1081" s="16"/>
      <c r="K1081" s="1"/>
      <c r="M1081" s="1"/>
      <c r="N1081" s="1"/>
      <c r="O1081" s="1"/>
      <c r="P1081" s="1"/>
      <c r="Q1081" s="95"/>
      <c r="R1081" s="5" t="b">
        <f t="shared" si="238"/>
        <v>0</v>
      </c>
    </row>
    <row r="1082" spans="1:18" s="4" customFormat="1" ht="15" hidden="1" customHeight="1">
      <c r="A1082" s="64"/>
      <c r="B1082" s="7">
        <f t="shared" si="237"/>
        <v>179</v>
      </c>
      <c r="C1082" s="211"/>
      <c r="D1082" s="211"/>
      <c r="E1082" s="211"/>
      <c r="F1082" s="211"/>
      <c r="G1082" s="211"/>
      <c r="H1082" s="211"/>
      <c r="I1082" s="211"/>
      <c r="J1082" s="16"/>
      <c r="K1082" s="1"/>
      <c r="M1082" s="1"/>
      <c r="N1082" s="1"/>
      <c r="O1082" s="1"/>
      <c r="P1082" s="1"/>
      <c r="Q1082" s="95"/>
      <c r="R1082" s="5" t="b">
        <f t="shared" si="238"/>
        <v>0</v>
      </c>
    </row>
    <row r="1083" spans="1:18" s="4" customFormat="1" ht="15" hidden="1" customHeight="1">
      <c r="A1083" s="64"/>
      <c r="B1083" s="7">
        <f t="shared" si="237"/>
        <v>180</v>
      </c>
      <c r="C1083" s="211"/>
      <c r="D1083" s="211"/>
      <c r="E1083" s="211"/>
      <c r="F1083" s="211"/>
      <c r="G1083" s="211"/>
      <c r="H1083" s="211"/>
      <c r="I1083" s="211"/>
      <c r="J1083" s="16"/>
      <c r="K1083" s="1"/>
      <c r="M1083" s="1"/>
      <c r="N1083" s="1"/>
      <c r="O1083" s="1"/>
      <c r="P1083" s="1"/>
      <c r="Q1083" s="95"/>
      <c r="R1083" s="5" t="b">
        <f t="shared" si="238"/>
        <v>0</v>
      </c>
    </row>
    <row r="1084" spans="1:18" s="4" customFormat="1" ht="15" hidden="1" customHeight="1">
      <c r="A1084" s="64"/>
      <c r="B1084" s="7">
        <f t="shared" si="237"/>
        <v>181</v>
      </c>
      <c r="C1084" s="211"/>
      <c r="D1084" s="211"/>
      <c r="E1084" s="211"/>
      <c r="F1084" s="211"/>
      <c r="G1084" s="211"/>
      <c r="H1084" s="211"/>
      <c r="I1084" s="211"/>
      <c r="J1084" s="16"/>
      <c r="K1084" s="1"/>
      <c r="M1084" s="1"/>
      <c r="N1084" s="1"/>
      <c r="O1084" s="1"/>
      <c r="P1084" s="1"/>
      <c r="Q1084" s="95"/>
      <c r="R1084" s="5" t="b">
        <f t="shared" si="238"/>
        <v>0</v>
      </c>
    </row>
    <row r="1085" spans="1:18" s="4" customFormat="1" ht="15" hidden="1" customHeight="1">
      <c r="A1085" s="64"/>
      <c r="B1085" s="7">
        <f t="shared" si="237"/>
        <v>182</v>
      </c>
      <c r="C1085" s="211"/>
      <c r="D1085" s="211"/>
      <c r="E1085" s="211"/>
      <c r="F1085" s="211"/>
      <c r="G1085" s="211"/>
      <c r="H1085" s="211"/>
      <c r="I1085" s="211"/>
      <c r="J1085" s="16"/>
      <c r="K1085" s="1"/>
      <c r="M1085" s="1"/>
      <c r="N1085" s="1"/>
      <c r="O1085" s="1"/>
      <c r="P1085" s="1"/>
      <c r="Q1085" s="95"/>
      <c r="R1085" s="5" t="b">
        <f t="shared" si="238"/>
        <v>0</v>
      </c>
    </row>
    <row r="1086" spans="1:18" s="4" customFormat="1" ht="15" hidden="1" customHeight="1">
      <c r="A1086" s="64"/>
      <c r="B1086" s="7">
        <f t="shared" si="237"/>
        <v>183</v>
      </c>
      <c r="C1086" s="211"/>
      <c r="D1086" s="211"/>
      <c r="E1086" s="211"/>
      <c r="F1086" s="211"/>
      <c r="G1086" s="211"/>
      <c r="H1086" s="211"/>
      <c r="I1086" s="211"/>
      <c r="J1086" s="16"/>
      <c r="K1086" s="1"/>
      <c r="M1086" s="1"/>
      <c r="N1086" s="1"/>
      <c r="O1086" s="1"/>
      <c r="P1086" s="1"/>
      <c r="Q1086" s="95"/>
      <c r="R1086" s="5" t="b">
        <f t="shared" si="238"/>
        <v>0</v>
      </c>
    </row>
    <row r="1087" spans="1:18" s="4" customFormat="1" ht="15" hidden="1" customHeight="1">
      <c r="A1087" s="64"/>
      <c r="B1087" s="7">
        <f t="shared" si="237"/>
        <v>184</v>
      </c>
      <c r="C1087" s="211"/>
      <c r="D1087" s="211"/>
      <c r="E1087" s="211"/>
      <c r="F1087" s="211"/>
      <c r="G1087" s="211"/>
      <c r="H1087" s="211"/>
      <c r="I1087" s="211"/>
      <c r="J1087" s="16"/>
      <c r="K1087" s="1"/>
      <c r="M1087" s="1"/>
      <c r="N1087" s="1"/>
      <c r="O1087" s="1"/>
      <c r="P1087" s="1"/>
      <c r="Q1087" s="95"/>
      <c r="R1087" s="5" t="b">
        <f t="shared" si="238"/>
        <v>0</v>
      </c>
    </row>
    <row r="1088" spans="1:18" s="4" customFormat="1" ht="15" hidden="1" customHeight="1">
      <c r="A1088" s="64"/>
      <c r="B1088" s="7">
        <f t="shared" si="237"/>
        <v>185</v>
      </c>
      <c r="C1088" s="211"/>
      <c r="D1088" s="211"/>
      <c r="E1088" s="211"/>
      <c r="F1088" s="211"/>
      <c r="G1088" s="211"/>
      <c r="H1088" s="211"/>
      <c r="I1088" s="211"/>
      <c r="J1088" s="16"/>
      <c r="K1088" s="1"/>
      <c r="M1088" s="1"/>
      <c r="N1088" s="1"/>
      <c r="O1088" s="1"/>
      <c r="P1088" s="1"/>
      <c r="Q1088" s="95"/>
      <c r="R1088" s="5" t="b">
        <f t="shared" si="238"/>
        <v>0</v>
      </c>
    </row>
    <row r="1089" spans="1:18" s="4" customFormat="1" ht="15" hidden="1" customHeight="1">
      <c r="A1089" s="64"/>
      <c r="B1089" s="7">
        <f t="shared" si="237"/>
        <v>186</v>
      </c>
      <c r="C1089" s="211"/>
      <c r="D1089" s="211"/>
      <c r="E1089" s="211"/>
      <c r="F1089" s="211"/>
      <c r="G1089" s="211"/>
      <c r="H1089" s="211"/>
      <c r="I1089" s="211"/>
      <c r="J1089" s="16"/>
      <c r="K1089" s="1"/>
      <c r="M1089" s="1"/>
      <c r="N1089" s="1"/>
      <c r="O1089" s="1"/>
      <c r="P1089" s="1"/>
      <c r="Q1089" s="95"/>
      <c r="R1089" s="5" t="b">
        <f t="shared" si="238"/>
        <v>0</v>
      </c>
    </row>
    <row r="1090" spans="1:18" s="4" customFormat="1" ht="15" hidden="1" customHeight="1">
      <c r="A1090" s="64"/>
      <c r="B1090" s="7">
        <f t="shared" si="237"/>
        <v>187</v>
      </c>
      <c r="C1090" s="211"/>
      <c r="D1090" s="211"/>
      <c r="E1090" s="211"/>
      <c r="F1090" s="211"/>
      <c r="G1090" s="211"/>
      <c r="H1090" s="211"/>
      <c r="I1090" s="211"/>
      <c r="J1090" s="16"/>
      <c r="K1090" s="1"/>
      <c r="M1090" s="1"/>
      <c r="N1090" s="1"/>
      <c r="O1090" s="1"/>
      <c r="P1090" s="1"/>
      <c r="Q1090" s="95"/>
      <c r="R1090" s="5" t="b">
        <f t="shared" si="238"/>
        <v>0</v>
      </c>
    </row>
    <row r="1091" spans="1:18" s="4" customFormat="1" ht="15" hidden="1" customHeight="1">
      <c r="A1091" s="64"/>
      <c r="B1091" s="7">
        <f t="shared" si="237"/>
        <v>188</v>
      </c>
      <c r="C1091" s="211"/>
      <c r="D1091" s="211"/>
      <c r="E1091" s="211"/>
      <c r="F1091" s="211"/>
      <c r="G1091" s="211"/>
      <c r="H1091" s="211"/>
      <c r="I1091" s="211"/>
      <c r="J1091" s="16"/>
      <c r="K1091" s="1"/>
      <c r="M1091" s="1"/>
      <c r="N1091" s="1"/>
      <c r="O1091" s="1"/>
      <c r="P1091" s="1"/>
      <c r="Q1091" s="95"/>
      <c r="R1091" s="5" t="b">
        <f t="shared" si="238"/>
        <v>0</v>
      </c>
    </row>
    <row r="1092" spans="1:18" s="4" customFormat="1" ht="15" hidden="1" customHeight="1">
      <c r="A1092" s="64"/>
      <c r="B1092" s="7">
        <f t="shared" si="237"/>
        <v>189</v>
      </c>
      <c r="C1092" s="211"/>
      <c r="D1092" s="211"/>
      <c r="E1092" s="211"/>
      <c r="F1092" s="211"/>
      <c r="G1092" s="211"/>
      <c r="H1092" s="211"/>
      <c r="I1092" s="211"/>
      <c r="J1092" s="16"/>
      <c r="K1092" s="1"/>
      <c r="M1092" s="1"/>
      <c r="N1092" s="1"/>
      <c r="O1092" s="1"/>
      <c r="P1092" s="1"/>
      <c r="Q1092" s="95"/>
      <c r="R1092" s="5" t="b">
        <f t="shared" si="238"/>
        <v>0</v>
      </c>
    </row>
    <row r="1093" spans="1:18" s="4" customFormat="1" ht="15" hidden="1" customHeight="1">
      <c r="A1093" s="64"/>
      <c r="B1093" s="7">
        <f t="shared" si="237"/>
        <v>190</v>
      </c>
      <c r="C1093" s="211"/>
      <c r="D1093" s="211"/>
      <c r="E1093" s="211"/>
      <c r="F1093" s="211"/>
      <c r="G1093" s="211"/>
      <c r="H1093" s="211"/>
      <c r="I1093" s="211"/>
      <c r="J1093" s="16"/>
      <c r="K1093" s="1"/>
      <c r="M1093" s="1"/>
      <c r="N1093" s="1"/>
      <c r="O1093" s="1"/>
      <c r="P1093" s="1"/>
      <c r="Q1093" s="95"/>
      <c r="R1093" s="5" t="b">
        <f t="shared" si="238"/>
        <v>0</v>
      </c>
    </row>
    <row r="1094" spans="1:18" s="4" customFormat="1" ht="15" hidden="1" customHeight="1">
      <c r="A1094" s="64"/>
      <c r="B1094" s="7">
        <f t="shared" si="237"/>
        <v>191</v>
      </c>
      <c r="C1094" s="211"/>
      <c r="D1094" s="211"/>
      <c r="E1094" s="211"/>
      <c r="F1094" s="211"/>
      <c r="G1094" s="211"/>
      <c r="H1094" s="211"/>
      <c r="I1094" s="211"/>
      <c r="J1094" s="16"/>
      <c r="K1094" s="1"/>
      <c r="M1094" s="1"/>
      <c r="N1094" s="1"/>
      <c r="O1094" s="1"/>
      <c r="P1094" s="1"/>
      <c r="Q1094" s="95"/>
      <c r="R1094" s="5" t="b">
        <f t="shared" si="238"/>
        <v>0</v>
      </c>
    </row>
    <row r="1095" spans="1:18" s="4" customFormat="1" ht="15" hidden="1" customHeight="1">
      <c r="A1095" s="64"/>
      <c r="B1095" s="7">
        <f t="shared" si="237"/>
        <v>192</v>
      </c>
      <c r="C1095" s="211"/>
      <c r="D1095" s="211"/>
      <c r="E1095" s="211"/>
      <c r="F1095" s="211"/>
      <c r="G1095" s="211"/>
      <c r="H1095" s="211"/>
      <c r="I1095" s="211"/>
      <c r="J1095" s="16"/>
      <c r="K1095" s="1"/>
      <c r="M1095" s="1"/>
      <c r="N1095" s="1"/>
      <c r="O1095" s="1"/>
      <c r="P1095" s="1"/>
      <c r="Q1095" s="95"/>
      <c r="R1095" s="5" t="b">
        <f t="shared" si="238"/>
        <v>0</v>
      </c>
    </row>
    <row r="1096" spans="1:18" s="4" customFormat="1" ht="15" hidden="1" customHeight="1">
      <c r="A1096" s="64"/>
      <c r="B1096" s="7">
        <f t="shared" si="237"/>
        <v>193</v>
      </c>
      <c r="C1096" s="211"/>
      <c r="D1096" s="211"/>
      <c r="E1096" s="211"/>
      <c r="F1096" s="211"/>
      <c r="G1096" s="211"/>
      <c r="H1096" s="211"/>
      <c r="I1096" s="211"/>
      <c r="J1096" s="16"/>
      <c r="K1096" s="1"/>
      <c r="M1096" s="1"/>
      <c r="N1096" s="1"/>
      <c r="O1096" s="1"/>
      <c r="P1096" s="1"/>
      <c r="Q1096" s="95"/>
      <c r="R1096" s="5" t="b">
        <f t="shared" si="238"/>
        <v>0</v>
      </c>
    </row>
    <row r="1097" spans="1:18" s="4" customFormat="1" ht="15" hidden="1" customHeight="1">
      <c r="A1097" s="64"/>
      <c r="B1097" s="7">
        <f t="shared" si="237"/>
        <v>194</v>
      </c>
      <c r="C1097" s="211"/>
      <c r="D1097" s="211"/>
      <c r="E1097" s="211"/>
      <c r="F1097" s="211"/>
      <c r="G1097" s="211"/>
      <c r="H1097" s="211"/>
      <c r="I1097" s="211"/>
      <c r="J1097" s="16"/>
      <c r="K1097" s="1"/>
      <c r="M1097" s="1"/>
      <c r="N1097" s="1"/>
      <c r="O1097" s="1"/>
      <c r="P1097" s="1"/>
      <c r="Q1097" s="95"/>
      <c r="R1097" s="5" t="b">
        <f t="shared" si="238"/>
        <v>0</v>
      </c>
    </row>
    <row r="1098" spans="1:18" s="4" customFormat="1" ht="15" hidden="1" customHeight="1">
      <c r="A1098" s="64"/>
      <c r="B1098" s="7">
        <f t="shared" si="237"/>
        <v>195</v>
      </c>
      <c r="C1098" s="211"/>
      <c r="D1098" s="211"/>
      <c r="E1098" s="211"/>
      <c r="F1098" s="211"/>
      <c r="G1098" s="211"/>
      <c r="H1098" s="211"/>
      <c r="I1098" s="211"/>
      <c r="J1098" s="16"/>
      <c r="K1098" s="1"/>
      <c r="M1098" s="1"/>
      <c r="N1098" s="1"/>
      <c r="O1098" s="1"/>
      <c r="P1098" s="1"/>
      <c r="Q1098" s="95"/>
      <c r="R1098" s="5" t="b">
        <f t="shared" si="238"/>
        <v>0</v>
      </c>
    </row>
    <row r="1099" spans="1:18" s="4" customFormat="1" ht="15" hidden="1" customHeight="1">
      <c r="A1099" s="64"/>
      <c r="B1099" s="7">
        <f t="shared" si="237"/>
        <v>196</v>
      </c>
      <c r="C1099" s="211"/>
      <c r="D1099" s="211"/>
      <c r="E1099" s="211"/>
      <c r="F1099" s="211"/>
      <c r="G1099" s="211"/>
      <c r="H1099" s="211"/>
      <c r="I1099" s="211"/>
      <c r="J1099" s="16"/>
      <c r="K1099" s="1"/>
      <c r="M1099" s="1"/>
      <c r="N1099" s="1"/>
      <c r="O1099" s="1"/>
      <c r="P1099" s="1"/>
      <c r="Q1099" s="95"/>
      <c r="R1099" s="5" t="b">
        <f t="shared" si="238"/>
        <v>0</v>
      </c>
    </row>
    <row r="1100" spans="1:18" s="4" customFormat="1" ht="15" hidden="1" customHeight="1">
      <c r="A1100" s="64"/>
      <c r="B1100" s="7">
        <f t="shared" si="237"/>
        <v>197</v>
      </c>
      <c r="C1100" s="211"/>
      <c r="D1100" s="211"/>
      <c r="E1100" s="211"/>
      <c r="F1100" s="211"/>
      <c r="G1100" s="211"/>
      <c r="H1100" s="211"/>
      <c r="I1100" s="211"/>
      <c r="J1100" s="16"/>
      <c r="K1100" s="1"/>
      <c r="M1100" s="1"/>
      <c r="N1100" s="1"/>
      <c r="O1100" s="1"/>
      <c r="P1100" s="1"/>
      <c r="Q1100" s="95"/>
      <c r="R1100" s="5" t="b">
        <f t="shared" si="238"/>
        <v>0</v>
      </c>
    </row>
    <row r="1101" spans="1:18" s="4" customFormat="1" ht="15" hidden="1" customHeight="1">
      <c r="A1101" s="64"/>
      <c r="B1101" s="7">
        <f t="shared" si="237"/>
        <v>198</v>
      </c>
      <c r="C1101" s="211"/>
      <c r="D1101" s="211"/>
      <c r="E1101" s="211"/>
      <c r="F1101" s="211"/>
      <c r="G1101" s="211"/>
      <c r="H1101" s="211"/>
      <c r="I1101" s="211"/>
      <c r="J1101" s="16"/>
      <c r="K1101" s="1"/>
      <c r="M1101" s="1"/>
      <c r="N1101" s="1"/>
      <c r="O1101" s="1"/>
      <c r="P1101" s="1"/>
      <c r="Q1101" s="95"/>
      <c r="R1101" s="5" t="b">
        <f t="shared" si="238"/>
        <v>0</v>
      </c>
    </row>
    <row r="1102" spans="1:18" s="4" customFormat="1" ht="15" hidden="1" customHeight="1">
      <c r="A1102" s="64"/>
      <c r="B1102" s="7">
        <f t="shared" si="237"/>
        <v>199</v>
      </c>
      <c r="C1102" s="211"/>
      <c r="D1102" s="211"/>
      <c r="E1102" s="211"/>
      <c r="F1102" s="211"/>
      <c r="G1102" s="211"/>
      <c r="H1102" s="211"/>
      <c r="I1102" s="211"/>
      <c r="J1102" s="16"/>
      <c r="K1102" s="1"/>
      <c r="M1102" s="1"/>
      <c r="N1102" s="1"/>
      <c r="O1102" s="1"/>
      <c r="P1102" s="1"/>
      <c r="Q1102" s="95"/>
      <c r="R1102" s="5" t="b">
        <f t="shared" si="238"/>
        <v>0</v>
      </c>
    </row>
    <row r="1103" spans="1:18" s="4" customFormat="1" ht="15" hidden="1" customHeight="1">
      <c r="A1103" s="64"/>
      <c r="B1103" s="7">
        <f t="shared" si="237"/>
        <v>200</v>
      </c>
      <c r="C1103" s="211"/>
      <c r="D1103" s="211"/>
      <c r="E1103" s="211"/>
      <c r="F1103" s="211"/>
      <c r="G1103" s="211"/>
      <c r="H1103" s="211"/>
      <c r="I1103" s="211"/>
      <c r="J1103" s="16"/>
      <c r="K1103" s="1"/>
      <c r="M1103" s="1"/>
      <c r="N1103" s="1"/>
      <c r="O1103" s="1"/>
      <c r="P1103" s="1"/>
      <c r="Q1103" s="95"/>
      <c r="R1103" s="5" t="b">
        <f t="shared" si="238"/>
        <v>0</v>
      </c>
    </row>
    <row r="1104" spans="1:18" s="4" customFormat="1" ht="15" hidden="1" customHeight="1">
      <c r="A1104" s="64"/>
      <c r="B1104" s="7">
        <f t="shared" ref="B1104:B1131" si="239">B1103+1</f>
        <v>201</v>
      </c>
      <c r="C1104" s="211"/>
      <c r="D1104" s="211"/>
      <c r="E1104" s="211"/>
      <c r="F1104" s="211"/>
      <c r="G1104" s="211"/>
      <c r="H1104" s="211"/>
      <c r="I1104" s="211"/>
      <c r="J1104" s="16"/>
      <c r="K1104" s="1"/>
      <c r="M1104" s="1"/>
      <c r="N1104" s="1"/>
      <c r="O1104" s="1"/>
      <c r="P1104" s="1"/>
      <c r="Q1104" s="95"/>
      <c r="R1104" s="5" t="b">
        <f t="shared" si="238"/>
        <v>0</v>
      </c>
    </row>
    <row r="1105" spans="1:18" s="4" customFormat="1" ht="15" hidden="1" customHeight="1">
      <c r="A1105" s="64"/>
      <c r="B1105" s="7">
        <f t="shared" si="239"/>
        <v>202</v>
      </c>
      <c r="C1105" s="211"/>
      <c r="D1105" s="211"/>
      <c r="E1105" s="211"/>
      <c r="F1105" s="211"/>
      <c r="G1105" s="211"/>
      <c r="H1105" s="211"/>
      <c r="I1105" s="211"/>
      <c r="J1105" s="16"/>
      <c r="K1105" s="1"/>
      <c r="M1105" s="1"/>
      <c r="N1105" s="1"/>
      <c r="O1105" s="1"/>
      <c r="P1105" s="1"/>
      <c r="Q1105" s="95"/>
      <c r="R1105" s="5" t="b">
        <f t="shared" si="238"/>
        <v>0</v>
      </c>
    </row>
    <row r="1106" spans="1:18" s="4" customFormat="1" ht="15" hidden="1" customHeight="1">
      <c r="A1106" s="64"/>
      <c r="B1106" s="7">
        <f t="shared" si="239"/>
        <v>203</v>
      </c>
      <c r="C1106" s="211"/>
      <c r="D1106" s="211"/>
      <c r="E1106" s="211"/>
      <c r="F1106" s="211"/>
      <c r="G1106" s="211"/>
      <c r="H1106" s="211"/>
      <c r="I1106" s="211"/>
      <c r="J1106" s="16"/>
      <c r="K1106" s="1"/>
      <c r="M1106" s="1"/>
      <c r="N1106" s="1"/>
      <c r="O1106" s="1"/>
      <c r="P1106" s="1"/>
      <c r="Q1106" s="95"/>
      <c r="R1106" s="5" t="b">
        <f t="shared" si="238"/>
        <v>0</v>
      </c>
    </row>
    <row r="1107" spans="1:18" s="4" customFormat="1" ht="15" hidden="1" customHeight="1">
      <c r="A1107" s="64"/>
      <c r="B1107" s="7">
        <f t="shared" si="239"/>
        <v>204</v>
      </c>
      <c r="C1107" s="211"/>
      <c r="D1107" s="211"/>
      <c r="E1107" s="211"/>
      <c r="F1107" s="211"/>
      <c r="G1107" s="211"/>
      <c r="H1107" s="211"/>
      <c r="I1107" s="211"/>
      <c r="J1107" s="16"/>
      <c r="K1107" s="1"/>
      <c r="M1107" s="1"/>
      <c r="N1107" s="1"/>
      <c r="O1107" s="1"/>
      <c r="P1107" s="1"/>
      <c r="Q1107" s="95"/>
      <c r="R1107" s="5" t="b">
        <f t="shared" si="238"/>
        <v>0</v>
      </c>
    </row>
    <row r="1108" spans="1:18" s="4" customFormat="1" ht="15" hidden="1" customHeight="1">
      <c r="A1108" s="64"/>
      <c r="B1108" s="7">
        <f t="shared" si="239"/>
        <v>205</v>
      </c>
      <c r="C1108" s="211"/>
      <c r="D1108" s="211"/>
      <c r="E1108" s="211"/>
      <c r="F1108" s="211"/>
      <c r="G1108" s="211"/>
      <c r="H1108" s="211"/>
      <c r="I1108" s="211"/>
      <c r="J1108" s="16"/>
      <c r="K1108" s="1"/>
      <c r="M1108" s="1"/>
      <c r="N1108" s="1"/>
      <c r="O1108" s="1"/>
      <c r="P1108" s="1"/>
      <c r="Q1108" s="95"/>
      <c r="R1108" s="5" t="b">
        <f t="shared" si="238"/>
        <v>0</v>
      </c>
    </row>
    <row r="1109" spans="1:18" s="4" customFormat="1" ht="15" hidden="1" customHeight="1">
      <c r="A1109" s="64"/>
      <c r="B1109" s="7">
        <f t="shared" si="239"/>
        <v>206</v>
      </c>
      <c r="C1109" s="211"/>
      <c r="D1109" s="211"/>
      <c r="E1109" s="211"/>
      <c r="F1109" s="211"/>
      <c r="G1109" s="211"/>
      <c r="H1109" s="211"/>
      <c r="I1109" s="211"/>
      <c r="J1109" s="16"/>
      <c r="K1109" s="1"/>
      <c r="M1109" s="1"/>
      <c r="N1109" s="1"/>
      <c r="O1109" s="1"/>
      <c r="P1109" s="1"/>
      <c r="Q1109" s="95"/>
      <c r="R1109" s="5" t="b">
        <f t="shared" si="238"/>
        <v>0</v>
      </c>
    </row>
    <row r="1110" spans="1:18" s="4" customFormat="1" ht="15" hidden="1" customHeight="1">
      <c r="A1110" s="64"/>
      <c r="B1110" s="7">
        <f t="shared" si="239"/>
        <v>207</v>
      </c>
      <c r="C1110" s="211"/>
      <c r="D1110" s="211"/>
      <c r="E1110" s="211"/>
      <c r="F1110" s="211"/>
      <c r="G1110" s="211"/>
      <c r="H1110" s="211"/>
      <c r="I1110" s="211"/>
      <c r="J1110" s="16"/>
      <c r="K1110" s="1"/>
      <c r="M1110" s="1"/>
      <c r="N1110" s="1"/>
      <c r="O1110" s="1"/>
      <c r="P1110" s="1"/>
      <c r="Q1110" s="95"/>
      <c r="R1110" s="5" t="b">
        <f t="shared" si="238"/>
        <v>0</v>
      </c>
    </row>
    <row r="1111" spans="1:18" s="4" customFormat="1" ht="15" hidden="1" customHeight="1">
      <c r="A1111" s="64"/>
      <c r="B1111" s="7">
        <f t="shared" si="239"/>
        <v>208</v>
      </c>
      <c r="C1111" s="211"/>
      <c r="D1111" s="211"/>
      <c r="E1111" s="211"/>
      <c r="F1111" s="211"/>
      <c r="G1111" s="211"/>
      <c r="H1111" s="211"/>
      <c r="I1111" s="211"/>
      <c r="J1111" s="16"/>
      <c r="K1111" s="1"/>
      <c r="M1111" s="1"/>
      <c r="N1111" s="1"/>
      <c r="O1111" s="1"/>
      <c r="P1111" s="1"/>
      <c r="Q1111" s="95"/>
      <c r="R1111" s="5" t="b">
        <f t="shared" si="238"/>
        <v>0</v>
      </c>
    </row>
    <row r="1112" spans="1:18" s="4" customFormat="1" ht="15" hidden="1" customHeight="1">
      <c r="A1112" s="64"/>
      <c r="B1112" s="7">
        <f t="shared" si="239"/>
        <v>209</v>
      </c>
      <c r="C1112" s="211"/>
      <c r="D1112" s="211"/>
      <c r="E1112" s="211"/>
      <c r="F1112" s="211"/>
      <c r="G1112" s="211"/>
      <c r="H1112" s="211"/>
      <c r="I1112" s="211"/>
      <c r="J1112" s="16"/>
      <c r="K1112" s="1"/>
      <c r="M1112" s="1"/>
      <c r="N1112" s="1"/>
      <c r="O1112" s="1"/>
      <c r="P1112" s="1"/>
      <c r="Q1112" s="95"/>
      <c r="R1112" s="5" t="b">
        <f t="shared" si="238"/>
        <v>0</v>
      </c>
    </row>
    <row r="1113" spans="1:18" s="4" customFormat="1" ht="15" hidden="1" customHeight="1">
      <c r="A1113" s="64"/>
      <c r="B1113" s="7">
        <f t="shared" si="239"/>
        <v>210</v>
      </c>
      <c r="C1113" s="211"/>
      <c r="D1113" s="211"/>
      <c r="E1113" s="211"/>
      <c r="F1113" s="211"/>
      <c r="G1113" s="211"/>
      <c r="H1113" s="211"/>
      <c r="I1113" s="211"/>
      <c r="J1113" s="16"/>
      <c r="K1113" s="1"/>
      <c r="M1113" s="1"/>
      <c r="N1113" s="1"/>
      <c r="O1113" s="1"/>
      <c r="P1113" s="1"/>
      <c r="Q1113" s="95"/>
      <c r="R1113" s="5" t="b">
        <f t="shared" si="238"/>
        <v>0</v>
      </c>
    </row>
    <row r="1114" spans="1:18" s="4" customFormat="1" ht="15" hidden="1" customHeight="1">
      <c r="A1114" s="64"/>
      <c r="B1114" s="7">
        <f t="shared" si="239"/>
        <v>211</v>
      </c>
      <c r="C1114" s="211"/>
      <c r="D1114" s="211"/>
      <c r="E1114" s="211"/>
      <c r="F1114" s="211"/>
      <c r="G1114" s="211"/>
      <c r="H1114" s="211"/>
      <c r="I1114" s="211"/>
      <c r="J1114" s="16"/>
      <c r="K1114" s="1"/>
      <c r="M1114" s="1"/>
      <c r="N1114" s="1"/>
      <c r="O1114" s="1"/>
      <c r="P1114" s="1"/>
      <c r="Q1114" s="95"/>
      <c r="R1114" s="5" t="b">
        <f t="shared" si="238"/>
        <v>0</v>
      </c>
    </row>
    <row r="1115" spans="1:18" s="4" customFormat="1" ht="15" hidden="1" customHeight="1">
      <c r="A1115" s="64"/>
      <c r="B1115" s="7">
        <f t="shared" si="239"/>
        <v>212</v>
      </c>
      <c r="C1115" s="211"/>
      <c r="D1115" s="211"/>
      <c r="E1115" s="211"/>
      <c r="F1115" s="211"/>
      <c r="G1115" s="211"/>
      <c r="H1115" s="211"/>
      <c r="I1115" s="211"/>
      <c r="J1115" s="16"/>
      <c r="K1115" s="1"/>
      <c r="M1115" s="1"/>
      <c r="N1115" s="1"/>
      <c r="O1115" s="1"/>
      <c r="P1115" s="1"/>
      <c r="Q1115" s="95"/>
      <c r="R1115" s="5" t="b">
        <f t="shared" si="238"/>
        <v>0</v>
      </c>
    </row>
    <row r="1116" spans="1:18" s="4" customFormat="1" ht="15" hidden="1" customHeight="1">
      <c r="A1116" s="64"/>
      <c r="B1116" s="7">
        <f t="shared" si="239"/>
        <v>213</v>
      </c>
      <c r="C1116" s="211"/>
      <c r="D1116" s="211"/>
      <c r="E1116" s="211"/>
      <c r="F1116" s="211"/>
      <c r="G1116" s="211"/>
      <c r="H1116" s="211"/>
      <c r="I1116" s="211"/>
      <c r="J1116" s="16"/>
      <c r="K1116" s="1"/>
      <c r="M1116" s="1"/>
      <c r="N1116" s="1"/>
      <c r="O1116" s="1"/>
      <c r="P1116" s="1"/>
      <c r="Q1116" s="95"/>
      <c r="R1116" s="5" t="b">
        <f t="shared" si="238"/>
        <v>0</v>
      </c>
    </row>
    <row r="1117" spans="1:18" s="4" customFormat="1" ht="15" hidden="1" customHeight="1">
      <c r="A1117" s="64"/>
      <c r="B1117" s="7">
        <f t="shared" si="239"/>
        <v>214</v>
      </c>
      <c r="C1117" s="211"/>
      <c r="D1117" s="211"/>
      <c r="E1117" s="211"/>
      <c r="F1117" s="211"/>
      <c r="G1117" s="211"/>
      <c r="H1117" s="211"/>
      <c r="I1117" s="211"/>
      <c r="J1117" s="16"/>
      <c r="K1117" s="1"/>
      <c r="M1117" s="1"/>
      <c r="N1117" s="1"/>
      <c r="O1117" s="1"/>
      <c r="P1117" s="1"/>
      <c r="Q1117" s="95"/>
      <c r="R1117" s="5" t="b">
        <f t="shared" si="238"/>
        <v>0</v>
      </c>
    </row>
    <row r="1118" spans="1:18" s="4" customFormat="1" ht="15" hidden="1" customHeight="1">
      <c r="A1118" s="64"/>
      <c r="B1118" s="7">
        <f t="shared" si="239"/>
        <v>215</v>
      </c>
      <c r="C1118" s="211"/>
      <c r="D1118" s="211"/>
      <c r="E1118" s="211"/>
      <c r="F1118" s="211"/>
      <c r="G1118" s="211"/>
      <c r="H1118" s="211"/>
      <c r="I1118" s="211"/>
      <c r="J1118" s="16"/>
      <c r="K1118" s="1"/>
      <c r="M1118" s="1"/>
      <c r="N1118" s="1"/>
      <c r="O1118" s="1"/>
      <c r="P1118" s="1"/>
      <c r="Q1118" s="95"/>
      <c r="R1118" s="5" t="b">
        <f t="shared" si="238"/>
        <v>0</v>
      </c>
    </row>
    <row r="1119" spans="1:18" s="4" customFormat="1" ht="15" hidden="1" customHeight="1">
      <c r="A1119" s="64"/>
      <c r="B1119" s="7">
        <f t="shared" si="239"/>
        <v>216</v>
      </c>
      <c r="C1119" s="211"/>
      <c r="D1119" s="211"/>
      <c r="E1119" s="211"/>
      <c r="F1119" s="211"/>
      <c r="G1119" s="211"/>
      <c r="H1119" s="211"/>
      <c r="I1119" s="211"/>
      <c r="J1119" s="16"/>
      <c r="K1119" s="1"/>
      <c r="M1119" s="1"/>
      <c r="N1119" s="1"/>
      <c r="O1119" s="1"/>
      <c r="P1119" s="1"/>
      <c r="Q1119" s="95"/>
      <c r="R1119" s="5" t="b">
        <f t="shared" si="238"/>
        <v>0</v>
      </c>
    </row>
    <row r="1120" spans="1:18" s="4" customFormat="1" ht="15" hidden="1" customHeight="1">
      <c r="A1120" s="64"/>
      <c r="B1120" s="7">
        <f t="shared" si="239"/>
        <v>217</v>
      </c>
      <c r="C1120" s="211"/>
      <c r="D1120" s="211"/>
      <c r="E1120" s="211"/>
      <c r="F1120" s="211"/>
      <c r="G1120" s="211"/>
      <c r="H1120" s="211"/>
      <c r="I1120" s="211"/>
      <c r="J1120" s="16"/>
      <c r="K1120" s="1"/>
      <c r="M1120" s="1"/>
      <c r="N1120" s="1"/>
      <c r="O1120" s="1"/>
      <c r="P1120" s="1"/>
      <c r="Q1120" s="95"/>
      <c r="R1120" s="5" t="b">
        <f t="shared" si="238"/>
        <v>0</v>
      </c>
    </row>
    <row r="1121" spans="1:18" s="4" customFormat="1" ht="15" hidden="1" customHeight="1">
      <c r="A1121" s="64"/>
      <c r="B1121" s="7">
        <f t="shared" si="239"/>
        <v>218</v>
      </c>
      <c r="C1121" s="211"/>
      <c r="D1121" s="211"/>
      <c r="E1121" s="211"/>
      <c r="F1121" s="211"/>
      <c r="G1121" s="211"/>
      <c r="H1121" s="211"/>
      <c r="I1121" s="211"/>
      <c r="J1121" s="16"/>
      <c r="K1121" s="1"/>
      <c r="M1121" s="1"/>
      <c r="N1121" s="1"/>
      <c r="O1121" s="1"/>
      <c r="P1121" s="1"/>
      <c r="Q1121" s="95"/>
      <c r="R1121" s="5" t="b">
        <f t="shared" si="238"/>
        <v>0</v>
      </c>
    </row>
    <row r="1122" spans="1:18" s="4" customFormat="1" ht="15" hidden="1" customHeight="1">
      <c r="A1122" s="64"/>
      <c r="B1122" s="7">
        <f t="shared" si="239"/>
        <v>219</v>
      </c>
      <c r="C1122" s="211"/>
      <c r="D1122" s="211"/>
      <c r="E1122" s="211"/>
      <c r="F1122" s="211"/>
      <c r="G1122" s="211"/>
      <c r="H1122" s="211"/>
      <c r="I1122" s="211"/>
      <c r="J1122" s="16"/>
      <c r="K1122" s="1"/>
      <c r="M1122" s="1"/>
      <c r="N1122" s="1"/>
      <c r="O1122" s="1"/>
      <c r="P1122" s="1"/>
      <c r="Q1122" s="95"/>
      <c r="R1122" s="5" t="b">
        <f t="shared" si="238"/>
        <v>0</v>
      </c>
    </row>
    <row r="1123" spans="1:18" s="4" customFormat="1" ht="15" hidden="1" customHeight="1">
      <c r="A1123" s="64"/>
      <c r="B1123" s="7">
        <f t="shared" si="239"/>
        <v>220</v>
      </c>
      <c r="C1123" s="211"/>
      <c r="D1123" s="211"/>
      <c r="E1123" s="211"/>
      <c r="F1123" s="211"/>
      <c r="G1123" s="211"/>
      <c r="H1123" s="211"/>
      <c r="I1123" s="211"/>
      <c r="J1123" s="16"/>
      <c r="K1123" s="1"/>
      <c r="M1123" s="1"/>
      <c r="N1123" s="1"/>
      <c r="O1123" s="1"/>
      <c r="P1123" s="1"/>
      <c r="Q1123" s="95"/>
      <c r="R1123" s="5" t="b">
        <f t="shared" si="238"/>
        <v>0</v>
      </c>
    </row>
    <row r="1124" spans="1:18" s="4" customFormat="1" ht="15" hidden="1" customHeight="1">
      <c r="A1124" s="64"/>
      <c r="B1124" s="7">
        <f t="shared" si="239"/>
        <v>221</v>
      </c>
      <c r="C1124" s="211"/>
      <c r="D1124" s="211"/>
      <c r="E1124" s="211"/>
      <c r="F1124" s="211"/>
      <c r="G1124" s="211"/>
      <c r="H1124" s="211"/>
      <c r="I1124" s="211"/>
      <c r="J1124" s="16"/>
      <c r="K1124" s="1"/>
      <c r="M1124" s="1"/>
      <c r="N1124" s="1"/>
      <c r="O1124" s="1"/>
      <c r="P1124" s="1"/>
      <c r="Q1124" s="95"/>
      <c r="R1124" s="5" t="b">
        <f t="shared" si="238"/>
        <v>0</v>
      </c>
    </row>
    <row r="1125" spans="1:18" s="4" customFormat="1" ht="15" hidden="1" customHeight="1">
      <c r="A1125" s="64"/>
      <c r="B1125" s="7">
        <f t="shared" si="239"/>
        <v>222</v>
      </c>
      <c r="C1125" s="211"/>
      <c r="D1125" s="211"/>
      <c r="E1125" s="211"/>
      <c r="F1125" s="211"/>
      <c r="G1125" s="211"/>
      <c r="H1125" s="211"/>
      <c r="I1125" s="211"/>
      <c r="J1125" s="16"/>
      <c r="K1125" s="1"/>
      <c r="M1125" s="1"/>
      <c r="N1125" s="1"/>
      <c r="O1125" s="1"/>
      <c r="P1125" s="1"/>
      <c r="Q1125" s="95"/>
      <c r="R1125" s="5" t="b">
        <f t="shared" si="238"/>
        <v>0</v>
      </c>
    </row>
    <row r="1126" spans="1:18" s="4" customFormat="1" ht="15" hidden="1" customHeight="1">
      <c r="A1126" s="64"/>
      <c r="B1126" s="7">
        <f t="shared" si="239"/>
        <v>223</v>
      </c>
      <c r="C1126" s="211"/>
      <c r="D1126" s="211"/>
      <c r="E1126" s="211"/>
      <c r="F1126" s="211"/>
      <c r="G1126" s="211"/>
      <c r="H1126" s="211"/>
      <c r="I1126" s="211"/>
      <c r="J1126" s="16"/>
      <c r="K1126" s="1"/>
      <c r="M1126" s="1"/>
      <c r="N1126" s="1"/>
      <c r="O1126" s="1"/>
      <c r="P1126" s="1"/>
      <c r="Q1126" s="95"/>
      <c r="R1126" s="5" t="b">
        <f t="shared" si="238"/>
        <v>0</v>
      </c>
    </row>
    <row r="1127" spans="1:18" s="4" customFormat="1" ht="15" hidden="1" customHeight="1">
      <c r="A1127" s="64"/>
      <c r="B1127" s="7">
        <f t="shared" si="239"/>
        <v>224</v>
      </c>
      <c r="C1127" s="211"/>
      <c r="D1127" s="211"/>
      <c r="E1127" s="211"/>
      <c r="F1127" s="211"/>
      <c r="G1127" s="211"/>
      <c r="H1127" s="211"/>
      <c r="I1127" s="211"/>
      <c r="J1127" s="16"/>
      <c r="K1127" s="1"/>
      <c r="M1127" s="1"/>
      <c r="N1127" s="1"/>
      <c r="O1127" s="1"/>
      <c r="P1127" s="1"/>
      <c r="Q1127" s="95"/>
      <c r="R1127" s="5" t="b">
        <f t="shared" si="238"/>
        <v>0</v>
      </c>
    </row>
    <row r="1128" spans="1:18" s="4" customFormat="1" ht="15" hidden="1" customHeight="1">
      <c r="A1128" s="64"/>
      <c r="B1128" s="7">
        <f t="shared" si="239"/>
        <v>225</v>
      </c>
      <c r="C1128" s="211"/>
      <c r="D1128" s="211"/>
      <c r="E1128" s="211"/>
      <c r="F1128" s="211"/>
      <c r="G1128" s="211"/>
      <c r="H1128" s="211"/>
      <c r="I1128" s="211"/>
      <c r="J1128" s="16"/>
      <c r="K1128" s="1"/>
      <c r="M1128" s="1"/>
      <c r="N1128" s="1"/>
      <c r="O1128" s="1"/>
      <c r="P1128" s="1"/>
      <c r="Q1128" s="95"/>
      <c r="R1128" s="5" t="b">
        <f t="shared" si="238"/>
        <v>0</v>
      </c>
    </row>
    <row r="1129" spans="1:18" s="4" customFormat="1" ht="15" hidden="1" customHeight="1">
      <c r="A1129" s="64"/>
      <c r="B1129" s="7">
        <f t="shared" si="239"/>
        <v>226</v>
      </c>
      <c r="C1129" s="211"/>
      <c r="D1129" s="211"/>
      <c r="E1129" s="211"/>
      <c r="F1129" s="211"/>
      <c r="G1129" s="211"/>
      <c r="H1129" s="211"/>
      <c r="I1129" s="211"/>
      <c r="J1129" s="16"/>
      <c r="K1129" s="1"/>
      <c r="M1129" s="1"/>
      <c r="N1129" s="1"/>
      <c r="O1129" s="1"/>
      <c r="P1129" s="1"/>
      <c r="Q1129" s="95"/>
      <c r="R1129" s="5" t="b">
        <f t="shared" si="238"/>
        <v>0</v>
      </c>
    </row>
    <row r="1130" spans="1:18" s="4" customFormat="1" ht="15" hidden="1" customHeight="1">
      <c r="A1130" s="64"/>
      <c r="B1130" s="7">
        <f t="shared" si="239"/>
        <v>227</v>
      </c>
      <c r="C1130" s="211"/>
      <c r="D1130" s="211"/>
      <c r="E1130" s="211"/>
      <c r="F1130" s="211"/>
      <c r="G1130" s="211"/>
      <c r="H1130" s="211"/>
      <c r="I1130" s="211"/>
      <c r="J1130" s="16"/>
      <c r="K1130" s="1"/>
      <c r="M1130" s="1"/>
      <c r="N1130" s="1"/>
      <c r="O1130" s="1"/>
      <c r="P1130" s="1"/>
      <c r="Q1130" s="95"/>
      <c r="R1130" s="5" t="b">
        <f t="shared" si="238"/>
        <v>0</v>
      </c>
    </row>
    <row r="1131" spans="1:18" s="4" customFormat="1" ht="15" hidden="1" customHeight="1">
      <c r="A1131" s="64"/>
      <c r="B1131" s="7">
        <f t="shared" si="239"/>
        <v>228</v>
      </c>
      <c r="C1131" s="211"/>
      <c r="D1131" s="211"/>
      <c r="E1131" s="211"/>
      <c r="F1131" s="211"/>
      <c r="G1131" s="211"/>
      <c r="H1131" s="211"/>
      <c r="I1131" s="211"/>
      <c r="J1131" s="16"/>
      <c r="K1131" s="1"/>
      <c r="M1131" s="1"/>
      <c r="N1131" s="1"/>
      <c r="O1131" s="1"/>
      <c r="P1131" s="1"/>
      <c r="Q1131" s="95"/>
      <c r="R1131" s="5" t="b">
        <f t="shared" si="238"/>
        <v>0</v>
      </c>
    </row>
    <row r="1132" spans="1:18" s="4" customFormat="1" ht="15" hidden="1" customHeight="1">
      <c r="A1132" s="64"/>
      <c r="B1132" s="7">
        <f t="shared" ref="B1132:B1164" si="240">B1131+1</f>
        <v>229</v>
      </c>
      <c r="C1132" s="211"/>
      <c r="D1132" s="211"/>
      <c r="E1132" s="211"/>
      <c r="F1132" s="211"/>
      <c r="G1132" s="211"/>
      <c r="H1132" s="211"/>
      <c r="I1132" s="211"/>
      <c r="J1132" s="16"/>
      <c r="K1132" s="1"/>
      <c r="M1132" s="1"/>
      <c r="N1132" s="1"/>
      <c r="O1132" s="1"/>
      <c r="P1132" s="1"/>
      <c r="Q1132" s="95"/>
      <c r="R1132" s="5" t="b">
        <f t="shared" si="238"/>
        <v>0</v>
      </c>
    </row>
    <row r="1133" spans="1:18" s="4" customFormat="1" ht="15" hidden="1" customHeight="1">
      <c r="A1133" s="64"/>
      <c r="B1133" s="7">
        <f t="shared" si="240"/>
        <v>230</v>
      </c>
      <c r="C1133" s="211"/>
      <c r="D1133" s="211"/>
      <c r="E1133" s="211"/>
      <c r="F1133" s="211"/>
      <c r="G1133" s="211"/>
      <c r="H1133" s="211"/>
      <c r="I1133" s="211"/>
      <c r="J1133" s="16"/>
      <c r="K1133" s="1"/>
      <c r="M1133" s="1"/>
      <c r="N1133" s="1"/>
      <c r="O1133" s="1"/>
      <c r="P1133" s="1"/>
      <c r="Q1133" s="95"/>
      <c r="R1133" s="5" t="b">
        <f t="shared" si="238"/>
        <v>0</v>
      </c>
    </row>
    <row r="1134" spans="1:18" s="4" customFormat="1" ht="15" hidden="1" customHeight="1">
      <c r="A1134" s="64"/>
      <c r="B1134" s="7">
        <f t="shared" si="240"/>
        <v>231</v>
      </c>
      <c r="C1134" s="211"/>
      <c r="D1134" s="211"/>
      <c r="E1134" s="211"/>
      <c r="F1134" s="211"/>
      <c r="G1134" s="211"/>
      <c r="H1134" s="211"/>
      <c r="I1134" s="211"/>
      <c r="J1134" s="16"/>
      <c r="K1134" s="1"/>
      <c r="M1134" s="1"/>
      <c r="N1134" s="1"/>
      <c r="O1134" s="1"/>
      <c r="P1134" s="1"/>
      <c r="Q1134" s="95"/>
      <c r="R1134" s="5" t="b">
        <f t="shared" si="238"/>
        <v>0</v>
      </c>
    </row>
    <row r="1135" spans="1:18" s="4" customFormat="1" ht="15" hidden="1" customHeight="1">
      <c r="A1135" s="64"/>
      <c r="B1135" s="7">
        <f t="shared" si="240"/>
        <v>232</v>
      </c>
      <c r="C1135" s="211"/>
      <c r="D1135" s="211"/>
      <c r="E1135" s="211"/>
      <c r="F1135" s="211"/>
      <c r="G1135" s="211"/>
      <c r="H1135" s="211"/>
      <c r="I1135" s="211"/>
      <c r="J1135" s="16"/>
      <c r="K1135" s="1"/>
      <c r="M1135" s="1"/>
      <c r="N1135" s="1"/>
      <c r="O1135" s="1"/>
      <c r="P1135" s="1"/>
      <c r="Q1135" s="95"/>
      <c r="R1135" s="5" t="b">
        <f t="shared" ref="R1135:R1198" si="241">IF(O1135&gt;89.9999999999999%,"PAMA")</f>
        <v>0</v>
      </c>
    </row>
    <row r="1136" spans="1:18" s="4" customFormat="1" ht="15" hidden="1" customHeight="1">
      <c r="A1136" s="64"/>
      <c r="B1136" s="7">
        <f t="shared" si="240"/>
        <v>233</v>
      </c>
      <c r="C1136" s="211"/>
      <c r="D1136" s="211"/>
      <c r="E1136" s="211"/>
      <c r="F1136" s="211"/>
      <c r="G1136" s="211"/>
      <c r="H1136" s="211"/>
      <c r="I1136" s="211"/>
      <c r="J1136" s="16"/>
      <c r="K1136" s="1"/>
      <c r="M1136" s="1"/>
      <c r="N1136" s="1"/>
      <c r="O1136" s="1"/>
      <c r="P1136" s="1"/>
      <c r="Q1136" s="95"/>
      <c r="R1136" s="5" t="b">
        <f t="shared" si="241"/>
        <v>0</v>
      </c>
    </row>
    <row r="1137" spans="1:18" s="4" customFormat="1" ht="15" hidden="1" customHeight="1">
      <c r="A1137" s="64"/>
      <c r="B1137" s="7">
        <f t="shared" si="240"/>
        <v>234</v>
      </c>
      <c r="C1137" s="211"/>
      <c r="D1137" s="211"/>
      <c r="E1137" s="211"/>
      <c r="F1137" s="211"/>
      <c r="G1137" s="211"/>
      <c r="H1137" s="211"/>
      <c r="I1137" s="211"/>
      <c r="J1137" s="16"/>
      <c r="K1137" s="1"/>
      <c r="M1137" s="1"/>
      <c r="N1137" s="1"/>
      <c r="O1137" s="1"/>
      <c r="P1137" s="1"/>
      <c r="Q1137" s="95"/>
      <c r="R1137" s="5" t="b">
        <f t="shared" si="241"/>
        <v>0</v>
      </c>
    </row>
    <row r="1138" spans="1:18" s="4" customFormat="1" ht="15" hidden="1" customHeight="1">
      <c r="A1138" s="64"/>
      <c r="B1138" s="7">
        <f t="shared" si="240"/>
        <v>235</v>
      </c>
      <c r="C1138" s="211"/>
      <c r="D1138" s="211"/>
      <c r="E1138" s="211"/>
      <c r="F1138" s="211"/>
      <c r="G1138" s="211"/>
      <c r="H1138" s="211"/>
      <c r="I1138" s="211"/>
      <c r="J1138" s="16"/>
      <c r="K1138" s="1"/>
      <c r="M1138" s="1"/>
      <c r="N1138" s="1"/>
      <c r="O1138" s="1"/>
      <c r="P1138" s="1"/>
      <c r="Q1138" s="95"/>
      <c r="R1138" s="5" t="b">
        <f t="shared" si="241"/>
        <v>0</v>
      </c>
    </row>
    <row r="1139" spans="1:18" s="4" customFormat="1" ht="15" hidden="1" customHeight="1">
      <c r="A1139" s="64"/>
      <c r="B1139" s="7">
        <f t="shared" si="240"/>
        <v>236</v>
      </c>
      <c r="C1139" s="211"/>
      <c r="D1139" s="211"/>
      <c r="E1139" s="211"/>
      <c r="F1139" s="211"/>
      <c r="G1139" s="211"/>
      <c r="H1139" s="211"/>
      <c r="I1139" s="211"/>
      <c r="J1139" s="16"/>
      <c r="K1139" s="1"/>
      <c r="M1139" s="1"/>
      <c r="N1139" s="1"/>
      <c r="O1139" s="1"/>
      <c r="P1139" s="1"/>
      <c r="Q1139" s="95"/>
      <c r="R1139" s="5" t="b">
        <f t="shared" si="241"/>
        <v>0</v>
      </c>
    </row>
    <row r="1140" spans="1:18" s="4" customFormat="1" ht="15" hidden="1" customHeight="1">
      <c r="A1140" s="64"/>
      <c r="B1140" s="7">
        <f t="shared" si="240"/>
        <v>237</v>
      </c>
      <c r="C1140" s="211"/>
      <c r="D1140" s="211"/>
      <c r="E1140" s="211"/>
      <c r="F1140" s="211"/>
      <c r="G1140" s="211"/>
      <c r="H1140" s="211"/>
      <c r="I1140" s="211"/>
      <c r="J1140" s="16"/>
      <c r="K1140" s="1"/>
      <c r="M1140" s="1"/>
      <c r="N1140" s="1"/>
      <c r="O1140" s="1"/>
      <c r="P1140" s="1"/>
      <c r="Q1140" s="95"/>
      <c r="R1140" s="5" t="b">
        <f t="shared" si="241"/>
        <v>0</v>
      </c>
    </row>
    <row r="1141" spans="1:18" s="4" customFormat="1" ht="15" hidden="1" customHeight="1">
      <c r="A1141" s="64"/>
      <c r="B1141" s="7">
        <f t="shared" si="240"/>
        <v>238</v>
      </c>
      <c r="C1141" s="211"/>
      <c r="D1141" s="211"/>
      <c r="E1141" s="211"/>
      <c r="F1141" s="211"/>
      <c r="G1141" s="211"/>
      <c r="H1141" s="211"/>
      <c r="I1141" s="211"/>
      <c r="J1141" s="16"/>
      <c r="K1141" s="1"/>
      <c r="M1141" s="1"/>
      <c r="N1141" s="1"/>
      <c r="O1141" s="1"/>
      <c r="P1141" s="1"/>
      <c r="Q1141" s="95"/>
      <c r="R1141" s="5" t="b">
        <f t="shared" si="241"/>
        <v>0</v>
      </c>
    </row>
    <row r="1142" spans="1:18" s="4" customFormat="1" ht="15" hidden="1" customHeight="1">
      <c r="A1142" s="64"/>
      <c r="B1142" s="7">
        <f t="shared" si="240"/>
        <v>239</v>
      </c>
      <c r="C1142" s="211"/>
      <c r="D1142" s="211"/>
      <c r="E1142" s="211"/>
      <c r="F1142" s="211"/>
      <c r="G1142" s="211"/>
      <c r="H1142" s="211"/>
      <c r="I1142" s="211"/>
      <c r="J1142" s="16"/>
      <c r="K1142" s="1"/>
      <c r="M1142" s="1"/>
      <c r="N1142" s="1"/>
      <c r="O1142" s="1"/>
      <c r="P1142" s="1"/>
      <c r="Q1142" s="95"/>
      <c r="R1142" s="5" t="b">
        <f t="shared" si="241"/>
        <v>0</v>
      </c>
    </row>
    <row r="1143" spans="1:18" s="4" customFormat="1" ht="15" hidden="1" customHeight="1">
      <c r="A1143" s="64"/>
      <c r="B1143" s="7">
        <f t="shared" si="240"/>
        <v>240</v>
      </c>
      <c r="C1143" s="211"/>
      <c r="D1143" s="211"/>
      <c r="E1143" s="211"/>
      <c r="F1143" s="211"/>
      <c r="G1143" s="211"/>
      <c r="H1143" s="211"/>
      <c r="I1143" s="211"/>
      <c r="J1143" s="16"/>
      <c r="K1143" s="1"/>
      <c r="M1143" s="1"/>
      <c r="N1143" s="1"/>
      <c r="O1143" s="1"/>
      <c r="P1143" s="1"/>
      <c r="Q1143" s="95"/>
      <c r="R1143" s="5" t="b">
        <f t="shared" si="241"/>
        <v>0</v>
      </c>
    </row>
    <row r="1144" spans="1:18" s="4" customFormat="1" ht="15" hidden="1" customHeight="1">
      <c r="A1144" s="64"/>
      <c r="B1144" s="7">
        <f t="shared" si="240"/>
        <v>241</v>
      </c>
      <c r="C1144" s="211"/>
      <c r="D1144" s="211"/>
      <c r="E1144" s="211"/>
      <c r="F1144" s="211"/>
      <c r="G1144" s="211"/>
      <c r="H1144" s="211"/>
      <c r="I1144" s="211"/>
      <c r="J1144" s="16"/>
      <c r="K1144" s="1"/>
      <c r="M1144" s="1"/>
      <c r="N1144" s="1"/>
      <c r="O1144" s="1"/>
      <c r="P1144" s="1"/>
      <c r="Q1144" s="95"/>
      <c r="R1144" s="5" t="b">
        <f t="shared" si="241"/>
        <v>0</v>
      </c>
    </row>
    <row r="1145" spans="1:18" s="4" customFormat="1" ht="15" hidden="1" customHeight="1">
      <c r="A1145" s="64"/>
      <c r="B1145" s="7">
        <f t="shared" si="240"/>
        <v>242</v>
      </c>
      <c r="C1145" s="211"/>
      <c r="D1145" s="211"/>
      <c r="E1145" s="211"/>
      <c r="F1145" s="211"/>
      <c r="G1145" s="211"/>
      <c r="H1145" s="211"/>
      <c r="I1145" s="211"/>
      <c r="J1145" s="16"/>
      <c r="K1145" s="1"/>
      <c r="M1145" s="1"/>
      <c r="N1145" s="1"/>
      <c r="O1145" s="1"/>
      <c r="P1145" s="1"/>
      <c r="Q1145" s="95"/>
      <c r="R1145" s="5" t="b">
        <f t="shared" si="241"/>
        <v>0</v>
      </c>
    </row>
    <row r="1146" spans="1:18" s="4" customFormat="1" ht="15" hidden="1" customHeight="1">
      <c r="A1146" s="64"/>
      <c r="B1146" s="7">
        <f t="shared" si="240"/>
        <v>243</v>
      </c>
      <c r="C1146" s="211"/>
      <c r="D1146" s="211"/>
      <c r="E1146" s="211"/>
      <c r="F1146" s="211"/>
      <c r="G1146" s="211"/>
      <c r="H1146" s="211"/>
      <c r="I1146" s="211"/>
      <c r="J1146" s="16"/>
      <c r="K1146" s="1"/>
      <c r="M1146" s="1"/>
      <c r="N1146" s="1"/>
      <c r="O1146" s="1"/>
      <c r="P1146" s="1"/>
      <c r="Q1146" s="95"/>
      <c r="R1146" s="5" t="b">
        <f t="shared" si="241"/>
        <v>0</v>
      </c>
    </row>
    <row r="1147" spans="1:18" s="4" customFormat="1" ht="15" hidden="1" customHeight="1">
      <c r="A1147" s="64"/>
      <c r="B1147" s="7">
        <f t="shared" si="240"/>
        <v>244</v>
      </c>
      <c r="C1147" s="211"/>
      <c r="D1147" s="211"/>
      <c r="E1147" s="211"/>
      <c r="F1147" s="211"/>
      <c r="G1147" s="211"/>
      <c r="H1147" s="211"/>
      <c r="I1147" s="211"/>
      <c r="J1147" s="16"/>
      <c r="K1147" s="1"/>
      <c r="M1147" s="1"/>
      <c r="N1147" s="1"/>
      <c r="O1147" s="1"/>
      <c r="P1147" s="1"/>
      <c r="Q1147" s="95"/>
      <c r="R1147" s="5" t="b">
        <f t="shared" si="241"/>
        <v>0</v>
      </c>
    </row>
    <row r="1148" spans="1:18" s="4" customFormat="1" ht="15" hidden="1" customHeight="1">
      <c r="A1148" s="64"/>
      <c r="B1148" s="7">
        <f t="shared" si="240"/>
        <v>245</v>
      </c>
      <c r="C1148" s="211"/>
      <c r="D1148" s="211"/>
      <c r="E1148" s="211"/>
      <c r="F1148" s="211"/>
      <c r="G1148" s="211"/>
      <c r="H1148" s="211"/>
      <c r="I1148" s="211"/>
      <c r="J1148" s="16"/>
      <c r="K1148" s="1"/>
      <c r="M1148" s="1"/>
      <c r="N1148" s="1"/>
      <c r="O1148" s="1"/>
      <c r="P1148" s="1"/>
      <c r="Q1148" s="95"/>
      <c r="R1148" s="5" t="b">
        <f t="shared" si="241"/>
        <v>0</v>
      </c>
    </row>
    <row r="1149" spans="1:18" s="4" customFormat="1" ht="15" hidden="1" customHeight="1">
      <c r="A1149" s="64"/>
      <c r="B1149" s="7">
        <f t="shared" si="240"/>
        <v>246</v>
      </c>
      <c r="C1149" s="211"/>
      <c r="D1149" s="211"/>
      <c r="E1149" s="211"/>
      <c r="F1149" s="211"/>
      <c r="G1149" s="211"/>
      <c r="H1149" s="211"/>
      <c r="I1149" s="211"/>
      <c r="J1149" s="16"/>
      <c r="K1149" s="1"/>
      <c r="M1149" s="1"/>
      <c r="N1149" s="1"/>
      <c r="O1149" s="1"/>
      <c r="P1149" s="1"/>
      <c r="Q1149" s="95"/>
      <c r="R1149" s="5" t="b">
        <f t="shared" si="241"/>
        <v>0</v>
      </c>
    </row>
    <row r="1150" spans="1:18" s="4" customFormat="1" ht="15" hidden="1" customHeight="1">
      <c r="A1150" s="64"/>
      <c r="B1150" s="7">
        <f t="shared" si="240"/>
        <v>247</v>
      </c>
      <c r="C1150" s="211"/>
      <c r="D1150" s="211"/>
      <c r="E1150" s="211"/>
      <c r="F1150" s="211"/>
      <c r="G1150" s="211"/>
      <c r="H1150" s="211"/>
      <c r="I1150" s="211"/>
      <c r="J1150" s="16"/>
      <c r="K1150" s="1"/>
      <c r="M1150" s="1"/>
      <c r="N1150" s="1"/>
      <c r="O1150" s="1"/>
      <c r="P1150" s="1"/>
      <c r="Q1150" s="95"/>
      <c r="R1150" s="5" t="b">
        <f t="shared" si="241"/>
        <v>0</v>
      </c>
    </row>
    <row r="1151" spans="1:18" s="4" customFormat="1" ht="15" hidden="1" customHeight="1">
      <c r="A1151" s="64"/>
      <c r="B1151" s="7">
        <f t="shared" si="240"/>
        <v>248</v>
      </c>
      <c r="C1151" s="211"/>
      <c r="D1151" s="211"/>
      <c r="E1151" s="211"/>
      <c r="F1151" s="211"/>
      <c r="G1151" s="211"/>
      <c r="H1151" s="211"/>
      <c r="I1151" s="211"/>
      <c r="J1151" s="16"/>
      <c r="K1151" s="1"/>
      <c r="M1151" s="1"/>
      <c r="N1151" s="1"/>
      <c r="O1151" s="1"/>
      <c r="P1151" s="1"/>
      <c r="Q1151" s="95"/>
      <c r="R1151" s="5" t="b">
        <f t="shared" si="241"/>
        <v>0</v>
      </c>
    </row>
    <row r="1152" spans="1:18" s="4" customFormat="1" ht="15" hidden="1" customHeight="1">
      <c r="A1152" s="64"/>
      <c r="B1152" s="7">
        <f t="shared" si="240"/>
        <v>249</v>
      </c>
      <c r="C1152" s="211"/>
      <c r="D1152" s="211"/>
      <c r="E1152" s="211"/>
      <c r="F1152" s="211"/>
      <c r="G1152" s="211"/>
      <c r="H1152" s="211"/>
      <c r="I1152" s="211"/>
      <c r="J1152" s="16"/>
      <c r="K1152" s="1"/>
      <c r="M1152" s="1"/>
      <c r="N1152" s="1"/>
      <c r="O1152" s="1"/>
      <c r="P1152" s="1"/>
      <c r="Q1152" s="95"/>
      <c r="R1152" s="5" t="b">
        <f t="shared" si="241"/>
        <v>0</v>
      </c>
    </row>
    <row r="1153" spans="1:18" s="4" customFormat="1" ht="15" hidden="1" customHeight="1">
      <c r="A1153" s="64"/>
      <c r="B1153" s="7">
        <f t="shared" si="240"/>
        <v>250</v>
      </c>
      <c r="C1153" s="211"/>
      <c r="D1153" s="211"/>
      <c r="E1153" s="211"/>
      <c r="F1153" s="211"/>
      <c r="G1153" s="211"/>
      <c r="H1153" s="211"/>
      <c r="I1153" s="211"/>
      <c r="J1153" s="16"/>
      <c r="K1153" s="1"/>
      <c r="M1153" s="1"/>
      <c r="N1153" s="1"/>
      <c r="O1153" s="1"/>
      <c r="P1153" s="1"/>
      <c r="Q1153" s="95"/>
      <c r="R1153" s="5" t="b">
        <f t="shared" si="241"/>
        <v>0</v>
      </c>
    </row>
    <row r="1154" spans="1:18" s="4" customFormat="1" ht="15" hidden="1" customHeight="1">
      <c r="A1154" s="64"/>
      <c r="B1154" s="7">
        <f t="shared" si="240"/>
        <v>251</v>
      </c>
      <c r="C1154" s="211"/>
      <c r="D1154" s="211"/>
      <c r="E1154" s="211"/>
      <c r="F1154" s="211"/>
      <c r="G1154" s="211"/>
      <c r="H1154" s="211"/>
      <c r="I1154" s="211"/>
      <c r="J1154" s="16"/>
      <c r="K1154" s="1"/>
      <c r="M1154" s="1"/>
      <c r="N1154" s="1"/>
      <c r="O1154" s="1"/>
      <c r="P1154" s="1"/>
      <c r="Q1154" s="95"/>
      <c r="R1154" s="5" t="b">
        <f t="shared" si="241"/>
        <v>0</v>
      </c>
    </row>
    <row r="1155" spans="1:18" s="4" customFormat="1" ht="15" hidden="1" customHeight="1">
      <c r="A1155" s="64"/>
      <c r="B1155" s="7">
        <f t="shared" si="240"/>
        <v>252</v>
      </c>
      <c r="C1155" s="211"/>
      <c r="D1155" s="211"/>
      <c r="E1155" s="211"/>
      <c r="F1155" s="211"/>
      <c r="G1155" s="211"/>
      <c r="H1155" s="211"/>
      <c r="I1155" s="211"/>
      <c r="J1155" s="16"/>
      <c r="K1155" s="1"/>
      <c r="M1155" s="1"/>
      <c r="N1155" s="1"/>
      <c r="O1155" s="1"/>
      <c r="P1155" s="1"/>
      <c r="Q1155" s="95"/>
      <c r="R1155" s="5" t="b">
        <f t="shared" si="241"/>
        <v>0</v>
      </c>
    </row>
    <row r="1156" spans="1:18" s="4" customFormat="1" ht="15" hidden="1" customHeight="1">
      <c r="A1156" s="64"/>
      <c r="B1156" s="7">
        <f t="shared" si="240"/>
        <v>253</v>
      </c>
      <c r="C1156" s="211"/>
      <c r="D1156" s="211"/>
      <c r="E1156" s="211"/>
      <c r="F1156" s="211"/>
      <c r="G1156" s="211"/>
      <c r="H1156" s="211"/>
      <c r="I1156" s="211"/>
      <c r="J1156" s="16"/>
      <c r="K1156" s="1"/>
      <c r="M1156" s="1"/>
      <c r="N1156" s="1"/>
      <c r="O1156" s="1"/>
      <c r="P1156" s="1"/>
      <c r="Q1156" s="95"/>
      <c r="R1156" s="5" t="b">
        <f t="shared" si="241"/>
        <v>0</v>
      </c>
    </row>
    <row r="1157" spans="1:18" s="4" customFormat="1" ht="15" hidden="1" customHeight="1">
      <c r="A1157" s="64"/>
      <c r="B1157" s="7">
        <f t="shared" si="240"/>
        <v>254</v>
      </c>
      <c r="C1157" s="211"/>
      <c r="D1157" s="211"/>
      <c r="E1157" s="211"/>
      <c r="F1157" s="211"/>
      <c r="G1157" s="211"/>
      <c r="H1157" s="211"/>
      <c r="I1157" s="211"/>
      <c r="J1157" s="16"/>
      <c r="K1157" s="1"/>
      <c r="M1157" s="1"/>
      <c r="N1157" s="1"/>
      <c r="O1157" s="1"/>
      <c r="P1157" s="1"/>
      <c r="Q1157" s="95"/>
      <c r="R1157" s="5" t="b">
        <f t="shared" si="241"/>
        <v>0</v>
      </c>
    </row>
    <row r="1158" spans="1:18" s="4" customFormat="1" ht="15" hidden="1" customHeight="1">
      <c r="A1158" s="64"/>
      <c r="B1158" s="7">
        <f t="shared" si="240"/>
        <v>255</v>
      </c>
      <c r="C1158" s="211"/>
      <c r="D1158" s="211"/>
      <c r="E1158" s="211"/>
      <c r="F1158" s="211"/>
      <c r="G1158" s="211"/>
      <c r="H1158" s="211"/>
      <c r="I1158" s="211"/>
      <c r="J1158" s="16"/>
      <c r="K1158" s="1"/>
      <c r="M1158" s="1"/>
      <c r="N1158" s="1"/>
      <c r="O1158" s="1"/>
      <c r="P1158" s="1"/>
      <c r="Q1158" s="95"/>
      <c r="R1158" s="5" t="b">
        <f t="shared" si="241"/>
        <v>0</v>
      </c>
    </row>
    <row r="1159" spans="1:18" s="4" customFormat="1" ht="15" hidden="1" customHeight="1">
      <c r="A1159" s="64"/>
      <c r="B1159" s="7">
        <f t="shared" si="240"/>
        <v>256</v>
      </c>
      <c r="C1159" s="211"/>
      <c r="D1159" s="211"/>
      <c r="E1159" s="211"/>
      <c r="F1159" s="211"/>
      <c r="G1159" s="211"/>
      <c r="H1159" s="211"/>
      <c r="I1159" s="211"/>
      <c r="J1159" s="16"/>
      <c r="K1159" s="1"/>
      <c r="M1159" s="1"/>
      <c r="N1159" s="1"/>
      <c r="O1159" s="1"/>
      <c r="P1159" s="1"/>
      <c r="Q1159" s="95"/>
      <c r="R1159" s="5" t="b">
        <f t="shared" si="241"/>
        <v>0</v>
      </c>
    </row>
    <row r="1160" spans="1:18" s="4" customFormat="1" ht="15" hidden="1" customHeight="1">
      <c r="A1160" s="64"/>
      <c r="B1160" s="7">
        <f t="shared" si="240"/>
        <v>257</v>
      </c>
      <c r="C1160" s="211"/>
      <c r="D1160" s="211"/>
      <c r="E1160" s="211"/>
      <c r="F1160" s="211"/>
      <c r="G1160" s="211"/>
      <c r="H1160" s="211"/>
      <c r="I1160" s="211"/>
      <c r="J1160" s="16"/>
      <c r="K1160" s="1"/>
      <c r="M1160" s="1"/>
      <c r="N1160" s="1"/>
      <c r="O1160" s="1"/>
      <c r="P1160" s="1"/>
      <c r="Q1160" s="95"/>
      <c r="R1160" s="5" t="b">
        <f t="shared" si="241"/>
        <v>0</v>
      </c>
    </row>
    <row r="1161" spans="1:18" s="4" customFormat="1" ht="15" hidden="1" customHeight="1">
      <c r="A1161" s="64"/>
      <c r="B1161" s="7">
        <f t="shared" si="240"/>
        <v>258</v>
      </c>
      <c r="C1161" s="211"/>
      <c r="D1161" s="211"/>
      <c r="E1161" s="211"/>
      <c r="F1161" s="211"/>
      <c r="G1161" s="211"/>
      <c r="H1161" s="211"/>
      <c r="I1161" s="211"/>
      <c r="J1161" s="16"/>
      <c r="K1161" s="1"/>
      <c r="M1161" s="1"/>
      <c r="N1161" s="1"/>
      <c r="O1161" s="1"/>
      <c r="P1161" s="1"/>
      <c r="Q1161" s="95"/>
      <c r="R1161" s="5" t="b">
        <f t="shared" si="241"/>
        <v>0</v>
      </c>
    </row>
    <row r="1162" spans="1:18" s="4" customFormat="1" ht="15" hidden="1" customHeight="1">
      <c r="A1162" s="64"/>
      <c r="B1162" s="7">
        <f t="shared" si="240"/>
        <v>259</v>
      </c>
      <c r="C1162" s="211"/>
      <c r="D1162" s="211"/>
      <c r="E1162" s="211"/>
      <c r="F1162" s="211"/>
      <c r="G1162" s="211"/>
      <c r="H1162" s="211"/>
      <c r="I1162" s="211"/>
      <c r="J1162" s="16"/>
      <c r="K1162" s="1"/>
      <c r="M1162" s="1"/>
      <c r="N1162" s="1"/>
      <c r="O1162" s="1"/>
      <c r="P1162" s="1"/>
      <c r="Q1162" s="95"/>
      <c r="R1162" s="5" t="b">
        <f t="shared" si="241"/>
        <v>0</v>
      </c>
    </row>
    <row r="1163" spans="1:18" s="4" customFormat="1" ht="15" hidden="1" customHeight="1">
      <c r="A1163" s="64"/>
      <c r="B1163" s="7">
        <f t="shared" si="240"/>
        <v>260</v>
      </c>
      <c r="C1163" s="211"/>
      <c r="D1163" s="211"/>
      <c r="E1163" s="211"/>
      <c r="F1163" s="211"/>
      <c r="G1163" s="211"/>
      <c r="H1163" s="211"/>
      <c r="I1163" s="211"/>
      <c r="J1163" s="16"/>
      <c r="K1163" s="1"/>
      <c r="M1163" s="1"/>
      <c r="N1163" s="1"/>
      <c r="O1163" s="1"/>
      <c r="P1163" s="1"/>
      <c r="Q1163" s="95"/>
      <c r="R1163" s="5" t="b">
        <f t="shared" si="241"/>
        <v>0</v>
      </c>
    </row>
    <row r="1164" spans="1:18" s="4" customFormat="1" ht="15" hidden="1" customHeight="1">
      <c r="A1164" s="64"/>
      <c r="B1164" s="7">
        <f t="shared" si="240"/>
        <v>261</v>
      </c>
      <c r="C1164" s="211"/>
      <c r="D1164" s="211"/>
      <c r="E1164" s="211"/>
      <c r="F1164" s="211"/>
      <c r="G1164" s="211"/>
      <c r="H1164" s="211"/>
      <c r="I1164" s="211"/>
      <c r="J1164" s="16"/>
      <c r="K1164" s="1"/>
      <c r="M1164" s="1"/>
      <c r="N1164" s="1"/>
      <c r="O1164" s="1"/>
      <c r="P1164" s="1"/>
      <c r="Q1164" s="95"/>
      <c r="R1164" s="5" t="b">
        <f t="shared" si="241"/>
        <v>0</v>
      </c>
    </row>
    <row r="1165" spans="1:18" s="4" customFormat="1" ht="15" hidden="1" customHeight="1">
      <c r="A1165" s="64"/>
      <c r="B1165" s="7">
        <f t="shared" ref="B1165:B1224" si="242">B1164+1</f>
        <v>262</v>
      </c>
      <c r="C1165" s="211"/>
      <c r="D1165" s="211"/>
      <c r="E1165" s="211"/>
      <c r="F1165" s="211"/>
      <c r="G1165" s="211"/>
      <c r="H1165" s="211"/>
      <c r="I1165" s="211"/>
      <c r="J1165" s="16"/>
      <c r="K1165" s="1"/>
      <c r="M1165" s="1"/>
      <c r="N1165" s="1"/>
      <c r="O1165" s="1"/>
      <c r="P1165" s="1"/>
      <c r="Q1165" s="95"/>
      <c r="R1165" s="5" t="b">
        <f t="shared" si="241"/>
        <v>0</v>
      </c>
    </row>
    <row r="1166" spans="1:18" s="4" customFormat="1" ht="15" hidden="1" customHeight="1">
      <c r="A1166" s="64"/>
      <c r="B1166" s="7">
        <f t="shared" si="242"/>
        <v>263</v>
      </c>
      <c r="C1166" s="211"/>
      <c r="D1166" s="211"/>
      <c r="E1166" s="211"/>
      <c r="F1166" s="211"/>
      <c r="G1166" s="211"/>
      <c r="H1166" s="211"/>
      <c r="I1166" s="211"/>
      <c r="J1166" s="16"/>
      <c r="K1166" s="1"/>
      <c r="M1166" s="1"/>
      <c r="N1166" s="1"/>
      <c r="O1166" s="1"/>
      <c r="P1166" s="1"/>
      <c r="Q1166" s="95"/>
      <c r="R1166" s="5" t="b">
        <f t="shared" si="241"/>
        <v>0</v>
      </c>
    </row>
    <row r="1167" spans="1:18" s="4" customFormat="1" ht="15" hidden="1" customHeight="1">
      <c r="A1167" s="64"/>
      <c r="B1167" s="7">
        <f t="shared" si="242"/>
        <v>264</v>
      </c>
      <c r="C1167" s="211"/>
      <c r="D1167" s="211"/>
      <c r="E1167" s="211"/>
      <c r="F1167" s="211"/>
      <c r="G1167" s="211"/>
      <c r="H1167" s="211"/>
      <c r="I1167" s="211"/>
      <c r="J1167" s="16"/>
      <c r="K1167" s="1"/>
      <c r="M1167" s="1"/>
      <c r="N1167" s="1"/>
      <c r="O1167" s="1"/>
      <c r="P1167" s="1"/>
      <c r="Q1167" s="95"/>
      <c r="R1167" s="5" t="b">
        <f t="shared" si="241"/>
        <v>0</v>
      </c>
    </row>
    <row r="1168" spans="1:18" s="4" customFormat="1" ht="15" hidden="1" customHeight="1">
      <c r="A1168" s="64"/>
      <c r="B1168" s="7">
        <f t="shared" si="242"/>
        <v>265</v>
      </c>
      <c r="C1168" s="211"/>
      <c r="D1168" s="211"/>
      <c r="E1168" s="211"/>
      <c r="F1168" s="211"/>
      <c r="G1168" s="211"/>
      <c r="H1168" s="211"/>
      <c r="I1168" s="211"/>
      <c r="J1168" s="16"/>
      <c r="K1168" s="1"/>
      <c r="M1168" s="1"/>
      <c r="N1168" s="1"/>
      <c r="O1168" s="1"/>
      <c r="P1168" s="1"/>
      <c r="Q1168" s="95"/>
      <c r="R1168" s="5" t="b">
        <f t="shared" si="241"/>
        <v>0</v>
      </c>
    </row>
    <row r="1169" spans="1:18" s="4" customFormat="1" ht="15" hidden="1" customHeight="1">
      <c r="A1169" s="64"/>
      <c r="B1169" s="7">
        <f t="shared" si="242"/>
        <v>266</v>
      </c>
      <c r="C1169" s="211"/>
      <c r="D1169" s="211"/>
      <c r="E1169" s="211"/>
      <c r="F1169" s="211"/>
      <c r="G1169" s="211"/>
      <c r="H1169" s="211"/>
      <c r="I1169" s="211"/>
      <c r="J1169" s="16"/>
      <c r="K1169" s="1"/>
      <c r="M1169" s="1"/>
      <c r="N1169" s="1"/>
      <c r="O1169" s="1"/>
      <c r="P1169" s="1"/>
      <c r="Q1169" s="95"/>
      <c r="R1169" s="5" t="b">
        <f t="shared" si="241"/>
        <v>0</v>
      </c>
    </row>
    <row r="1170" spans="1:18" s="4" customFormat="1" ht="15" hidden="1" customHeight="1">
      <c r="A1170" s="64"/>
      <c r="B1170" s="7">
        <f t="shared" si="242"/>
        <v>267</v>
      </c>
      <c r="C1170" s="211"/>
      <c r="D1170" s="211"/>
      <c r="E1170" s="211"/>
      <c r="F1170" s="211"/>
      <c r="G1170" s="211"/>
      <c r="H1170" s="211"/>
      <c r="I1170" s="211"/>
      <c r="J1170" s="16"/>
      <c r="K1170" s="1"/>
      <c r="M1170" s="1"/>
      <c r="N1170" s="1"/>
      <c r="O1170" s="1"/>
      <c r="P1170" s="1"/>
      <c r="Q1170" s="95"/>
      <c r="R1170" s="5" t="b">
        <f t="shared" si="241"/>
        <v>0</v>
      </c>
    </row>
    <row r="1171" spans="1:18" s="4" customFormat="1" ht="15" hidden="1" customHeight="1">
      <c r="A1171" s="64"/>
      <c r="B1171" s="7">
        <f t="shared" si="242"/>
        <v>268</v>
      </c>
      <c r="C1171" s="211"/>
      <c r="D1171" s="211"/>
      <c r="E1171" s="211"/>
      <c r="F1171" s="211"/>
      <c r="G1171" s="211"/>
      <c r="H1171" s="211"/>
      <c r="I1171" s="211"/>
      <c r="J1171" s="16"/>
      <c r="K1171" s="1"/>
      <c r="M1171" s="1"/>
      <c r="N1171" s="1"/>
      <c r="O1171" s="1"/>
      <c r="P1171" s="1"/>
      <c r="Q1171" s="95"/>
      <c r="R1171" s="5" t="b">
        <f t="shared" si="241"/>
        <v>0</v>
      </c>
    </row>
    <row r="1172" spans="1:18" s="4" customFormat="1" ht="15" hidden="1" customHeight="1">
      <c r="A1172" s="64"/>
      <c r="B1172" s="7">
        <f t="shared" si="242"/>
        <v>269</v>
      </c>
      <c r="C1172" s="211"/>
      <c r="D1172" s="211"/>
      <c r="E1172" s="211"/>
      <c r="F1172" s="211"/>
      <c r="G1172" s="211"/>
      <c r="H1172" s="211"/>
      <c r="I1172" s="211"/>
      <c r="J1172" s="16"/>
      <c r="K1172" s="1"/>
      <c r="M1172" s="1"/>
      <c r="N1172" s="1"/>
      <c r="O1172" s="1"/>
      <c r="P1172" s="1"/>
      <c r="Q1172" s="95"/>
      <c r="R1172" s="5" t="b">
        <f t="shared" si="241"/>
        <v>0</v>
      </c>
    </row>
    <row r="1173" spans="1:18" s="4" customFormat="1" ht="15" hidden="1" customHeight="1">
      <c r="A1173" s="64"/>
      <c r="B1173" s="7">
        <f t="shared" si="242"/>
        <v>270</v>
      </c>
      <c r="C1173" s="211"/>
      <c r="D1173" s="211"/>
      <c r="E1173" s="211"/>
      <c r="F1173" s="211"/>
      <c r="G1173" s="211"/>
      <c r="H1173" s="211"/>
      <c r="I1173" s="211"/>
      <c r="J1173" s="16"/>
      <c r="K1173" s="1"/>
      <c r="M1173" s="1"/>
      <c r="N1173" s="1"/>
      <c r="O1173" s="1"/>
      <c r="P1173" s="1"/>
      <c r="Q1173" s="95"/>
      <c r="R1173" s="5" t="b">
        <f t="shared" si="241"/>
        <v>0</v>
      </c>
    </row>
    <row r="1174" spans="1:18" s="4" customFormat="1" ht="15" hidden="1" customHeight="1">
      <c r="A1174" s="64"/>
      <c r="B1174" s="7">
        <f t="shared" si="242"/>
        <v>271</v>
      </c>
      <c r="C1174" s="211"/>
      <c r="D1174" s="211"/>
      <c r="E1174" s="211"/>
      <c r="F1174" s="211"/>
      <c r="G1174" s="211"/>
      <c r="H1174" s="211"/>
      <c r="I1174" s="211"/>
      <c r="J1174" s="16"/>
      <c r="K1174" s="1"/>
      <c r="M1174" s="1"/>
      <c r="N1174" s="1"/>
      <c r="O1174" s="1"/>
      <c r="P1174" s="1"/>
      <c r="Q1174" s="95"/>
      <c r="R1174" s="5" t="b">
        <f t="shared" si="241"/>
        <v>0</v>
      </c>
    </row>
    <row r="1175" spans="1:18" s="4" customFormat="1" ht="15" hidden="1" customHeight="1">
      <c r="A1175" s="64"/>
      <c r="B1175" s="7">
        <f t="shared" si="242"/>
        <v>272</v>
      </c>
      <c r="C1175" s="211"/>
      <c r="D1175" s="211"/>
      <c r="E1175" s="211"/>
      <c r="F1175" s="211"/>
      <c r="G1175" s="211"/>
      <c r="H1175" s="211"/>
      <c r="I1175" s="211"/>
      <c r="J1175" s="16"/>
      <c r="K1175" s="1"/>
      <c r="M1175" s="1"/>
      <c r="N1175" s="1"/>
      <c r="O1175" s="1"/>
      <c r="P1175" s="1"/>
      <c r="Q1175" s="95"/>
      <c r="R1175" s="5" t="b">
        <f t="shared" si="241"/>
        <v>0</v>
      </c>
    </row>
    <row r="1176" spans="1:18" s="4" customFormat="1" ht="15" hidden="1" customHeight="1">
      <c r="A1176" s="64"/>
      <c r="B1176" s="7">
        <f t="shared" si="242"/>
        <v>273</v>
      </c>
      <c r="C1176" s="211"/>
      <c r="D1176" s="211"/>
      <c r="E1176" s="211"/>
      <c r="F1176" s="211"/>
      <c r="G1176" s="211"/>
      <c r="H1176" s="211"/>
      <c r="I1176" s="211"/>
      <c r="J1176" s="16"/>
      <c r="K1176" s="1"/>
      <c r="M1176" s="1"/>
      <c r="N1176" s="1"/>
      <c r="O1176" s="1"/>
      <c r="P1176" s="1"/>
      <c r="Q1176" s="95"/>
      <c r="R1176" s="5" t="b">
        <f t="shared" si="241"/>
        <v>0</v>
      </c>
    </row>
    <row r="1177" spans="1:18" s="4" customFormat="1" ht="15" hidden="1" customHeight="1">
      <c r="A1177" s="64"/>
      <c r="B1177" s="7">
        <f t="shared" si="242"/>
        <v>274</v>
      </c>
      <c r="C1177" s="211"/>
      <c r="D1177" s="211"/>
      <c r="E1177" s="211"/>
      <c r="F1177" s="211"/>
      <c r="G1177" s="211"/>
      <c r="H1177" s="211"/>
      <c r="I1177" s="211"/>
      <c r="J1177" s="16"/>
      <c r="K1177" s="1"/>
      <c r="M1177" s="1"/>
      <c r="N1177" s="1"/>
      <c r="O1177" s="1"/>
      <c r="P1177" s="1"/>
      <c r="Q1177" s="95"/>
      <c r="R1177" s="5" t="b">
        <f t="shared" si="241"/>
        <v>0</v>
      </c>
    </row>
    <row r="1178" spans="1:18" s="4" customFormat="1" ht="15" hidden="1" customHeight="1">
      <c r="A1178" s="64"/>
      <c r="B1178" s="7">
        <f t="shared" si="242"/>
        <v>275</v>
      </c>
      <c r="C1178" s="211"/>
      <c r="D1178" s="211"/>
      <c r="E1178" s="211"/>
      <c r="F1178" s="211"/>
      <c r="G1178" s="211"/>
      <c r="H1178" s="211"/>
      <c r="I1178" s="211"/>
      <c r="J1178" s="16"/>
      <c r="K1178" s="1"/>
      <c r="M1178" s="1"/>
      <c r="N1178" s="1"/>
      <c r="O1178" s="1"/>
      <c r="P1178" s="1"/>
      <c r="Q1178" s="95"/>
      <c r="R1178" s="5" t="b">
        <f t="shared" si="241"/>
        <v>0</v>
      </c>
    </row>
    <row r="1179" spans="1:18" s="4" customFormat="1" ht="15" hidden="1" customHeight="1">
      <c r="A1179" s="64"/>
      <c r="B1179" s="7">
        <f t="shared" si="242"/>
        <v>276</v>
      </c>
      <c r="C1179" s="211"/>
      <c r="D1179" s="211"/>
      <c r="E1179" s="211"/>
      <c r="F1179" s="211"/>
      <c r="G1179" s="211"/>
      <c r="H1179" s="211"/>
      <c r="I1179" s="211"/>
      <c r="J1179" s="16"/>
      <c r="K1179" s="1"/>
      <c r="M1179" s="1"/>
      <c r="N1179" s="1"/>
      <c r="O1179" s="1"/>
      <c r="P1179" s="1"/>
      <c r="Q1179" s="95"/>
      <c r="R1179" s="5" t="b">
        <f t="shared" si="241"/>
        <v>0</v>
      </c>
    </row>
    <row r="1180" spans="1:18" s="4" customFormat="1" ht="15" hidden="1" customHeight="1">
      <c r="A1180" s="64"/>
      <c r="B1180" s="7">
        <f t="shared" si="242"/>
        <v>277</v>
      </c>
      <c r="C1180" s="211"/>
      <c r="D1180" s="211"/>
      <c r="E1180" s="211"/>
      <c r="F1180" s="211"/>
      <c r="G1180" s="211"/>
      <c r="H1180" s="211"/>
      <c r="I1180" s="211"/>
      <c r="J1180" s="16"/>
      <c r="K1180" s="1"/>
      <c r="M1180" s="1"/>
      <c r="N1180" s="1"/>
      <c r="O1180" s="1"/>
      <c r="P1180" s="1"/>
      <c r="Q1180" s="95"/>
      <c r="R1180" s="5" t="b">
        <f t="shared" si="241"/>
        <v>0</v>
      </c>
    </row>
    <row r="1181" spans="1:18" s="4" customFormat="1" ht="15" hidden="1" customHeight="1">
      <c r="A1181" s="64"/>
      <c r="B1181" s="7">
        <f t="shared" si="242"/>
        <v>278</v>
      </c>
      <c r="C1181" s="211"/>
      <c r="D1181" s="211"/>
      <c r="E1181" s="211"/>
      <c r="F1181" s="211"/>
      <c r="G1181" s="211"/>
      <c r="H1181" s="211"/>
      <c r="I1181" s="211"/>
      <c r="J1181" s="16"/>
      <c r="K1181" s="1"/>
      <c r="M1181" s="1"/>
      <c r="N1181" s="1"/>
      <c r="O1181" s="1"/>
      <c r="P1181" s="1"/>
      <c r="Q1181" s="95"/>
      <c r="R1181" s="5" t="b">
        <f t="shared" si="241"/>
        <v>0</v>
      </c>
    </row>
    <row r="1182" spans="1:18" s="4" customFormat="1" ht="15" hidden="1" customHeight="1">
      <c r="A1182" s="64"/>
      <c r="B1182" s="7">
        <f t="shared" si="242"/>
        <v>279</v>
      </c>
      <c r="C1182" s="211"/>
      <c r="D1182" s="211"/>
      <c r="E1182" s="211"/>
      <c r="F1182" s="211"/>
      <c r="G1182" s="211"/>
      <c r="H1182" s="211"/>
      <c r="I1182" s="211"/>
      <c r="J1182" s="16"/>
      <c r="K1182" s="1"/>
      <c r="M1182" s="1"/>
      <c r="N1182" s="1"/>
      <c r="O1182" s="1"/>
      <c r="P1182" s="1"/>
      <c r="Q1182" s="95"/>
      <c r="R1182" s="5" t="b">
        <f t="shared" si="241"/>
        <v>0</v>
      </c>
    </row>
    <row r="1183" spans="1:18" s="4" customFormat="1" ht="15" hidden="1" customHeight="1">
      <c r="A1183" s="64"/>
      <c r="B1183" s="7">
        <f t="shared" si="242"/>
        <v>280</v>
      </c>
      <c r="C1183" s="211"/>
      <c r="D1183" s="211"/>
      <c r="E1183" s="211"/>
      <c r="F1183" s="211"/>
      <c r="G1183" s="211"/>
      <c r="H1183" s="211"/>
      <c r="I1183" s="211"/>
      <c r="J1183" s="16"/>
      <c r="K1183" s="1"/>
      <c r="M1183" s="1"/>
      <c r="N1183" s="1"/>
      <c r="O1183" s="1"/>
      <c r="P1183" s="1"/>
      <c r="Q1183" s="95"/>
      <c r="R1183" s="5" t="b">
        <f t="shared" si="241"/>
        <v>0</v>
      </c>
    </row>
    <row r="1184" spans="1:18" s="4" customFormat="1" ht="15" hidden="1" customHeight="1">
      <c r="A1184" s="64"/>
      <c r="B1184" s="7">
        <f t="shared" si="242"/>
        <v>281</v>
      </c>
      <c r="C1184" s="211"/>
      <c r="D1184" s="211"/>
      <c r="E1184" s="211"/>
      <c r="F1184" s="211"/>
      <c r="G1184" s="211"/>
      <c r="H1184" s="211"/>
      <c r="I1184" s="211"/>
      <c r="J1184" s="16"/>
      <c r="K1184" s="1"/>
      <c r="M1184" s="1"/>
      <c r="N1184" s="1"/>
      <c r="O1184" s="1"/>
      <c r="P1184" s="1"/>
      <c r="Q1184" s="95"/>
      <c r="R1184" s="5" t="b">
        <f t="shared" si="241"/>
        <v>0</v>
      </c>
    </row>
    <row r="1185" spans="1:18" s="4" customFormat="1" ht="15" hidden="1" customHeight="1">
      <c r="A1185" s="64"/>
      <c r="B1185" s="7">
        <f t="shared" si="242"/>
        <v>282</v>
      </c>
      <c r="C1185" s="211"/>
      <c r="D1185" s="211"/>
      <c r="E1185" s="211"/>
      <c r="F1185" s="211"/>
      <c r="G1185" s="211"/>
      <c r="H1185" s="211"/>
      <c r="I1185" s="211"/>
      <c r="J1185" s="16"/>
      <c r="K1185" s="1"/>
      <c r="M1185" s="1"/>
      <c r="N1185" s="1"/>
      <c r="O1185" s="1"/>
      <c r="P1185" s="1"/>
      <c r="Q1185" s="95"/>
      <c r="R1185" s="5" t="b">
        <f t="shared" si="241"/>
        <v>0</v>
      </c>
    </row>
    <row r="1186" spans="1:18" s="4" customFormat="1" ht="15" hidden="1" customHeight="1">
      <c r="A1186" s="64"/>
      <c r="B1186" s="7">
        <f t="shared" si="242"/>
        <v>283</v>
      </c>
      <c r="C1186" s="211"/>
      <c r="D1186" s="211"/>
      <c r="E1186" s="211"/>
      <c r="F1186" s="211"/>
      <c r="G1186" s="211"/>
      <c r="H1186" s="211"/>
      <c r="I1186" s="211"/>
      <c r="J1186" s="16"/>
      <c r="K1186" s="1"/>
      <c r="M1186" s="1"/>
      <c r="N1186" s="1"/>
      <c r="O1186" s="1"/>
      <c r="P1186" s="1"/>
      <c r="Q1186" s="95"/>
      <c r="R1186" s="5" t="b">
        <f t="shared" si="241"/>
        <v>0</v>
      </c>
    </row>
    <row r="1187" spans="1:18" s="4" customFormat="1" ht="15" hidden="1" customHeight="1">
      <c r="A1187" s="64"/>
      <c r="B1187" s="7">
        <f t="shared" si="242"/>
        <v>284</v>
      </c>
      <c r="C1187" s="211"/>
      <c r="D1187" s="211"/>
      <c r="E1187" s="211"/>
      <c r="F1187" s="211"/>
      <c r="G1187" s="211"/>
      <c r="H1187" s="211"/>
      <c r="I1187" s="211"/>
      <c r="J1187" s="16"/>
      <c r="K1187" s="1"/>
      <c r="M1187" s="1"/>
      <c r="N1187" s="1"/>
      <c r="O1187" s="1"/>
      <c r="P1187" s="1"/>
      <c r="Q1187" s="95"/>
      <c r="R1187" s="5" t="b">
        <f t="shared" si="241"/>
        <v>0</v>
      </c>
    </row>
    <row r="1188" spans="1:18" s="4" customFormat="1" ht="15" hidden="1" customHeight="1">
      <c r="A1188" s="64"/>
      <c r="B1188" s="7">
        <f t="shared" si="242"/>
        <v>285</v>
      </c>
      <c r="C1188" s="211"/>
      <c r="D1188" s="211"/>
      <c r="E1188" s="211"/>
      <c r="F1188" s="211"/>
      <c r="G1188" s="211"/>
      <c r="H1188" s="211"/>
      <c r="I1188" s="211"/>
      <c r="J1188" s="16"/>
      <c r="K1188" s="1"/>
      <c r="M1188" s="1"/>
      <c r="N1188" s="1"/>
      <c r="O1188" s="1"/>
      <c r="P1188" s="1"/>
      <c r="Q1188" s="95"/>
      <c r="R1188" s="5" t="b">
        <f t="shared" si="241"/>
        <v>0</v>
      </c>
    </row>
    <row r="1189" spans="1:18" s="4" customFormat="1" ht="15" hidden="1" customHeight="1">
      <c r="A1189" s="64"/>
      <c r="B1189" s="7">
        <f t="shared" si="242"/>
        <v>286</v>
      </c>
      <c r="C1189" s="211"/>
      <c r="D1189" s="211"/>
      <c r="E1189" s="211"/>
      <c r="F1189" s="211"/>
      <c r="G1189" s="211"/>
      <c r="H1189" s="211"/>
      <c r="I1189" s="211"/>
      <c r="J1189" s="16"/>
      <c r="K1189" s="1"/>
      <c r="M1189" s="1"/>
      <c r="N1189" s="1"/>
      <c r="O1189" s="1"/>
      <c r="P1189" s="1"/>
      <c r="Q1189" s="95"/>
      <c r="R1189" s="5" t="b">
        <f t="shared" si="241"/>
        <v>0</v>
      </c>
    </row>
    <row r="1190" spans="1:18" s="4" customFormat="1" ht="15" hidden="1" customHeight="1">
      <c r="A1190" s="64"/>
      <c r="B1190" s="7">
        <f t="shared" si="242"/>
        <v>287</v>
      </c>
      <c r="C1190" s="211"/>
      <c r="D1190" s="211"/>
      <c r="E1190" s="211"/>
      <c r="F1190" s="211"/>
      <c r="G1190" s="211"/>
      <c r="H1190" s="211"/>
      <c r="I1190" s="211"/>
      <c r="J1190" s="16"/>
      <c r="K1190" s="1"/>
      <c r="M1190" s="1"/>
      <c r="N1190" s="1"/>
      <c r="O1190" s="1"/>
      <c r="P1190" s="1"/>
      <c r="Q1190" s="95"/>
      <c r="R1190" s="5" t="b">
        <f t="shared" si="241"/>
        <v>0</v>
      </c>
    </row>
    <row r="1191" spans="1:18" s="4" customFormat="1" ht="15" hidden="1" customHeight="1">
      <c r="A1191" s="64"/>
      <c r="B1191" s="7">
        <f t="shared" si="242"/>
        <v>288</v>
      </c>
      <c r="C1191" s="211"/>
      <c r="D1191" s="211"/>
      <c r="E1191" s="211"/>
      <c r="F1191" s="211"/>
      <c r="G1191" s="211"/>
      <c r="H1191" s="211"/>
      <c r="I1191" s="211"/>
      <c r="J1191" s="16"/>
      <c r="K1191" s="1"/>
      <c r="M1191" s="1"/>
      <c r="N1191" s="1"/>
      <c r="O1191" s="1"/>
      <c r="P1191" s="1"/>
      <c r="Q1191" s="95"/>
      <c r="R1191" s="5" t="b">
        <f t="shared" si="241"/>
        <v>0</v>
      </c>
    </row>
    <row r="1192" spans="1:18" s="4" customFormat="1" ht="15" hidden="1" customHeight="1">
      <c r="A1192" s="64"/>
      <c r="B1192" s="7">
        <f t="shared" si="242"/>
        <v>289</v>
      </c>
      <c r="C1192" s="211"/>
      <c r="D1192" s="211"/>
      <c r="E1192" s="211"/>
      <c r="F1192" s="211"/>
      <c r="G1192" s="211"/>
      <c r="H1192" s="211"/>
      <c r="I1192" s="211"/>
      <c r="J1192" s="16"/>
      <c r="K1192" s="1"/>
      <c r="M1192" s="1"/>
      <c r="N1192" s="1"/>
      <c r="O1192" s="1"/>
      <c r="P1192" s="1"/>
      <c r="Q1192" s="95"/>
      <c r="R1192" s="5" t="b">
        <f t="shared" si="241"/>
        <v>0</v>
      </c>
    </row>
    <row r="1193" spans="1:18" s="4" customFormat="1" ht="15" hidden="1" customHeight="1">
      <c r="A1193" s="64"/>
      <c r="B1193" s="7">
        <f t="shared" si="242"/>
        <v>290</v>
      </c>
      <c r="C1193" s="211"/>
      <c r="D1193" s="211"/>
      <c r="E1193" s="211"/>
      <c r="F1193" s="211"/>
      <c r="G1193" s="211"/>
      <c r="H1193" s="211"/>
      <c r="I1193" s="211"/>
      <c r="J1193" s="16"/>
      <c r="K1193" s="1"/>
      <c r="M1193" s="1"/>
      <c r="N1193" s="1"/>
      <c r="O1193" s="1"/>
      <c r="P1193" s="1"/>
      <c r="Q1193" s="95"/>
      <c r="R1193" s="5" t="b">
        <f t="shared" si="241"/>
        <v>0</v>
      </c>
    </row>
    <row r="1194" spans="1:18" s="4" customFormat="1" ht="15" hidden="1" customHeight="1">
      <c r="A1194" s="64"/>
      <c r="B1194" s="7">
        <f t="shared" si="242"/>
        <v>291</v>
      </c>
      <c r="C1194" s="211"/>
      <c r="D1194" s="211"/>
      <c r="E1194" s="211"/>
      <c r="F1194" s="211"/>
      <c r="G1194" s="211"/>
      <c r="H1194" s="211"/>
      <c r="I1194" s="211"/>
      <c r="J1194" s="16"/>
      <c r="K1194" s="1"/>
      <c r="M1194" s="1"/>
      <c r="N1194" s="1"/>
      <c r="O1194" s="1"/>
      <c r="P1194" s="1"/>
      <c r="Q1194" s="95"/>
      <c r="R1194" s="5" t="b">
        <f t="shared" si="241"/>
        <v>0</v>
      </c>
    </row>
    <row r="1195" spans="1:18" s="4" customFormat="1" ht="15" hidden="1" customHeight="1">
      <c r="A1195" s="64"/>
      <c r="B1195" s="7">
        <f t="shared" si="242"/>
        <v>292</v>
      </c>
      <c r="C1195" s="211"/>
      <c r="D1195" s="211"/>
      <c r="E1195" s="211"/>
      <c r="F1195" s="211"/>
      <c r="G1195" s="211"/>
      <c r="H1195" s="211"/>
      <c r="I1195" s="211"/>
      <c r="J1195" s="16"/>
      <c r="K1195" s="1"/>
      <c r="M1195" s="1"/>
      <c r="N1195" s="1"/>
      <c r="O1195" s="1"/>
      <c r="P1195" s="1"/>
      <c r="Q1195" s="95"/>
      <c r="R1195" s="5" t="b">
        <f t="shared" si="241"/>
        <v>0</v>
      </c>
    </row>
    <row r="1196" spans="1:18" s="4" customFormat="1" ht="15" hidden="1" customHeight="1">
      <c r="A1196" s="64"/>
      <c r="B1196" s="7">
        <f t="shared" si="242"/>
        <v>293</v>
      </c>
      <c r="C1196" s="211"/>
      <c r="D1196" s="211"/>
      <c r="E1196" s="211"/>
      <c r="F1196" s="211"/>
      <c r="G1196" s="211"/>
      <c r="H1196" s="211"/>
      <c r="I1196" s="211"/>
      <c r="J1196" s="16"/>
      <c r="K1196" s="1"/>
      <c r="M1196" s="1"/>
      <c r="N1196" s="1"/>
      <c r="O1196" s="1"/>
      <c r="P1196" s="1"/>
      <c r="Q1196" s="95"/>
      <c r="R1196" s="5" t="b">
        <f t="shared" si="241"/>
        <v>0</v>
      </c>
    </row>
    <row r="1197" spans="1:18" s="4" customFormat="1" ht="15" hidden="1" customHeight="1">
      <c r="A1197" s="64"/>
      <c r="B1197" s="7">
        <f t="shared" si="242"/>
        <v>294</v>
      </c>
      <c r="C1197" s="211"/>
      <c r="D1197" s="211"/>
      <c r="E1197" s="211"/>
      <c r="F1197" s="211"/>
      <c r="G1197" s="211"/>
      <c r="H1197" s="211"/>
      <c r="I1197" s="211"/>
      <c r="J1197" s="16"/>
      <c r="K1197" s="1"/>
      <c r="M1197" s="1"/>
      <c r="N1197" s="1"/>
      <c r="O1197" s="1"/>
      <c r="P1197" s="1"/>
      <c r="Q1197" s="95"/>
      <c r="R1197" s="5" t="b">
        <f t="shared" si="241"/>
        <v>0</v>
      </c>
    </row>
    <row r="1198" spans="1:18" s="4" customFormat="1" ht="15" hidden="1" customHeight="1">
      <c r="A1198" s="64"/>
      <c r="B1198" s="7">
        <f t="shared" si="242"/>
        <v>295</v>
      </c>
      <c r="C1198" s="211"/>
      <c r="D1198" s="211"/>
      <c r="E1198" s="211"/>
      <c r="F1198" s="211"/>
      <c r="G1198" s="211"/>
      <c r="H1198" s="211"/>
      <c r="I1198" s="211"/>
      <c r="J1198" s="16"/>
      <c r="K1198" s="1"/>
      <c r="M1198" s="1"/>
      <c r="N1198" s="1"/>
      <c r="O1198" s="1"/>
      <c r="P1198" s="1"/>
      <c r="Q1198" s="95"/>
      <c r="R1198" s="5" t="b">
        <f t="shared" si="241"/>
        <v>0</v>
      </c>
    </row>
    <row r="1199" spans="1:18" s="4" customFormat="1" ht="15" hidden="1" customHeight="1">
      <c r="A1199" s="64"/>
      <c r="B1199" s="7">
        <f t="shared" si="242"/>
        <v>296</v>
      </c>
      <c r="C1199" s="211"/>
      <c r="D1199" s="211"/>
      <c r="E1199" s="211"/>
      <c r="F1199" s="211"/>
      <c r="G1199" s="211"/>
      <c r="H1199" s="211"/>
      <c r="I1199" s="211"/>
      <c r="J1199" s="16"/>
      <c r="K1199" s="1"/>
      <c r="M1199" s="1"/>
      <c r="N1199" s="1"/>
      <c r="O1199" s="1"/>
      <c r="P1199" s="1"/>
      <c r="Q1199" s="95"/>
      <c r="R1199" s="5" t="b">
        <f t="shared" ref="R1199:R1262" si="243">IF(O1199&gt;89.9999999999999%,"PAMA")</f>
        <v>0</v>
      </c>
    </row>
    <row r="1200" spans="1:18" s="4" customFormat="1" ht="15" hidden="1" customHeight="1">
      <c r="A1200" s="64"/>
      <c r="B1200" s="7">
        <f t="shared" si="242"/>
        <v>297</v>
      </c>
      <c r="C1200" s="211"/>
      <c r="D1200" s="211"/>
      <c r="E1200" s="211"/>
      <c r="F1200" s="211"/>
      <c r="G1200" s="211"/>
      <c r="H1200" s="211"/>
      <c r="I1200" s="211"/>
      <c r="J1200" s="16"/>
      <c r="K1200" s="1"/>
      <c r="M1200" s="1"/>
      <c r="N1200" s="1"/>
      <c r="O1200" s="1"/>
      <c r="P1200" s="1"/>
      <c r="Q1200" s="95"/>
      <c r="R1200" s="5" t="b">
        <f t="shared" si="243"/>
        <v>0</v>
      </c>
    </row>
    <row r="1201" spans="1:18" s="4" customFormat="1" ht="15" hidden="1" customHeight="1">
      <c r="A1201" s="64"/>
      <c r="B1201" s="7">
        <f t="shared" si="242"/>
        <v>298</v>
      </c>
      <c r="C1201" s="211"/>
      <c r="D1201" s="211"/>
      <c r="E1201" s="211"/>
      <c r="F1201" s="211"/>
      <c r="G1201" s="211"/>
      <c r="H1201" s="211"/>
      <c r="I1201" s="211"/>
      <c r="J1201" s="16"/>
      <c r="K1201" s="1"/>
      <c r="M1201" s="1"/>
      <c r="N1201" s="1"/>
      <c r="O1201" s="1"/>
      <c r="P1201" s="1"/>
      <c r="Q1201" s="95"/>
      <c r="R1201" s="5" t="b">
        <f t="shared" si="243"/>
        <v>0</v>
      </c>
    </row>
    <row r="1202" spans="1:18" s="4" customFormat="1" ht="15" hidden="1" customHeight="1">
      <c r="A1202" s="64"/>
      <c r="B1202" s="7">
        <f t="shared" si="242"/>
        <v>299</v>
      </c>
      <c r="C1202" s="211"/>
      <c r="D1202" s="211"/>
      <c r="E1202" s="211"/>
      <c r="F1202" s="211"/>
      <c r="G1202" s="211"/>
      <c r="H1202" s="211"/>
      <c r="I1202" s="211"/>
      <c r="J1202" s="16"/>
      <c r="K1202" s="1"/>
      <c r="M1202" s="1"/>
      <c r="N1202" s="1"/>
      <c r="O1202" s="1"/>
      <c r="P1202" s="1"/>
      <c r="Q1202" s="95"/>
      <c r="R1202" s="5" t="b">
        <f t="shared" si="243"/>
        <v>0</v>
      </c>
    </row>
    <row r="1203" spans="1:18" s="4" customFormat="1" ht="15" hidden="1" customHeight="1">
      <c r="A1203" s="64"/>
      <c r="B1203" s="7">
        <f t="shared" si="242"/>
        <v>300</v>
      </c>
      <c r="C1203" s="211"/>
      <c r="D1203" s="211"/>
      <c r="E1203" s="211"/>
      <c r="F1203" s="211"/>
      <c r="G1203" s="211"/>
      <c r="H1203" s="211"/>
      <c r="I1203" s="211"/>
      <c r="J1203" s="16"/>
      <c r="K1203" s="1"/>
      <c r="M1203" s="1"/>
      <c r="N1203" s="1"/>
      <c r="O1203" s="1"/>
      <c r="P1203" s="1"/>
      <c r="Q1203" s="95"/>
      <c r="R1203" s="5" t="b">
        <f t="shared" si="243"/>
        <v>0</v>
      </c>
    </row>
    <row r="1204" spans="1:18" s="4" customFormat="1" ht="15" hidden="1" customHeight="1">
      <c r="A1204" s="64"/>
      <c r="B1204" s="7">
        <f t="shared" si="242"/>
        <v>301</v>
      </c>
      <c r="C1204" s="211"/>
      <c r="D1204" s="211"/>
      <c r="E1204" s="211"/>
      <c r="F1204" s="211"/>
      <c r="G1204" s="211"/>
      <c r="H1204" s="211"/>
      <c r="I1204" s="211"/>
      <c r="J1204" s="16"/>
      <c r="K1204" s="1"/>
      <c r="M1204" s="1"/>
      <c r="N1204" s="1"/>
      <c r="O1204" s="1"/>
      <c r="P1204" s="1"/>
      <c r="Q1204" s="95"/>
      <c r="R1204" s="5" t="b">
        <f t="shared" si="243"/>
        <v>0</v>
      </c>
    </row>
    <row r="1205" spans="1:18" s="4" customFormat="1" ht="15" hidden="1" customHeight="1">
      <c r="A1205" s="64"/>
      <c r="B1205" s="7">
        <f t="shared" si="242"/>
        <v>302</v>
      </c>
      <c r="C1205" s="211"/>
      <c r="D1205" s="211"/>
      <c r="E1205" s="211"/>
      <c r="F1205" s="211"/>
      <c r="G1205" s="211"/>
      <c r="H1205" s="211"/>
      <c r="I1205" s="211"/>
      <c r="J1205" s="16"/>
      <c r="K1205" s="1"/>
      <c r="M1205" s="1"/>
      <c r="N1205" s="1"/>
      <c r="O1205" s="1"/>
      <c r="P1205" s="1"/>
      <c r="Q1205" s="95"/>
      <c r="R1205" s="5" t="b">
        <f t="shared" si="243"/>
        <v>0</v>
      </c>
    </row>
    <row r="1206" spans="1:18" s="4" customFormat="1" ht="15" hidden="1" customHeight="1">
      <c r="A1206" s="64"/>
      <c r="B1206" s="7">
        <f t="shared" si="242"/>
        <v>303</v>
      </c>
      <c r="C1206" s="211"/>
      <c r="D1206" s="211"/>
      <c r="E1206" s="211"/>
      <c r="F1206" s="211"/>
      <c r="G1206" s="211"/>
      <c r="H1206" s="211"/>
      <c r="I1206" s="211"/>
      <c r="J1206" s="16"/>
      <c r="K1206" s="1"/>
      <c r="M1206" s="1"/>
      <c r="N1206" s="1"/>
      <c r="O1206" s="1"/>
      <c r="P1206" s="1"/>
      <c r="Q1206" s="95"/>
      <c r="R1206" s="5" t="b">
        <f t="shared" si="243"/>
        <v>0</v>
      </c>
    </row>
    <row r="1207" spans="1:18" s="4" customFormat="1" ht="15" hidden="1" customHeight="1">
      <c r="A1207" s="64"/>
      <c r="B1207" s="7">
        <f t="shared" si="242"/>
        <v>304</v>
      </c>
      <c r="C1207" s="211"/>
      <c r="D1207" s="211"/>
      <c r="E1207" s="211"/>
      <c r="F1207" s="211"/>
      <c r="G1207" s="211"/>
      <c r="H1207" s="211"/>
      <c r="I1207" s="211"/>
      <c r="J1207" s="16"/>
      <c r="K1207" s="1"/>
      <c r="M1207" s="1"/>
      <c r="N1207" s="1"/>
      <c r="O1207" s="1"/>
      <c r="P1207" s="1"/>
      <c r="Q1207" s="95"/>
      <c r="R1207" s="5" t="b">
        <f t="shared" si="243"/>
        <v>0</v>
      </c>
    </row>
    <row r="1208" spans="1:18" s="4" customFormat="1" ht="15" hidden="1" customHeight="1">
      <c r="A1208" s="64"/>
      <c r="B1208" s="7">
        <f t="shared" si="242"/>
        <v>305</v>
      </c>
      <c r="C1208" s="211"/>
      <c r="D1208" s="211"/>
      <c r="E1208" s="211"/>
      <c r="F1208" s="211"/>
      <c r="G1208" s="211"/>
      <c r="H1208" s="211"/>
      <c r="I1208" s="211"/>
      <c r="J1208" s="16"/>
      <c r="K1208" s="1"/>
      <c r="M1208" s="1"/>
      <c r="N1208" s="1"/>
      <c r="O1208" s="1"/>
      <c r="P1208" s="1"/>
      <c r="Q1208" s="95"/>
      <c r="R1208" s="5" t="b">
        <f t="shared" si="243"/>
        <v>0</v>
      </c>
    </row>
    <row r="1209" spans="1:18" s="4" customFormat="1" ht="15" hidden="1" customHeight="1">
      <c r="A1209" s="64"/>
      <c r="B1209" s="7">
        <f t="shared" si="242"/>
        <v>306</v>
      </c>
      <c r="C1209" s="211"/>
      <c r="D1209" s="211"/>
      <c r="E1209" s="211"/>
      <c r="F1209" s="211"/>
      <c r="G1209" s="211"/>
      <c r="H1209" s="211"/>
      <c r="I1209" s="211"/>
      <c r="J1209" s="16"/>
      <c r="K1209" s="1"/>
      <c r="M1209" s="1"/>
      <c r="N1209" s="1"/>
      <c r="O1209" s="1"/>
      <c r="P1209" s="1"/>
      <c r="Q1209" s="95"/>
      <c r="R1209" s="5" t="b">
        <f t="shared" si="243"/>
        <v>0</v>
      </c>
    </row>
    <row r="1210" spans="1:18" s="4" customFormat="1" ht="15" hidden="1" customHeight="1">
      <c r="A1210" s="64"/>
      <c r="B1210" s="7">
        <f t="shared" si="242"/>
        <v>307</v>
      </c>
      <c r="C1210" s="211"/>
      <c r="D1210" s="211"/>
      <c r="E1210" s="211"/>
      <c r="F1210" s="211"/>
      <c r="G1210" s="211"/>
      <c r="H1210" s="211"/>
      <c r="I1210" s="211"/>
      <c r="J1210" s="16"/>
      <c r="K1210" s="1"/>
      <c r="M1210" s="1"/>
      <c r="N1210" s="1"/>
      <c r="O1210" s="1"/>
      <c r="P1210" s="1"/>
      <c r="Q1210" s="95"/>
      <c r="R1210" s="5" t="b">
        <f t="shared" si="243"/>
        <v>0</v>
      </c>
    </row>
    <row r="1211" spans="1:18" s="4" customFormat="1" ht="15" hidden="1" customHeight="1">
      <c r="A1211" s="64"/>
      <c r="B1211" s="7">
        <f t="shared" si="242"/>
        <v>308</v>
      </c>
      <c r="C1211" s="211"/>
      <c r="D1211" s="211"/>
      <c r="E1211" s="211"/>
      <c r="F1211" s="211"/>
      <c r="G1211" s="211"/>
      <c r="H1211" s="211"/>
      <c r="I1211" s="211"/>
      <c r="J1211" s="16"/>
      <c r="K1211" s="1"/>
      <c r="M1211" s="1"/>
      <c r="N1211" s="1"/>
      <c r="O1211" s="1"/>
      <c r="P1211" s="1"/>
      <c r="Q1211" s="95"/>
      <c r="R1211" s="5" t="b">
        <f t="shared" si="243"/>
        <v>0</v>
      </c>
    </row>
    <row r="1212" spans="1:18" s="4" customFormat="1" ht="15" hidden="1" customHeight="1">
      <c r="A1212" s="64"/>
      <c r="B1212" s="7">
        <f t="shared" si="242"/>
        <v>309</v>
      </c>
      <c r="C1212" s="211"/>
      <c r="D1212" s="211"/>
      <c r="E1212" s="211"/>
      <c r="F1212" s="211"/>
      <c r="G1212" s="211"/>
      <c r="H1212" s="211"/>
      <c r="I1212" s="211"/>
      <c r="J1212" s="16"/>
      <c r="K1212" s="1"/>
      <c r="M1212" s="1"/>
      <c r="N1212" s="1"/>
      <c r="O1212" s="1"/>
      <c r="P1212" s="1"/>
      <c r="Q1212" s="95"/>
      <c r="R1212" s="5" t="b">
        <f t="shared" si="243"/>
        <v>0</v>
      </c>
    </row>
    <row r="1213" spans="1:18" s="4" customFormat="1" ht="15" hidden="1" customHeight="1">
      <c r="A1213" s="64"/>
      <c r="B1213" s="7">
        <f t="shared" si="242"/>
        <v>310</v>
      </c>
      <c r="C1213" s="211"/>
      <c r="D1213" s="211"/>
      <c r="E1213" s="211"/>
      <c r="F1213" s="211"/>
      <c r="G1213" s="211"/>
      <c r="H1213" s="211"/>
      <c r="I1213" s="211"/>
      <c r="J1213" s="16"/>
      <c r="K1213" s="1"/>
      <c r="M1213" s="1"/>
      <c r="N1213" s="1"/>
      <c r="O1213" s="1"/>
      <c r="P1213" s="1"/>
      <c r="Q1213" s="95"/>
      <c r="R1213" s="5" t="b">
        <f t="shared" si="243"/>
        <v>0</v>
      </c>
    </row>
    <row r="1214" spans="1:18" s="4" customFormat="1" ht="15" hidden="1" customHeight="1">
      <c r="A1214" s="64"/>
      <c r="B1214" s="7">
        <f t="shared" si="242"/>
        <v>311</v>
      </c>
      <c r="C1214" s="211"/>
      <c r="D1214" s="211"/>
      <c r="E1214" s="211"/>
      <c r="F1214" s="211"/>
      <c r="G1214" s="211"/>
      <c r="H1214" s="211"/>
      <c r="I1214" s="211"/>
      <c r="J1214" s="16"/>
      <c r="M1214" s="1"/>
      <c r="N1214" s="1"/>
      <c r="O1214" s="1"/>
      <c r="P1214" s="1"/>
      <c r="Q1214" s="95"/>
      <c r="R1214" s="5" t="b">
        <f t="shared" si="243"/>
        <v>0</v>
      </c>
    </row>
    <row r="1215" spans="1:18" s="4" customFormat="1" ht="15" hidden="1" customHeight="1">
      <c r="A1215" s="64"/>
      <c r="B1215" s="7">
        <f t="shared" si="242"/>
        <v>312</v>
      </c>
      <c r="C1215" s="211"/>
      <c r="D1215" s="211"/>
      <c r="E1215" s="211"/>
      <c r="F1215" s="211"/>
      <c r="G1215" s="211"/>
      <c r="H1215" s="211"/>
      <c r="I1215" s="211"/>
      <c r="J1215" s="16"/>
      <c r="K1215" s="1"/>
      <c r="M1215" s="1"/>
      <c r="N1215" s="1"/>
      <c r="O1215" s="1"/>
      <c r="P1215" s="1"/>
      <c r="Q1215" s="95"/>
      <c r="R1215" s="5" t="b">
        <f t="shared" si="243"/>
        <v>0</v>
      </c>
    </row>
    <row r="1216" spans="1:18" s="4" customFormat="1" ht="15" hidden="1" customHeight="1">
      <c r="A1216" s="64"/>
      <c r="B1216" s="7">
        <f t="shared" si="242"/>
        <v>313</v>
      </c>
      <c r="C1216" s="211"/>
      <c r="D1216" s="211"/>
      <c r="E1216" s="211"/>
      <c r="F1216" s="211"/>
      <c r="G1216" s="211"/>
      <c r="H1216" s="211"/>
      <c r="I1216" s="211"/>
      <c r="J1216" s="16"/>
      <c r="K1216" s="1"/>
      <c r="M1216" s="1"/>
      <c r="N1216" s="1"/>
      <c r="O1216" s="1"/>
      <c r="P1216" s="1"/>
      <c r="Q1216" s="95"/>
      <c r="R1216" s="5" t="b">
        <f t="shared" si="243"/>
        <v>0</v>
      </c>
    </row>
    <row r="1217" spans="1:18" s="4" customFormat="1" ht="15" hidden="1" customHeight="1">
      <c r="A1217" s="64"/>
      <c r="B1217" s="7">
        <f t="shared" si="242"/>
        <v>314</v>
      </c>
      <c r="C1217" s="211"/>
      <c r="D1217" s="211"/>
      <c r="E1217" s="211"/>
      <c r="F1217" s="211"/>
      <c r="G1217" s="211"/>
      <c r="H1217" s="211"/>
      <c r="I1217" s="211"/>
      <c r="J1217" s="16"/>
      <c r="K1217" s="1"/>
      <c r="M1217" s="1"/>
      <c r="N1217" s="1"/>
      <c r="O1217" s="1"/>
      <c r="P1217" s="1"/>
      <c r="Q1217" s="95"/>
      <c r="R1217" s="5" t="b">
        <f t="shared" si="243"/>
        <v>0</v>
      </c>
    </row>
    <row r="1218" spans="1:18" s="4" customFormat="1" ht="15" hidden="1" customHeight="1">
      <c r="A1218" s="64"/>
      <c r="B1218" s="7">
        <f t="shared" si="242"/>
        <v>315</v>
      </c>
      <c r="C1218" s="211"/>
      <c r="D1218" s="211"/>
      <c r="E1218" s="211"/>
      <c r="F1218" s="211"/>
      <c r="G1218" s="211"/>
      <c r="H1218" s="211"/>
      <c r="I1218" s="211"/>
      <c r="J1218" s="16"/>
      <c r="K1218" s="1"/>
      <c r="M1218" s="1"/>
      <c r="N1218" s="1"/>
      <c r="O1218" s="1"/>
      <c r="P1218" s="1"/>
      <c r="Q1218" s="95"/>
      <c r="R1218" s="5" t="b">
        <f t="shared" si="243"/>
        <v>0</v>
      </c>
    </row>
    <row r="1219" spans="1:18" s="4" customFormat="1" ht="15" hidden="1" customHeight="1">
      <c r="A1219" s="64"/>
      <c r="B1219" s="7">
        <f t="shared" si="242"/>
        <v>316</v>
      </c>
      <c r="C1219" s="211"/>
      <c r="D1219" s="211"/>
      <c r="E1219" s="211"/>
      <c r="F1219" s="211"/>
      <c r="G1219" s="211"/>
      <c r="H1219" s="211"/>
      <c r="I1219" s="211"/>
      <c r="J1219" s="16"/>
      <c r="K1219" s="1"/>
      <c r="M1219" s="1"/>
      <c r="N1219" s="1"/>
      <c r="O1219" s="1"/>
      <c r="P1219" s="1"/>
      <c r="Q1219" s="95"/>
      <c r="R1219" s="5" t="b">
        <f t="shared" si="243"/>
        <v>0</v>
      </c>
    </row>
    <row r="1220" spans="1:18" s="4" customFormat="1" ht="15" hidden="1" customHeight="1">
      <c r="A1220" s="64"/>
      <c r="B1220" s="7">
        <f t="shared" si="242"/>
        <v>317</v>
      </c>
      <c r="C1220" s="211"/>
      <c r="D1220" s="211"/>
      <c r="E1220" s="211"/>
      <c r="F1220" s="211"/>
      <c r="G1220" s="211"/>
      <c r="H1220" s="211"/>
      <c r="I1220" s="211"/>
      <c r="J1220" s="16"/>
      <c r="K1220" s="1"/>
      <c r="M1220" s="1"/>
      <c r="N1220" s="1"/>
      <c r="O1220" s="1"/>
      <c r="P1220" s="1"/>
      <c r="Q1220" s="95"/>
      <c r="R1220" s="5" t="b">
        <f t="shared" si="243"/>
        <v>0</v>
      </c>
    </row>
    <row r="1221" spans="1:18" s="4" customFormat="1" ht="15" hidden="1" customHeight="1">
      <c r="A1221" s="64"/>
      <c r="B1221" s="7">
        <f t="shared" si="242"/>
        <v>318</v>
      </c>
      <c r="C1221" s="211"/>
      <c r="D1221" s="211"/>
      <c r="E1221" s="211"/>
      <c r="F1221" s="211"/>
      <c r="G1221" s="211"/>
      <c r="H1221" s="211"/>
      <c r="I1221" s="211"/>
      <c r="J1221" s="16"/>
      <c r="K1221" s="1"/>
      <c r="M1221" s="1"/>
      <c r="N1221" s="1"/>
      <c r="O1221" s="1"/>
      <c r="P1221" s="1"/>
      <c r="Q1221" s="95"/>
      <c r="R1221" s="5" t="b">
        <f t="shared" si="243"/>
        <v>0</v>
      </c>
    </row>
    <row r="1222" spans="1:18" s="4" customFormat="1" ht="15" hidden="1" customHeight="1">
      <c r="A1222" s="64"/>
      <c r="B1222" s="7">
        <f t="shared" si="242"/>
        <v>319</v>
      </c>
      <c r="C1222" s="211"/>
      <c r="D1222" s="211"/>
      <c r="E1222" s="211"/>
      <c r="F1222" s="211"/>
      <c r="G1222" s="211"/>
      <c r="H1222" s="211"/>
      <c r="I1222" s="211"/>
      <c r="J1222" s="16"/>
      <c r="K1222" s="1"/>
      <c r="M1222" s="1"/>
      <c r="N1222" s="1"/>
      <c r="O1222" s="1"/>
      <c r="P1222" s="1"/>
      <c r="Q1222" s="95"/>
      <c r="R1222" s="5" t="b">
        <f t="shared" si="243"/>
        <v>0</v>
      </c>
    </row>
    <row r="1223" spans="1:18" s="4" customFormat="1" ht="15" hidden="1" customHeight="1">
      <c r="A1223" s="64"/>
      <c r="B1223" s="7">
        <f t="shared" si="242"/>
        <v>320</v>
      </c>
      <c r="C1223" s="211"/>
      <c r="D1223" s="211"/>
      <c r="E1223" s="211"/>
      <c r="F1223" s="211"/>
      <c r="G1223" s="211"/>
      <c r="H1223" s="211"/>
      <c r="I1223" s="211"/>
      <c r="J1223" s="16"/>
      <c r="K1223" s="1"/>
      <c r="M1223" s="1"/>
      <c r="N1223" s="1"/>
      <c r="O1223" s="1"/>
      <c r="P1223" s="1"/>
      <c r="Q1223" s="95"/>
      <c r="R1223" s="5" t="b">
        <f t="shared" si="243"/>
        <v>0</v>
      </c>
    </row>
    <row r="1224" spans="1:18" s="4" customFormat="1" ht="15" hidden="1" customHeight="1">
      <c r="A1224" s="64"/>
      <c r="B1224" s="7">
        <f t="shared" si="242"/>
        <v>321</v>
      </c>
      <c r="C1224" s="211"/>
      <c r="D1224" s="211"/>
      <c r="E1224" s="211"/>
      <c r="F1224" s="211"/>
      <c r="G1224" s="211"/>
      <c r="H1224" s="211"/>
      <c r="I1224" s="211"/>
      <c r="J1224" s="16"/>
      <c r="K1224" s="1"/>
      <c r="M1224" s="1"/>
      <c r="N1224" s="1"/>
      <c r="O1224" s="1"/>
      <c r="P1224" s="1"/>
      <c r="Q1224" s="95"/>
      <c r="R1224" s="5" t="b">
        <f t="shared" si="243"/>
        <v>0</v>
      </c>
    </row>
    <row r="1225" spans="1:18" s="4" customFormat="1" ht="15" customHeight="1" thickBot="1">
      <c r="A1225" s="69"/>
      <c r="B1225" s="324" t="s">
        <v>22</v>
      </c>
      <c r="C1225" s="325"/>
      <c r="D1225" s="325"/>
      <c r="E1225" s="326"/>
      <c r="F1225" s="70">
        <f>COUNTA(C904:C1224)</f>
        <v>33</v>
      </c>
      <c r="G1225" s="71"/>
      <c r="H1225" s="72"/>
      <c r="I1225" s="72"/>
      <c r="J1225" s="113"/>
      <c r="K1225" s="96"/>
      <c r="L1225" s="96"/>
      <c r="M1225" s="96"/>
      <c r="N1225" s="96"/>
      <c r="O1225" s="96"/>
      <c r="P1225" s="96"/>
      <c r="Q1225" s="97"/>
      <c r="R1225" s="5" t="b">
        <f t="shared" si="243"/>
        <v>0</v>
      </c>
    </row>
    <row r="1226" spans="1:18" s="4" customFormat="1" ht="15" customHeight="1">
      <c r="A1226" s="64"/>
      <c r="B1226" s="327" t="s">
        <v>654</v>
      </c>
      <c r="C1226" s="328"/>
      <c r="D1226" s="328"/>
      <c r="E1226" s="328"/>
      <c r="F1226" s="328"/>
      <c r="G1226" s="328"/>
      <c r="H1226" s="328"/>
      <c r="I1226" s="328"/>
      <c r="J1226" s="328"/>
      <c r="K1226" s="328"/>
      <c r="L1226" s="328"/>
      <c r="M1226" s="328"/>
      <c r="N1226" s="328"/>
      <c r="O1226" s="328"/>
      <c r="P1226" s="328"/>
      <c r="Q1226" s="329"/>
      <c r="R1226" s="5" t="b">
        <f t="shared" si="243"/>
        <v>0</v>
      </c>
    </row>
    <row r="1227" spans="1:18" s="4" customFormat="1" ht="15" customHeight="1">
      <c r="A1227" s="64"/>
      <c r="B1227" s="7">
        <v>1</v>
      </c>
      <c r="C1227" s="177" t="s">
        <v>10</v>
      </c>
      <c r="D1227" s="177" t="s">
        <v>112</v>
      </c>
      <c r="E1227" s="177" t="s">
        <v>104</v>
      </c>
      <c r="F1227" s="177" t="s">
        <v>109</v>
      </c>
      <c r="G1227" s="177">
        <v>2011</v>
      </c>
      <c r="H1227" s="177" t="s">
        <v>106</v>
      </c>
      <c r="I1227" s="177"/>
      <c r="J1227" s="115"/>
      <c r="K1227" s="116">
        <v>153.06</v>
      </c>
      <c r="L1227" s="116">
        <v>5.75</v>
      </c>
      <c r="M1227" s="116">
        <v>561.19000000000005</v>
      </c>
      <c r="N1227" s="129">
        <f t="shared" ref="N1227" si="244">+K1227/(K1227+L1227)</f>
        <v>0.96379321201435675</v>
      </c>
      <c r="O1227" s="129">
        <f t="shared" ref="O1227" si="245">+(K1227+M1227)/(K1227+L1227+M1227)</f>
        <v>0.99201388888888886</v>
      </c>
      <c r="P1227" s="129">
        <f t="shared" ref="P1227:P1236" si="246">+K1227/(K1227+M1227)</f>
        <v>0.2142947147357368</v>
      </c>
      <c r="Q1227" s="114"/>
      <c r="R1227" s="5" t="str">
        <f t="shared" si="243"/>
        <v>PAMA</v>
      </c>
    </row>
    <row r="1228" spans="1:18" s="4" customFormat="1" ht="15" customHeight="1">
      <c r="A1228" s="64"/>
      <c r="B1228" s="7">
        <f>B1227+1</f>
        <v>2</v>
      </c>
      <c r="C1228" s="177" t="s">
        <v>10</v>
      </c>
      <c r="D1228" s="177" t="s">
        <v>519</v>
      </c>
      <c r="E1228" s="177" t="s">
        <v>15</v>
      </c>
      <c r="F1228" s="177" t="s">
        <v>116</v>
      </c>
      <c r="G1228" s="177">
        <v>2008</v>
      </c>
      <c r="H1228" s="177" t="s">
        <v>114</v>
      </c>
      <c r="I1228" s="177" t="s">
        <v>115</v>
      </c>
      <c r="J1228" s="115"/>
      <c r="K1228" s="116">
        <v>0</v>
      </c>
      <c r="L1228" s="116">
        <v>0</v>
      </c>
      <c r="M1228" s="116">
        <v>720</v>
      </c>
      <c r="N1228" s="129">
        <v>0</v>
      </c>
      <c r="O1228" s="129">
        <f t="shared" ref="O1228:O1236" si="247">+(K1228+M1228)/(K1228+L1228+M1228)</f>
        <v>1</v>
      </c>
      <c r="P1228" s="129">
        <f t="shared" si="246"/>
        <v>0</v>
      </c>
      <c r="Q1228" s="114"/>
      <c r="R1228" s="5" t="str">
        <f t="shared" si="243"/>
        <v>PAMA</v>
      </c>
    </row>
    <row r="1229" spans="1:18" s="4" customFormat="1" ht="15" customHeight="1">
      <c r="A1229" s="64"/>
      <c r="B1229" s="7">
        <f t="shared" ref="B1229:B1292" si="248">B1228+1</f>
        <v>3</v>
      </c>
      <c r="C1229" s="177" t="s">
        <v>10</v>
      </c>
      <c r="D1229" s="177" t="s">
        <v>117</v>
      </c>
      <c r="E1229" s="177" t="s">
        <v>15</v>
      </c>
      <c r="F1229" s="177" t="s">
        <v>116</v>
      </c>
      <c r="G1229" s="177">
        <v>2009</v>
      </c>
      <c r="H1229" s="177" t="s">
        <v>114</v>
      </c>
      <c r="I1229" s="177" t="s">
        <v>115</v>
      </c>
      <c r="J1229" s="115"/>
      <c r="K1229" s="116">
        <v>0</v>
      </c>
      <c r="L1229" s="116">
        <v>0</v>
      </c>
      <c r="M1229" s="116">
        <v>720</v>
      </c>
      <c r="N1229" s="129">
        <v>0</v>
      </c>
      <c r="O1229" s="129">
        <f t="shared" si="247"/>
        <v>1</v>
      </c>
      <c r="P1229" s="129">
        <f t="shared" si="246"/>
        <v>0</v>
      </c>
      <c r="Q1229" s="114"/>
      <c r="R1229" s="5" t="str">
        <f t="shared" si="243"/>
        <v>PAMA</v>
      </c>
    </row>
    <row r="1230" spans="1:18" s="4" customFormat="1" ht="15" customHeight="1">
      <c r="A1230" s="64"/>
      <c r="B1230" s="7">
        <f t="shared" si="248"/>
        <v>4</v>
      </c>
      <c r="C1230" s="177" t="s">
        <v>10</v>
      </c>
      <c r="D1230" s="177" t="s">
        <v>537</v>
      </c>
      <c r="E1230" s="177" t="s">
        <v>15</v>
      </c>
      <c r="F1230" s="177" t="s">
        <v>116</v>
      </c>
      <c r="G1230" s="177">
        <v>2010</v>
      </c>
      <c r="H1230" s="177" t="s">
        <v>114</v>
      </c>
      <c r="I1230" s="177" t="s">
        <v>115</v>
      </c>
      <c r="J1230" s="115"/>
      <c r="K1230" s="116">
        <v>0</v>
      </c>
      <c r="L1230" s="116">
        <v>0</v>
      </c>
      <c r="M1230" s="116">
        <v>720</v>
      </c>
      <c r="N1230" s="129">
        <v>0</v>
      </c>
      <c r="O1230" s="129">
        <f t="shared" si="247"/>
        <v>1</v>
      </c>
      <c r="P1230" s="129">
        <f t="shared" si="246"/>
        <v>0</v>
      </c>
      <c r="Q1230" s="114"/>
      <c r="R1230" s="5" t="str">
        <f t="shared" si="243"/>
        <v>PAMA</v>
      </c>
    </row>
    <row r="1231" spans="1:18" s="4" customFormat="1" ht="15" customHeight="1">
      <c r="A1231" s="64"/>
      <c r="B1231" s="7">
        <f t="shared" si="248"/>
        <v>5</v>
      </c>
      <c r="C1231" s="177" t="s">
        <v>10</v>
      </c>
      <c r="D1231" s="177" t="s">
        <v>120</v>
      </c>
      <c r="E1231" s="177" t="s">
        <v>15</v>
      </c>
      <c r="F1231" s="177" t="s">
        <v>116</v>
      </c>
      <c r="G1231" s="177">
        <v>2010</v>
      </c>
      <c r="H1231" s="177" t="s">
        <v>114</v>
      </c>
      <c r="I1231" s="177" t="s">
        <v>115</v>
      </c>
      <c r="J1231" s="115"/>
      <c r="K1231" s="116">
        <v>396.75</v>
      </c>
      <c r="L1231" s="116">
        <v>20.32</v>
      </c>
      <c r="M1231" s="116">
        <v>302.92999999999995</v>
      </c>
      <c r="N1231" s="129">
        <f t="shared" ref="N1231:N1236" si="249">+K1231/(K1231+L1231)</f>
        <v>0.95127916177140526</v>
      </c>
      <c r="O1231" s="129">
        <f t="shared" si="247"/>
        <v>0.97177777777777774</v>
      </c>
      <c r="P1231" s="129">
        <f t="shared" si="246"/>
        <v>0.56704493482734963</v>
      </c>
      <c r="Q1231" s="114"/>
      <c r="R1231" s="5" t="str">
        <f t="shared" si="243"/>
        <v>PAMA</v>
      </c>
    </row>
    <row r="1232" spans="1:18" s="4" customFormat="1" ht="15" customHeight="1">
      <c r="A1232" s="64"/>
      <c r="B1232" s="7">
        <f t="shared" si="248"/>
        <v>6</v>
      </c>
      <c r="C1232" s="177" t="s">
        <v>10</v>
      </c>
      <c r="D1232" s="177" t="s">
        <v>397</v>
      </c>
      <c r="E1232" s="177" t="s">
        <v>15</v>
      </c>
      <c r="F1232" s="177" t="s">
        <v>116</v>
      </c>
      <c r="G1232" s="177">
        <v>2011</v>
      </c>
      <c r="H1232" s="177" t="s">
        <v>114</v>
      </c>
      <c r="I1232" s="177" t="s">
        <v>115</v>
      </c>
      <c r="J1232" s="115"/>
      <c r="K1232" s="116">
        <v>377</v>
      </c>
      <c r="L1232" s="116">
        <v>42.27</v>
      </c>
      <c r="M1232" s="116">
        <v>300.73</v>
      </c>
      <c r="N1232" s="129">
        <f t="shared" si="249"/>
        <v>0.89918191141746373</v>
      </c>
      <c r="O1232" s="129">
        <f t="shared" si="247"/>
        <v>0.94129166666666664</v>
      </c>
      <c r="P1232" s="129">
        <f t="shared" si="246"/>
        <v>0.55626872058194266</v>
      </c>
      <c r="Q1232" s="114"/>
      <c r="R1232" s="5" t="str">
        <f t="shared" si="243"/>
        <v>PAMA</v>
      </c>
    </row>
    <row r="1233" spans="1:18" s="4" customFormat="1" ht="15" customHeight="1">
      <c r="A1233" s="64"/>
      <c r="B1233" s="7">
        <f t="shared" si="248"/>
        <v>7</v>
      </c>
      <c r="C1233" s="177" t="s">
        <v>10</v>
      </c>
      <c r="D1233" s="177" t="s">
        <v>2104</v>
      </c>
      <c r="E1233" s="177" t="s">
        <v>15</v>
      </c>
      <c r="F1233" s="177" t="s">
        <v>116</v>
      </c>
      <c r="G1233" s="177">
        <v>2022</v>
      </c>
      <c r="H1233" s="177" t="s">
        <v>114</v>
      </c>
      <c r="I1233" s="177" t="s">
        <v>115</v>
      </c>
      <c r="J1233" s="115"/>
      <c r="K1233" s="116">
        <v>420</v>
      </c>
      <c r="L1233" s="116">
        <v>4</v>
      </c>
      <c r="M1233" s="116">
        <v>296</v>
      </c>
      <c r="N1233" s="129">
        <f t="shared" si="249"/>
        <v>0.99056603773584906</v>
      </c>
      <c r="O1233" s="129">
        <f t="shared" si="247"/>
        <v>0.99444444444444446</v>
      </c>
      <c r="P1233" s="129">
        <f t="shared" si="246"/>
        <v>0.58659217877094971</v>
      </c>
      <c r="Q1233" s="114"/>
      <c r="R1233" s="5" t="str">
        <f t="shared" si="243"/>
        <v>PAMA</v>
      </c>
    </row>
    <row r="1234" spans="1:18" s="4" customFormat="1" ht="15" customHeight="1">
      <c r="A1234" s="64"/>
      <c r="B1234" s="7">
        <f t="shared" si="248"/>
        <v>8</v>
      </c>
      <c r="C1234" s="177" t="s">
        <v>10</v>
      </c>
      <c r="D1234" s="177" t="s">
        <v>571</v>
      </c>
      <c r="E1234" s="177" t="s">
        <v>15</v>
      </c>
      <c r="F1234" s="177" t="s">
        <v>136</v>
      </c>
      <c r="G1234" s="177">
        <v>2009</v>
      </c>
      <c r="H1234" s="177" t="s">
        <v>135</v>
      </c>
      <c r="I1234" s="177" t="s">
        <v>137</v>
      </c>
      <c r="J1234" s="115"/>
      <c r="K1234" s="116">
        <v>268.99</v>
      </c>
      <c r="L1234" s="116">
        <v>60.97</v>
      </c>
      <c r="M1234" s="116">
        <v>390.03999999999996</v>
      </c>
      <c r="N1234" s="129">
        <f t="shared" si="249"/>
        <v>0.81522002666989934</v>
      </c>
      <c r="O1234" s="129">
        <f t="shared" si="247"/>
        <v>0.91531944444444435</v>
      </c>
      <c r="P1234" s="129">
        <f t="shared" si="246"/>
        <v>0.40816047827868235</v>
      </c>
      <c r="Q1234" s="114"/>
      <c r="R1234" s="5" t="str">
        <f t="shared" si="243"/>
        <v>PAMA</v>
      </c>
    </row>
    <row r="1235" spans="1:18" s="4" customFormat="1" ht="15" customHeight="1">
      <c r="A1235" s="64"/>
      <c r="B1235" s="7">
        <f t="shared" si="248"/>
        <v>9</v>
      </c>
      <c r="C1235" s="177" t="s">
        <v>10</v>
      </c>
      <c r="D1235" s="177" t="s">
        <v>401</v>
      </c>
      <c r="E1235" s="177" t="s">
        <v>15</v>
      </c>
      <c r="F1235" s="177" t="s">
        <v>228</v>
      </c>
      <c r="G1235" s="177"/>
      <c r="H1235" s="177" t="s">
        <v>148</v>
      </c>
      <c r="I1235" s="177" t="s">
        <v>149</v>
      </c>
      <c r="J1235" s="115"/>
      <c r="K1235" s="116">
        <v>118.63</v>
      </c>
      <c r="L1235" s="116">
        <v>21.72</v>
      </c>
      <c r="M1235" s="116">
        <v>579.65</v>
      </c>
      <c r="N1235" s="129">
        <f t="shared" si="249"/>
        <v>0.84524403277520488</v>
      </c>
      <c r="O1235" s="129">
        <f t="shared" si="247"/>
        <v>0.96983333333333333</v>
      </c>
      <c r="P1235" s="129">
        <f t="shared" si="246"/>
        <v>0.16988886979435183</v>
      </c>
      <c r="Q1235" s="114"/>
      <c r="R1235" s="5" t="str">
        <f t="shared" si="243"/>
        <v>PAMA</v>
      </c>
    </row>
    <row r="1236" spans="1:18" s="4" customFormat="1" ht="15" hidden="1" customHeight="1">
      <c r="A1236" s="64"/>
      <c r="B1236" s="7">
        <f t="shared" si="248"/>
        <v>10</v>
      </c>
      <c r="C1236" s="177"/>
      <c r="D1236" s="177"/>
      <c r="E1236" s="177"/>
      <c r="F1236" s="177"/>
      <c r="G1236" s="177"/>
      <c r="H1236" s="177"/>
      <c r="I1236" s="177"/>
      <c r="J1236" s="115"/>
      <c r="K1236" s="116"/>
      <c r="L1236" s="116"/>
      <c r="M1236" s="116"/>
      <c r="N1236" s="129" t="e">
        <f t="shared" si="249"/>
        <v>#DIV/0!</v>
      </c>
      <c r="O1236" s="129" t="e">
        <f t="shared" si="247"/>
        <v>#DIV/0!</v>
      </c>
      <c r="P1236" s="129" t="e">
        <f t="shared" si="246"/>
        <v>#DIV/0!</v>
      </c>
      <c r="Q1236" s="114"/>
      <c r="R1236" s="5" t="e">
        <f t="shared" si="243"/>
        <v>#DIV/0!</v>
      </c>
    </row>
    <row r="1237" spans="1:18" s="4" customFormat="1" ht="17.25" hidden="1" customHeight="1">
      <c r="A1237" s="64"/>
      <c r="B1237" s="7">
        <f t="shared" si="248"/>
        <v>11</v>
      </c>
      <c r="C1237" s="177"/>
      <c r="D1237" s="177"/>
      <c r="E1237" s="177"/>
      <c r="F1237" s="177"/>
      <c r="G1237" s="177"/>
      <c r="H1237" s="177"/>
      <c r="I1237" s="177"/>
      <c r="J1237" s="115"/>
      <c r="K1237" s="116"/>
      <c r="L1237" s="116"/>
      <c r="M1237" s="116"/>
      <c r="N1237" s="129"/>
      <c r="O1237" s="129"/>
      <c r="P1237" s="129"/>
      <c r="Q1237" s="114"/>
      <c r="R1237" s="5" t="b">
        <f t="shared" si="243"/>
        <v>0</v>
      </c>
    </row>
    <row r="1238" spans="1:18" s="4" customFormat="1" ht="15" hidden="1" customHeight="1" thickBot="1">
      <c r="A1238" s="64"/>
      <c r="B1238" s="7">
        <f t="shared" si="248"/>
        <v>12</v>
      </c>
      <c r="C1238" s="177"/>
      <c r="D1238" s="177"/>
      <c r="E1238" s="177"/>
      <c r="F1238" s="177"/>
      <c r="G1238" s="177"/>
      <c r="H1238" s="177"/>
      <c r="I1238" s="177"/>
      <c r="J1238" s="115"/>
      <c r="K1238" s="116"/>
      <c r="L1238" s="116"/>
      <c r="M1238" s="116"/>
      <c r="N1238" s="129"/>
      <c r="O1238" s="129"/>
      <c r="P1238" s="129"/>
      <c r="Q1238" s="114"/>
      <c r="R1238" s="5" t="b">
        <f t="shared" si="243"/>
        <v>0</v>
      </c>
    </row>
    <row r="1239" spans="1:18" s="4" customFormat="1" ht="15" hidden="1" customHeight="1" thickBot="1">
      <c r="A1239" s="64"/>
      <c r="B1239" s="7">
        <f t="shared" si="248"/>
        <v>13</v>
      </c>
      <c r="C1239" s="177"/>
      <c r="D1239" s="177"/>
      <c r="E1239" s="177"/>
      <c r="F1239" s="177"/>
      <c r="G1239" s="177"/>
      <c r="H1239" s="177"/>
      <c r="I1239" s="177"/>
      <c r="J1239" s="115"/>
      <c r="K1239" s="116"/>
      <c r="L1239" s="116"/>
      <c r="M1239" s="116"/>
      <c r="N1239" s="129" t="e">
        <f t="shared" ref="N1239" si="250">+K1239/(K1239+L1239)</f>
        <v>#DIV/0!</v>
      </c>
      <c r="O1239" s="129" t="e">
        <f t="shared" ref="O1239" si="251">+(K1239+M1239)/(K1239+L1239+M1239)</f>
        <v>#DIV/0!</v>
      </c>
      <c r="P1239" s="129" t="e">
        <f>+K1239/(K1239+M1239)</f>
        <v>#DIV/0!</v>
      </c>
      <c r="Q1239" s="114"/>
      <c r="R1239" s="5" t="e">
        <f t="shared" si="243"/>
        <v>#DIV/0!</v>
      </c>
    </row>
    <row r="1240" spans="1:18" s="4" customFormat="1" ht="15" hidden="1" customHeight="1" thickBot="1">
      <c r="A1240" s="64"/>
      <c r="B1240" s="7">
        <f t="shared" si="248"/>
        <v>14</v>
      </c>
      <c r="C1240" s="177"/>
      <c r="D1240" s="177"/>
      <c r="E1240" s="177"/>
      <c r="F1240" s="177"/>
      <c r="G1240" s="177"/>
      <c r="H1240" s="177"/>
      <c r="I1240" s="177"/>
      <c r="J1240" s="115"/>
      <c r="K1240" s="116"/>
      <c r="L1240" s="116"/>
      <c r="M1240" s="116"/>
      <c r="N1240" s="129"/>
      <c r="O1240" s="129"/>
      <c r="P1240" s="129"/>
      <c r="Q1240" s="114"/>
      <c r="R1240" s="5" t="b">
        <f t="shared" si="243"/>
        <v>0</v>
      </c>
    </row>
    <row r="1241" spans="1:18" s="4" customFormat="1" ht="15" hidden="1" customHeight="1" thickBot="1">
      <c r="A1241" s="64"/>
      <c r="B1241" s="7">
        <f t="shared" si="248"/>
        <v>15</v>
      </c>
      <c r="C1241" s="177"/>
      <c r="D1241" s="177"/>
      <c r="E1241" s="177"/>
      <c r="F1241" s="177"/>
      <c r="G1241" s="177"/>
      <c r="H1241" s="177"/>
      <c r="I1241" s="177"/>
      <c r="J1241" s="115"/>
      <c r="K1241" s="116"/>
      <c r="L1241" s="116"/>
      <c r="M1241" s="116"/>
      <c r="N1241" s="129" t="e">
        <f t="shared" ref="N1241:N1246" si="252">+K1241/(K1241+L1241)</f>
        <v>#DIV/0!</v>
      </c>
      <c r="O1241" s="129" t="e">
        <f t="shared" ref="O1241:O1246" si="253">+(K1241+M1241)/(K1241+L1241+M1241)</f>
        <v>#DIV/0!</v>
      </c>
      <c r="P1241" s="129" t="e">
        <f t="shared" ref="P1241:P1246" si="254">+K1241/(K1241+M1241)</f>
        <v>#DIV/0!</v>
      </c>
      <c r="Q1241" s="114"/>
      <c r="R1241" s="5" t="e">
        <f t="shared" si="243"/>
        <v>#DIV/0!</v>
      </c>
    </row>
    <row r="1242" spans="1:18" s="4" customFormat="1" ht="15" hidden="1" customHeight="1" thickBot="1">
      <c r="A1242" s="64"/>
      <c r="B1242" s="7">
        <f t="shared" si="248"/>
        <v>16</v>
      </c>
      <c r="C1242" s="177"/>
      <c r="D1242" s="177"/>
      <c r="E1242" s="177"/>
      <c r="F1242" s="177"/>
      <c r="G1242" s="177"/>
      <c r="H1242" s="177"/>
      <c r="I1242" s="177"/>
      <c r="J1242" s="115"/>
      <c r="K1242" s="116"/>
      <c r="L1242" s="116"/>
      <c r="M1242" s="116"/>
      <c r="N1242" s="129" t="e">
        <f t="shared" si="252"/>
        <v>#DIV/0!</v>
      </c>
      <c r="O1242" s="129" t="e">
        <f t="shared" si="253"/>
        <v>#DIV/0!</v>
      </c>
      <c r="P1242" s="129" t="e">
        <f t="shared" si="254"/>
        <v>#DIV/0!</v>
      </c>
      <c r="Q1242" s="114"/>
      <c r="R1242" s="5" t="e">
        <f t="shared" si="243"/>
        <v>#DIV/0!</v>
      </c>
    </row>
    <row r="1243" spans="1:18" s="4" customFormat="1" ht="15" hidden="1" customHeight="1" thickBot="1">
      <c r="A1243" s="64"/>
      <c r="B1243" s="7">
        <f t="shared" si="248"/>
        <v>17</v>
      </c>
      <c r="C1243" s="177"/>
      <c r="D1243" s="177"/>
      <c r="E1243" s="177"/>
      <c r="F1243" s="177"/>
      <c r="G1243" s="177"/>
      <c r="H1243" s="177"/>
      <c r="I1243" s="177"/>
      <c r="J1243" s="115"/>
      <c r="K1243" s="116"/>
      <c r="L1243" s="116"/>
      <c r="M1243" s="116"/>
      <c r="N1243" s="129" t="e">
        <f t="shared" si="252"/>
        <v>#DIV/0!</v>
      </c>
      <c r="O1243" s="129" t="e">
        <f t="shared" si="253"/>
        <v>#DIV/0!</v>
      </c>
      <c r="P1243" s="129" t="e">
        <f t="shared" si="254"/>
        <v>#DIV/0!</v>
      </c>
      <c r="Q1243" s="114"/>
      <c r="R1243" s="5" t="e">
        <f t="shared" si="243"/>
        <v>#DIV/0!</v>
      </c>
    </row>
    <row r="1244" spans="1:18" s="4" customFormat="1" ht="15" hidden="1" customHeight="1" thickBot="1">
      <c r="A1244" s="64"/>
      <c r="B1244" s="7">
        <f t="shared" si="248"/>
        <v>18</v>
      </c>
      <c r="C1244" s="177"/>
      <c r="D1244" s="177"/>
      <c r="E1244" s="177"/>
      <c r="F1244" s="177"/>
      <c r="G1244" s="177"/>
      <c r="H1244" s="177"/>
      <c r="I1244" s="177"/>
      <c r="J1244" s="115"/>
      <c r="K1244" s="116"/>
      <c r="L1244" s="116"/>
      <c r="M1244" s="116"/>
      <c r="N1244" s="129" t="e">
        <f t="shared" si="252"/>
        <v>#DIV/0!</v>
      </c>
      <c r="O1244" s="129" t="e">
        <f t="shared" si="253"/>
        <v>#DIV/0!</v>
      </c>
      <c r="P1244" s="129" t="e">
        <f t="shared" si="254"/>
        <v>#DIV/0!</v>
      </c>
      <c r="Q1244" s="114"/>
      <c r="R1244" s="5" t="e">
        <f t="shared" si="243"/>
        <v>#DIV/0!</v>
      </c>
    </row>
    <row r="1245" spans="1:18" s="4" customFormat="1" ht="15" hidden="1" customHeight="1" thickBot="1">
      <c r="A1245" s="64"/>
      <c r="B1245" s="7">
        <f t="shared" si="248"/>
        <v>19</v>
      </c>
      <c r="C1245" s="177"/>
      <c r="D1245" s="177"/>
      <c r="E1245" s="177"/>
      <c r="F1245" s="177"/>
      <c r="G1245" s="177"/>
      <c r="H1245" s="177"/>
      <c r="I1245" s="177"/>
      <c r="J1245" s="115"/>
      <c r="K1245" s="116"/>
      <c r="L1245" s="116"/>
      <c r="M1245" s="116"/>
      <c r="N1245" s="129" t="e">
        <f t="shared" si="252"/>
        <v>#DIV/0!</v>
      </c>
      <c r="O1245" s="129" t="e">
        <f t="shared" si="253"/>
        <v>#DIV/0!</v>
      </c>
      <c r="P1245" s="129" t="e">
        <f t="shared" si="254"/>
        <v>#DIV/0!</v>
      </c>
      <c r="Q1245" s="114"/>
      <c r="R1245" s="5" t="e">
        <f t="shared" si="243"/>
        <v>#DIV/0!</v>
      </c>
    </row>
    <row r="1246" spans="1:18" s="4" customFormat="1" ht="15" hidden="1" customHeight="1" thickBot="1">
      <c r="A1246" s="64"/>
      <c r="B1246" s="7">
        <f t="shared" si="248"/>
        <v>20</v>
      </c>
      <c r="C1246" s="177"/>
      <c r="D1246" s="177"/>
      <c r="E1246" s="177"/>
      <c r="F1246" s="177"/>
      <c r="G1246" s="177"/>
      <c r="H1246" s="177"/>
      <c r="I1246" s="177"/>
      <c r="J1246" s="115"/>
      <c r="K1246" s="116"/>
      <c r="L1246" s="116"/>
      <c r="M1246" s="116"/>
      <c r="N1246" s="129" t="e">
        <f t="shared" si="252"/>
        <v>#DIV/0!</v>
      </c>
      <c r="O1246" s="129" t="e">
        <f t="shared" si="253"/>
        <v>#DIV/0!</v>
      </c>
      <c r="P1246" s="129" t="e">
        <f t="shared" si="254"/>
        <v>#DIV/0!</v>
      </c>
      <c r="Q1246" s="114"/>
      <c r="R1246" s="5" t="e">
        <f t="shared" si="243"/>
        <v>#DIV/0!</v>
      </c>
    </row>
    <row r="1247" spans="1:18" s="4" customFormat="1" ht="15" hidden="1" customHeight="1" thickBot="1">
      <c r="A1247" s="64"/>
      <c r="B1247" s="7">
        <f t="shared" si="248"/>
        <v>21</v>
      </c>
      <c r="C1247" s="177"/>
      <c r="D1247" s="177"/>
      <c r="E1247" s="177"/>
      <c r="F1247" s="177"/>
      <c r="G1247" s="177"/>
      <c r="H1247" s="177"/>
      <c r="I1247" s="177"/>
      <c r="J1247" s="115"/>
      <c r="K1247" s="116"/>
      <c r="L1247" s="116"/>
      <c r="M1247" s="116"/>
      <c r="N1247" s="129"/>
      <c r="O1247" s="129"/>
      <c r="P1247" s="129"/>
      <c r="Q1247" s="114"/>
      <c r="R1247" s="5" t="b">
        <f t="shared" si="243"/>
        <v>0</v>
      </c>
    </row>
    <row r="1248" spans="1:18" s="4" customFormat="1" ht="15" hidden="1" customHeight="1" thickBot="1">
      <c r="A1248" s="64"/>
      <c r="B1248" s="7">
        <f t="shared" si="248"/>
        <v>22</v>
      </c>
      <c r="C1248" s="177"/>
      <c r="D1248" s="177"/>
      <c r="E1248" s="177"/>
      <c r="F1248" s="177"/>
      <c r="G1248" s="177"/>
      <c r="H1248" s="177"/>
      <c r="I1248" s="177"/>
      <c r="J1248" s="115"/>
      <c r="K1248" s="116"/>
      <c r="L1248" s="116"/>
      <c r="M1248" s="116"/>
      <c r="N1248" s="129" t="e">
        <f t="shared" ref="N1248:N1282" si="255">+K1248/(K1248+L1248)</f>
        <v>#DIV/0!</v>
      </c>
      <c r="O1248" s="129" t="e">
        <f t="shared" ref="O1248:O1282" si="256">+(K1248+M1248)/(K1248+L1248+M1248)</f>
        <v>#DIV/0!</v>
      </c>
      <c r="P1248" s="129" t="e">
        <f t="shared" ref="P1248:P1282" si="257">+K1248/(K1248+M1248)</f>
        <v>#DIV/0!</v>
      </c>
      <c r="Q1248" s="114"/>
      <c r="R1248" s="5" t="e">
        <f t="shared" si="243"/>
        <v>#DIV/0!</v>
      </c>
    </row>
    <row r="1249" spans="1:18" s="4" customFormat="1" ht="15" hidden="1" customHeight="1" thickBot="1">
      <c r="A1249" s="64"/>
      <c r="B1249" s="7">
        <f t="shared" si="248"/>
        <v>23</v>
      </c>
      <c r="C1249" s="177"/>
      <c r="D1249" s="177"/>
      <c r="E1249" s="177"/>
      <c r="F1249" s="177"/>
      <c r="G1249" s="177"/>
      <c r="H1249" s="177"/>
      <c r="I1249" s="177"/>
      <c r="J1249" s="115"/>
      <c r="K1249" s="116"/>
      <c r="L1249" s="116"/>
      <c r="M1249" s="116"/>
      <c r="N1249" s="129" t="e">
        <f t="shared" si="255"/>
        <v>#DIV/0!</v>
      </c>
      <c r="O1249" s="129" t="e">
        <f t="shared" si="256"/>
        <v>#DIV/0!</v>
      </c>
      <c r="P1249" s="129" t="e">
        <f t="shared" si="257"/>
        <v>#DIV/0!</v>
      </c>
      <c r="Q1249" s="114"/>
      <c r="R1249" s="5" t="e">
        <f t="shared" si="243"/>
        <v>#DIV/0!</v>
      </c>
    </row>
    <row r="1250" spans="1:18" s="4" customFormat="1" ht="15" hidden="1" customHeight="1" thickBot="1">
      <c r="A1250" s="64"/>
      <c r="B1250" s="7">
        <f t="shared" si="248"/>
        <v>24</v>
      </c>
      <c r="C1250" s="177"/>
      <c r="D1250" s="177"/>
      <c r="E1250" s="177"/>
      <c r="F1250" s="177"/>
      <c r="G1250" s="177"/>
      <c r="H1250" s="177"/>
      <c r="I1250" s="177"/>
      <c r="J1250" s="115"/>
      <c r="K1250" s="116"/>
      <c r="L1250" s="116"/>
      <c r="M1250" s="116"/>
      <c r="N1250" s="129" t="e">
        <f t="shared" si="255"/>
        <v>#DIV/0!</v>
      </c>
      <c r="O1250" s="129" t="e">
        <f t="shared" si="256"/>
        <v>#DIV/0!</v>
      </c>
      <c r="P1250" s="129" t="e">
        <f t="shared" si="257"/>
        <v>#DIV/0!</v>
      </c>
      <c r="Q1250" s="114"/>
      <c r="R1250" s="5" t="e">
        <f t="shared" si="243"/>
        <v>#DIV/0!</v>
      </c>
    </row>
    <row r="1251" spans="1:18" s="4" customFormat="1" ht="15" hidden="1" customHeight="1" thickBot="1">
      <c r="A1251" s="64"/>
      <c r="B1251" s="7">
        <f t="shared" si="248"/>
        <v>25</v>
      </c>
      <c r="C1251" s="177"/>
      <c r="D1251" s="177"/>
      <c r="E1251" s="177"/>
      <c r="F1251" s="177"/>
      <c r="G1251" s="177"/>
      <c r="H1251" s="177"/>
      <c r="I1251" s="177"/>
      <c r="J1251" s="115"/>
      <c r="K1251" s="116"/>
      <c r="L1251" s="116"/>
      <c r="M1251" s="116"/>
      <c r="N1251" s="129" t="e">
        <f t="shared" si="255"/>
        <v>#DIV/0!</v>
      </c>
      <c r="O1251" s="129" t="e">
        <f t="shared" si="256"/>
        <v>#DIV/0!</v>
      </c>
      <c r="P1251" s="129" t="e">
        <f t="shared" si="257"/>
        <v>#DIV/0!</v>
      </c>
      <c r="Q1251" s="114"/>
      <c r="R1251" s="5" t="e">
        <f t="shared" si="243"/>
        <v>#DIV/0!</v>
      </c>
    </row>
    <row r="1252" spans="1:18" s="4" customFormat="1" ht="15" hidden="1" customHeight="1" thickBot="1">
      <c r="A1252" s="64"/>
      <c r="B1252" s="7">
        <f t="shared" si="248"/>
        <v>26</v>
      </c>
      <c r="C1252" s="177"/>
      <c r="D1252" s="177"/>
      <c r="E1252" s="177"/>
      <c r="F1252" s="177"/>
      <c r="G1252" s="177"/>
      <c r="H1252" s="177"/>
      <c r="I1252" s="177"/>
      <c r="J1252" s="115"/>
      <c r="K1252" s="116"/>
      <c r="L1252" s="116"/>
      <c r="M1252" s="116"/>
      <c r="N1252" s="129" t="e">
        <f t="shared" si="255"/>
        <v>#DIV/0!</v>
      </c>
      <c r="O1252" s="129" t="e">
        <f t="shared" si="256"/>
        <v>#DIV/0!</v>
      </c>
      <c r="P1252" s="129" t="e">
        <f t="shared" si="257"/>
        <v>#DIV/0!</v>
      </c>
      <c r="Q1252" s="114"/>
      <c r="R1252" s="5" t="e">
        <f t="shared" si="243"/>
        <v>#DIV/0!</v>
      </c>
    </row>
    <row r="1253" spans="1:18" s="4" customFormat="1" ht="15" hidden="1" customHeight="1" thickBot="1">
      <c r="A1253" s="64"/>
      <c r="B1253" s="7">
        <f t="shared" si="248"/>
        <v>27</v>
      </c>
      <c r="C1253" s="177"/>
      <c r="D1253" s="177"/>
      <c r="E1253" s="177"/>
      <c r="F1253" s="177"/>
      <c r="G1253" s="177"/>
      <c r="H1253" s="177"/>
      <c r="I1253" s="177"/>
      <c r="J1253" s="115"/>
      <c r="K1253" s="116"/>
      <c r="L1253" s="116"/>
      <c r="M1253" s="116"/>
      <c r="N1253" s="129" t="e">
        <f t="shared" si="255"/>
        <v>#DIV/0!</v>
      </c>
      <c r="O1253" s="129" t="e">
        <f t="shared" si="256"/>
        <v>#DIV/0!</v>
      </c>
      <c r="P1253" s="129" t="e">
        <f t="shared" si="257"/>
        <v>#DIV/0!</v>
      </c>
      <c r="Q1253" s="114"/>
      <c r="R1253" s="5" t="e">
        <f t="shared" si="243"/>
        <v>#DIV/0!</v>
      </c>
    </row>
    <row r="1254" spans="1:18" s="4" customFormat="1" ht="15" hidden="1" customHeight="1" thickBot="1">
      <c r="A1254" s="64"/>
      <c r="B1254" s="7">
        <f t="shared" si="248"/>
        <v>28</v>
      </c>
      <c r="C1254" s="177"/>
      <c r="D1254" s="177"/>
      <c r="E1254" s="177"/>
      <c r="F1254" s="177"/>
      <c r="G1254" s="177"/>
      <c r="H1254" s="177"/>
      <c r="I1254" s="177"/>
      <c r="J1254" s="115"/>
      <c r="K1254" s="116"/>
      <c r="L1254" s="116"/>
      <c r="M1254" s="116"/>
      <c r="N1254" s="129" t="e">
        <f t="shared" si="255"/>
        <v>#DIV/0!</v>
      </c>
      <c r="O1254" s="129" t="e">
        <f t="shared" si="256"/>
        <v>#DIV/0!</v>
      </c>
      <c r="P1254" s="129" t="e">
        <f t="shared" si="257"/>
        <v>#DIV/0!</v>
      </c>
      <c r="Q1254" s="114"/>
      <c r="R1254" s="5" t="e">
        <f t="shared" si="243"/>
        <v>#DIV/0!</v>
      </c>
    </row>
    <row r="1255" spans="1:18" s="4" customFormat="1" ht="15" hidden="1" customHeight="1" thickBot="1">
      <c r="A1255" s="64"/>
      <c r="B1255" s="7">
        <f t="shared" si="248"/>
        <v>29</v>
      </c>
      <c r="C1255" s="177"/>
      <c r="D1255" s="177"/>
      <c r="E1255" s="177"/>
      <c r="F1255" s="177"/>
      <c r="G1255" s="177"/>
      <c r="H1255" s="177"/>
      <c r="I1255" s="177"/>
      <c r="J1255" s="115"/>
      <c r="K1255" s="116"/>
      <c r="L1255" s="116"/>
      <c r="M1255" s="116"/>
      <c r="N1255" s="129" t="e">
        <f t="shared" si="255"/>
        <v>#DIV/0!</v>
      </c>
      <c r="O1255" s="129" t="e">
        <f t="shared" si="256"/>
        <v>#DIV/0!</v>
      </c>
      <c r="P1255" s="129" t="e">
        <f t="shared" si="257"/>
        <v>#DIV/0!</v>
      </c>
      <c r="Q1255" s="114"/>
      <c r="R1255" s="5" t="e">
        <f t="shared" si="243"/>
        <v>#DIV/0!</v>
      </c>
    </row>
    <row r="1256" spans="1:18" s="4" customFormat="1" ht="15" hidden="1" customHeight="1" thickBot="1">
      <c r="A1256" s="64"/>
      <c r="B1256" s="7">
        <f t="shared" si="248"/>
        <v>30</v>
      </c>
      <c r="C1256" s="177"/>
      <c r="D1256" s="177"/>
      <c r="E1256" s="177"/>
      <c r="F1256" s="177"/>
      <c r="G1256" s="177"/>
      <c r="H1256" s="177"/>
      <c r="I1256" s="177"/>
      <c r="J1256" s="115"/>
      <c r="K1256" s="116"/>
      <c r="L1256" s="116"/>
      <c r="M1256" s="116"/>
      <c r="N1256" s="129" t="e">
        <f t="shared" si="255"/>
        <v>#DIV/0!</v>
      </c>
      <c r="O1256" s="129" t="e">
        <f t="shared" si="256"/>
        <v>#DIV/0!</v>
      </c>
      <c r="P1256" s="129" t="e">
        <f t="shared" si="257"/>
        <v>#DIV/0!</v>
      </c>
      <c r="Q1256" s="114"/>
      <c r="R1256" s="5" t="e">
        <f t="shared" si="243"/>
        <v>#DIV/0!</v>
      </c>
    </row>
    <row r="1257" spans="1:18" s="4" customFormat="1" ht="15" hidden="1" customHeight="1" thickBot="1">
      <c r="A1257" s="64"/>
      <c r="B1257" s="7">
        <f t="shared" si="248"/>
        <v>31</v>
      </c>
      <c r="C1257" s="177"/>
      <c r="D1257" s="177"/>
      <c r="E1257" s="177"/>
      <c r="F1257" s="177"/>
      <c r="G1257" s="177"/>
      <c r="H1257" s="177"/>
      <c r="I1257" s="177"/>
      <c r="J1257" s="115"/>
      <c r="K1257" s="116"/>
      <c r="L1257" s="116"/>
      <c r="M1257" s="116"/>
      <c r="N1257" s="129" t="e">
        <f t="shared" si="255"/>
        <v>#DIV/0!</v>
      </c>
      <c r="O1257" s="129" t="e">
        <f t="shared" si="256"/>
        <v>#DIV/0!</v>
      </c>
      <c r="P1257" s="129" t="e">
        <f t="shared" si="257"/>
        <v>#DIV/0!</v>
      </c>
      <c r="Q1257" s="114"/>
      <c r="R1257" s="5" t="e">
        <f t="shared" si="243"/>
        <v>#DIV/0!</v>
      </c>
    </row>
    <row r="1258" spans="1:18" s="4" customFormat="1" ht="15" hidden="1" customHeight="1" thickBot="1">
      <c r="A1258" s="64"/>
      <c r="B1258" s="7">
        <f t="shared" si="248"/>
        <v>32</v>
      </c>
      <c r="C1258" s="177"/>
      <c r="D1258" s="177"/>
      <c r="E1258" s="177"/>
      <c r="F1258" s="177"/>
      <c r="G1258" s="177"/>
      <c r="H1258" s="177"/>
      <c r="I1258" s="177"/>
      <c r="J1258" s="115"/>
      <c r="K1258" s="116"/>
      <c r="L1258" s="116"/>
      <c r="M1258" s="116"/>
      <c r="N1258" s="129" t="e">
        <f t="shared" si="255"/>
        <v>#DIV/0!</v>
      </c>
      <c r="O1258" s="129" t="e">
        <f t="shared" si="256"/>
        <v>#DIV/0!</v>
      </c>
      <c r="P1258" s="129" t="e">
        <f t="shared" si="257"/>
        <v>#DIV/0!</v>
      </c>
      <c r="Q1258" s="114"/>
      <c r="R1258" s="5" t="e">
        <f t="shared" si="243"/>
        <v>#DIV/0!</v>
      </c>
    </row>
    <row r="1259" spans="1:18" s="4" customFormat="1" ht="15" hidden="1" customHeight="1" thickBot="1">
      <c r="A1259" s="64"/>
      <c r="B1259" s="7">
        <f t="shared" si="248"/>
        <v>33</v>
      </c>
      <c r="C1259" s="177"/>
      <c r="D1259" s="177"/>
      <c r="E1259" s="177"/>
      <c r="F1259" s="177"/>
      <c r="G1259" s="177"/>
      <c r="H1259" s="177"/>
      <c r="I1259" s="177"/>
      <c r="J1259" s="115"/>
      <c r="K1259" s="116"/>
      <c r="L1259" s="116"/>
      <c r="M1259" s="116"/>
      <c r="N1259" s="129" t="e">
        <f t="shared" si="255"/>
        <v>#DIV/0!</v>
      </c>
      <c r="O1259" s="129" t="e">
        <f t="shared" si="256"/>
        <v>#DIV/0!</v>
      </c>
      <c r="P1259" s="129" t="e">
        <f t="shared" si="257"/>
        <v>#DIV/0!</v>
      </c>
      <c r="Q1259" s="114"/>
      <c r="R1259" s="5" t="e">
        <f t="shared" si="243"/>
        <v>#DIV/0!</v>
      </c>
    </row>
    <row r="1260" spans="1:18" s="4" customFormat="1" ht="15" hidden="1" customHeight="1" thickBot="1">
      <c r="A1260" s="64"/>
      <c r="B1260" s="7">
        <f t="shared" si="248"/>
        <v>34</v>
      </c>
      <c r="C1260" s="177"/>
      <c r="D1260" s="177"/>
      <c r="E1260" s="177"/>
      <c r="F1260" s="177"/>
      <c r="G1260" s="177"/>
      <c r="H1260" s="177"/>
      <c r="I1260" s="177"/>
      <c r="J1260" s="115"/>
      <c r="K1260" s="116"/>
      <c r="L1260" s="116"/>
      <c r="M1260" s="116"/>
      <c r="N1260" s="129" t="e">
        <f t="shared" si="255"/>
        <v>#DIV/0!</v>
      </c>
      <c r="O1260" s="129" t="e">
        <f t="shared" si="256"/>
        <v>#DIV/0!</v>
      </c>
      <c r="P1260" s="129" t="e">
        <f t="shared" si="257"/>
        <v>#DIV/0!</v>
      </c>
      <c r="Q1260" s="114"/>
      <c r="R1260" s="5" t="e">
        <f t="shared" si="243"/>
        <v>#DIV/0!</v>
      </c>
    </row>
    <row r="1261" spans="1:18" s="4" customFormat="1" ht="15" hidden="1" customHeight="1" thickBot="1">
      <c r="A1261" s="64"/>
      <c r="B1261" s="7">
        <f t="shared" si="248"/>
        <v>35</v>
      </c>
      <c r="C1261" s="177"/>
      <c r="D1261" s="177"/>
      <c r="E1261" s="177"/>
      <c r="F1261" s="177"/>
      <c r="G1261" s="177"/>
      <c r="H1261" s="177"/>
      <c r="I1261" s="177"/>
      <c r="J1261" s="115"/>
      <c r="K1261" s="116"/>
      <c r="L1261" s="116"/>
      <c r="M1261" s="116"/>
      <c r="N1261" s="129" t="e">
        <f t="shared" si="255"/>
        <v>#DIV/0!</v>
      </c>
      <c r="O1261" s="129" t="e">
        <f t="shared" si="256"/>
        <v>#DIV/0!</v>
      </c>
      <c r="P1261" s="129" t="e">
        <f t="shared" si="257"/>
        <v>#DIV/0!</v>
      </c>
      <c r="Q1261" s="114"/>
      <c r="R1261" s="5" t="e">
        <f t="shared" si="243"/>
        <v>#DIV/0!</v>
      </c>
    </row>
    <row r="1262" spans="1:18" s="4" customFormat="1" ht="15" hidden="1" customHeight="1" thickBot="1">
      <c r="A1262" s="64"/>
      <c r="B1262" s="7">
        <f t="shared" si="248"/>
        <v>36</v>
      </c>
      <c r="C1262" s="177"/>
      <c r="D1262" s="177"/>
      <c r="E1262" s="177"/>
      <c r="F1262" s="177"/>
      <c r="G1262" s="177"/>
      <c r="H1262" s="177"/>
      <c r="I1262" s="177"/>
      <c r="J1262" s="115"/>
      <c r="K1262" s="116"/>
      <c r="L1262" s="116"/>
      <c r="M1262" s="116"/>
      <c r="N1262" s="129" t="e">
        <f t="shared" si="255"/>
        <v>#DIV/0!</v>
      </c>
      <c r="O1262" s="129" t="e">
        <f t="shared" si="256"/>
        <v>#DIV/0!</v>
      </c>
      <c r="P1262" s="129" t="e">
        <f t="shared" si="257"/>
        <v>#DIV/0!</v>
      </c>
      <c r="Q1262" s="114"/>
      <c r="R1262" s="5" t="e">
        <f t="shared" si="243"/>
        <v>#DIV/0!</v>
      </c>
    </row>
    <row r="1263" spans="1:18" s="4" customFormat="1" ht="15" hidden="1" customHeight="1" thickBot="1">
      <c r="A1263" s="64"/>
      <c r="B1263" s="7">
        <f t="shared" si="248"/>
        <v>37</v>
      </c>
      <c r="C1263" s="177"/>
      <c r="D1263" s="177"/>
      <c r="E1263" s="177"/>
      <c r="F1263" s="177"/>
      <c r="G1263" s="177"/>
      <c r="H1263" s="177"/>
      <c r="I1263" s="177"/>
      <c r="J1263" s="115"/>
      <c r="K1263" s="116"/>
      <c r="L1263" s="116"/>
      <c r="M1263" s="116"/>
      <c r="N1263" s="129" t="e">
        <f t="shared" si="255"/>
        <v>#DIV/0!</v>
      </c>
      <c r="O1263" s="129" t="e">
        <f t="shared" si="256"/>
        <v>#DIV/0!</v>
      </c>
      <c r="P1263" s="129" t="e">
        <f t="shared" si="257"/>
        <v>#DIV/0!</v>
      </c>
      <c r="Q1263" s="114"/>
      <c r="R1263" s="5" t="e">
        <f t="shared" ref="R1263:R1326" si="258">IF(O1263&gt;89.9999999999999%,"PAMA")</f>
        <v>#DIV/0!</v>
      </c>
    </row>
    <row r="1264" spans="1:18" s="4" customFormat="1" ht="15" hidden="1" customHeight="1" thickBot="1">
      <c r="A1264" s="64"/>
      <c r="B1264" s="7">
        <f t="shared" si="248"/>
        <v>38</v>
      </c>
      <c r="C1264" s="177"/>
      <c r="D1264" s="177"/>
      <c r="E1264" s="177"/>
      <c r="F1264" s="177"/>
      <c r="G1264" s="177"/>
      <c r="H1264" s="177"/>
      <c r="I1264" s="177"/>
      <c r="J1264" s="115"/>
      <c r="K1264" s="116"/>
      <c r="L1264" s="116"/>
      <c r="M1264" s="116"/>
      <c r="N1264" s="129" t="e">
        <f t="shared" si="255"/>
        <v>#DIV/0!</v>
      </c>
      <c r="O1264" s="129" t="e">
        <f t="shared" si="256"/>
        <v>#DIV/0!</v>
      </c>
      <c r="P1264" s="129" t="e">
        <f t="shared" si="257"/>
        <v>#DIV/0!</v>
      </c>
      <c r="Q1264" s="114"/>
      <c r="R1264" s="5" t="e">
        <f t="shared" si="258"/>
        <v>#DIV/0!</v>
      </c>
    </row>
    <row r="1265" spans="1:18" s="4" customFormat="1" ht="15" hidden="1" customHeight="1" thickBot="1">
      <c r="A1265" s="64"/>
      <c r="B1265" s="7">
        <f t="shared" si="248"/>
        <v>39</v>
      </c>
      <c r="C1265" s="211"/>
      <c r="D1265" s="211"/>
      <c r="E1265" s="211"/>
      <c r="F1265" s="211"/>
      <c r="G1265" s="211"/>
      <c r="H1265" s="211"/>
      <c r="I1265" s="211"/>
      <c r="J1265" s="115"/>
      <c r="K1265" s="239"/>
      <c r="L1265" s="239"/>
      <c r="M1265" s="239"/>
      <c r="N1265" s="129" t="e">
        <f t="shared" si="255"/>
        <v>#DIV/0!</v>
      </c>
      <c r="O1265" s="129" t="e">
        <f t="shared" si="256"/>
        <v>#DIV/0!</v>
      </c>
      <c r="P1265" s="129" t="e">
        <f t="shared" si="257"/>
        <v>#DIV/0!</v>
      </c>
      <c r="Q1265" s="114"/>
      <c r="R1265" s="5" t="e">
        <f t="shared" si="258"/>
        <v>#DIV/0!</v>
      </c>
    </row>
    <row r="1266" spans="1:18" s="4" customFormat="1" ht="15" hidden="1" customHeight="1" thickBot="1">
      <c r="A1266" s="64"/>
      <c r="B1266" s="7">
        <f t="shared" si="248"/>
        <v>40</v>
      </c>
      <c r="C1266" s="211"/>
      <c r="D1266" s="211"/>
      <c r="E1266" s="211"/>
      <c r="F1266" s="211"/>
      <c r="G1266" s="211"/>
      <c r="H1266" s="211"/>
      <c r="I1266" s="211"/>
      <c r="J1266" s="115"/>
      <c r="K1266" s="239"/>
      <c r="L1266" s="239"/>
      <c r="M1266" s="239"/>
      <c r="N1266" s="129" t="e">
        <f t="shared" si="255"/>
        <v>#DIV/0!</v>
      </c>
      <c r="O1266" s="129" t="e">
        <f t="shared" si="256"/>
        <v>#DIV/0!</v>
      </c>
      <c r="P1266" s="129" t="e">
        <f t="shared" si="257"/>
        <v>#DIV/0!</v>
      </c>
      <c r="Q1266" s="114"/>
      <c r="R1266" s="5" t="e">
        <f t="shared" si="258"/>
        <v>#DIV/0!</v>
      </c>
    </row>
    <row r="1267" spans="1:18" s="4" customFormat="1" ht="15" hidden="1" customHeight="1" thickBot="1">
      <c r="A1267" s="64"/>
      <c r="B1267" s="7">
        <f t="shared" si="248"/>
        <v>41</v>
      </c>
      <c r="C1267" s="211"/>
      <c r="D1267" s="211"/>
      <c r="E1267" s="211"/>
      <c r="F1267" s="211"/>
      <c r="G1267" s="211"/>
      <c r="H1267" s="211"/>
      <c r="I1267" s="211"/>
      <c r="J1267" s="115"/>
      <c r="K1267" s="239"/>
      <c r="L1267" s="239"/>
      <c r="M1267" s="239"/>
      <c r="N1267" s="129" t="e">
        <f t="shared" si="255"/>
        <v>#DIV/0!</v>
      </c>
      <c r="O1267" s="129" t="e">
        <f t="shared" si="256"/>
        <v>#DIV/0!</v>
      </c>
      <c r="P1267" s="129" t="e">
        <f t="shared" si="257"/>
        <v>#DIV/0!</v>
      </c>
      <c r="Q1267" s="114"/>
      <c r="R1267" s="5" t="e">
        <f t="shared" si="258"/>
        <v>#DIV/0!</v>
      </c>
    </row>
    <row r="1268" spans="1:18" s="4" customFormat="1" ht="15" hidden="1" customHeight="1" thickBot="1">
      <c r="A1268" s="64"/>
      <c r="B1268" s="7">
        <f t="shared" si="248"/>
        <v>42</v>
      </c>
      <c r="C1268" s="211"/>
      <c r="D1268" s="211"/>
      <c r="E1268" s="211"/>
      <c r="F1268" s="211"/>
      <c r="G1268" s="211"/>
      <c r="H1268" s="211"/>
      <c r="I1268" s="211"/>
      <c r="J1268" s="115"/>
      <c r="K1268" s="239"/>
      <c r="L1268" s="239"/>
      <c r="M1268" s="239"/>
      <c r="N1268" s="129" t="e">
        <f t="shared" si="255"/>
        <v>#DIV/0!</v>
      </c>
      <c r="O1268" s="129" t="e">
        <f t="shared" si="256"/>
        <v>#DIV/0!</v>
      </c>
      <c r="P1268" s="129" t="e">
        <f t="shared" si="257"/>
        <v>#DIV/0!</v>
      </c>
      <c r="Q1268" s="114"/>
      <c r="R1268" s="5" t="e">
        <f t="shared" si="258"/>
        <v>#DIV/0!</v>
      </c>
    </row>
    <row r="1269" spans="1:18" s="4" customFormat="1" ht="15" hidden="1" customHeight="1" thickBot="1">
      <c r="A1269" s="64"/>
      <c r="B1269" s="7">
        <f t="shared" si="248"/>
        <v>43</v>
      </c>
      <c r="C1269" s="211"/>
      <c r="D1269" s="211"/>
      <c r="E1269" s="211"/>
      <c r="F1269" s="211"/>
      <c r="G1269" s="211"/>
      <c r="H1269" s="211"/>
      <c r="I1269" s="211"/>
      <c r="J1269" s="115"/>
      <c r="K1269" s="239"/>
      <c r="L1269" s="239"/>
      <c r="M1269" s="239"/>
      <c r="N1269" s="129" t="e">
        <f t="shared" si="255"/>
        <v>#DIV/0!</v>
      </c>
      <c r="O1269" s="129" t="e">
        <f t="shared" si="256"/>
        <v>#DIV/0!</v>
      </c>
      <c r="P1269" s="129" t="e">
        <f t="shared" si="257"/>
        <v>#DIV/0!</v>
      </c>
      <c r="Q1269" s="114"/>
      <c r="R1269" s="5" t="e">
        <f t="shared" si="258"/>
        <v>#DIV/0!</v>
      </c>
    </row>
    <row r="1270" spans="1:18" s="4" customFormat="1" ht="15" hidden="1" customHeight="1" thickBot="1">
      <c r="A1270" s="64"/>
      <c r="B1270" s="7">
        <f t="shared" si="248"/>
        <v>44</v>
      </c>
      <c r="C1270" s="211"/>
      <c r="D1270" s="211"/>
      <c r="E1270" s="211"/>
      <c r="F1270" s="211"/>
      <c r="G1270" s="211"/>
      <c r="H1270" s="211"/>
      <c r="I1270" s="211"/>
      <c r="J1270" s="115"/>
      <c r="K1270" s="239"/>
      <c r="L1270" s="239"/>
      <c r="M1270" s="239"/>
      <c r="N1270" s="129" t="e">
        <f t="shared" si="255"/>
        <v>#DIV/0!</v>
      </c>
      <c r="O1270" s="129" t="e">
        <f t="shared" si="256"/>
        <v>#DIV/0!</v>
      </c>
      <c r="P1270" s="129" t="e">
        <f t="shared" si="257"/>
        <v>#DIV/0!</v>
      </c>
      <c r="Q1270" s="114"/>
      <c r="R1270" s="5" t="e">
        <f t="shared" si="258"/>
        <v>#DIV/0!</v>
      </c>
    </row>
    <row r="1271" spans="1:18" s="4" customFormat="1" ht="15" hidden="1" customHeight="1" thickBot="1">
      <c r="A1271" s="64"/>
      <c r="B1271" s="7">
        <f t="shared" si="248"/>
        <v>45</v>
      </c>
      <c r="C1271" s="211"/>
      <c r="D1271" s="211"/>
      <c r="E1271" s="211"/>
      <c r="F1271" s="211"/>
      <c r="G1271" s="211"/>
      <c r="H1271" s="211"/>
      <c r="I1271" s="211"/>
      <c r="J1271" s="115"/>
      <c r="K1271" s="239"/>
      <c r="L1271" s="239"/>
      <c r="M1271" s="239"/>
      <c r="N1271" s="129" t="e">
        <f t="shared" si="255"/>
        <v>#DIV/0!</v>
      </c>
      <c r="O1271" s="129" t="e">
        <f t="shared" si="256"/>
        <v>#DIV/0!</v>
      </c>
      <c r="P1271" s="129" t="e">
        <f t="shared" si="257"/>
        <v>#DIV/0!</v>
      </c>
      <c r="Q1271" s="114"/>
      <c r="R1271" s="5" t="e">
        <f t="shared" si="258"/>
        <v>#DIV/0!</v>
      </c>
    </row>
    <row r="1272" spans="1:18" s="4" customFormat="1" ht="15" hidden="1" customHeight="1" thickBot="1">
      <c r="A1272" s="64"/>
      <c r="B1272" s="7">
        <f t="shared" si="248"/>
        <v>46</v>
      </c>
      <c r="C1272" s="211"/>
      <c r="D1272" s="211"/>
      <c r="E1272" s="211"/>
      <c r="F1272" s="211"/>
      <c r="G1272" s="211"/>
      <c r="H1272" s="211"/>
      <c r="I1272" s="211"/>
      <c r="J1272" s="115"/>
      <c r="K1272" s="239"/>
      <c r="L1272" s="239"/>
      <c r="M1272" s="239"/>
      <c r="N1272" s="129" t="e">
        <f t="shared" si="255"/>
        <v>#DIV/0!</v>
      </c>
      <c r="O1272" s="129" t="e">
        <f t="shared" si="256"/>
        <v>#DIV/0!</v>
      </c>
      <c r="P1272" s="129" t="e">
        <f t="shared" si="257"/>
        <v>#DIV/0!</v>
      </c>
      <c r="Q1272" s="114"/>
      <c r="R1272" s="5" t="e">
        <f t="shared" si="258"/>
        <v>#DIV/0!</v>
      </c>
    </row>
    <row r="1273" spans="1:18" s="4" customFormat="1" ht="15" hidden="1" customHeight="1" thickBot="1">
      <c r="A1273" s="64"/>
      <c r="B1273" s="7">
        <f t="shared" si="248"/>
        <v>47</v>
      </c>
      <c r="C1273" s="211"/>
      <c r="D1273" s="211"/>
      <c r="E1273" s="211"/>
      <c r="F1273" s="211"/>
      <c r="G1273" s="211"/>
      <c r="H1273" s="211"/>
      <c r="I1273" s="211"/>
      <c r="J1273" s="115"/>
      <c r="K1273" s="239"/>
      <c r="L1273" s="239"/>
      <c r="M1273" s="239"/>
      <c r="N1273" s="129" t="e">
        <f t="shared" si="255"/>
        <v>#DIV/0!</v>
      </c>
      <c r="O1273" s="129" t="e">
        <f t="shared" si="256"/>
        <v>#DIV/0!</v>
      </c>
      <c r="P1273" s="129" t="e">
        <f t="shared" si="257"/>
        <v>#DIV/0!</v>
      </c>
      <c r="Q1273" s="114"/>
      <c r="R1273" s="5" t="e">
        <f t="shared" si="258"/>
        <v>#DIV/0!</v>
      </c>
    </row>
    <row r="1274" spans="1:18" s="4" customFormat="1" ht="15" hidden="1" customHeight="1" thickBot="1">
      <c r="A1274" s="64"/>
      <c r="B1274" s="7">
        <f t="shared" si="248"/>
        <v>48</v>
      </c>
      <c r="C1274" s="211"/>
      <c r="D1274" s="211"/>
      <c r="E1274" s="211"/>
      <c r="F1274" s="211"/>
      <c r="G1274" s="211"/>
      <c r="H1274" s="211"/>
      <c r="I1274" s="211"/>
      <c r="J1274" s="240"/>
      <c r="K1274" s="239"/>
      <c r="L1274" s="239"/>
      <c r="M1274" s="239"/>
      <c r="N1274" s="129" t="e">
        <f t="shared" si="255"/>
        <v>#DIV/0!</v>
      </c>
      <c r="O1274" s="129" t="e">
        <f t="shared" si="256"/>
        <v>#DIV/0!</v>
      </c>
      <c r="P1274" s="129" t="e">
        <f t="shared" si="257"/>
        <v>#DIV/0!</v>
      </c>
      <c r="Q1274" s="114"/>
      <c r="R1274" s="5" t="e">
        <f t="shared" si="258"/>
        <v>#DIV/0!</v>
      </c>
    </row>
    <row r="1275" spans="1:18" s="4" customFormat="1" ht="15" hidden="1" customHeight="1" thickBot="1">
      <c r="A1275" s="64"/>
      <c r="B1275" s="7">
        <f t="shared" si="248"/>
        <v>49</v>
      </c>
      <c r="C1275" s="211"/>
      <c r="D1275" s="211"/>
      <c r="E1275" s="211"/>
      <c r="F1275" s="211"/>
      <c r="G1275" s="211"/>
      <c r="H1275" s="211"/>
      <c r="I1275" s="211"/>
      <c r="J1275" s="240"/>
      <c r="K1275" s="239"/>
      <c r="L1275" s="239"/>
      <c r="M1275" s="239"/>
      <c r="N1275" s="129" t="e">
        <f t="shared" si="255"/>
        <v>#DIV/0!</v>
      </c>
      <c r="O1275" s="129" t="e">
        <f t="shared" si="256"/>
        <v>#DIV/0!</v>
      </c>
      <c r="P1275" s="129" t="e">
        <f t="shared" si="257"/>
        <v>#DIV/0!</v>
      </c>
      <c r="Q1275" s="114"/>
      <c r="R1275" s="5" t="e">
        <f t="shared" si="258"/>
        <v>#DIV/0!</v>
      </c>
    </row>
    <row r="1276" spans="1:18" s="4" customFormat="1" ht="15" hidden="1" customHeight="1" thickBot="1">
      <c r="A1276" s="64"/>
      <c r="B1276" s="7">
        <f t="shared" si="248"/>
        <v>50</v>
      </c>
      <c r="C1276" s="211"/>
      <c r="D1276" s="211"/>
      <c r="E1276" s="211"/>
      <c r="F1276" s="211"/>
      <c r="G1276" s="211"/>
      <c r="H1276" s="211"/>
      <c r="I1276" s="211"/>
      <c r="J1276" s="240"/>
      <c r="K1276" s="239"/>
      <c r="L1276" s="239"/>
      <c r="M1276" s="239"/>
      <c r="N1276" s="129" t="e">
        <f t="shared" si="255"/>
        <v>#DIV/0!</v>
      </c>
      <c r="O1276" s="129" t="e">
        <f t="shared" si="256"/>
        <v>#DIV/0!</v>
      </c>
      <c r="P1276" s="129" t="e">
        <f t="shared" si="257"/>
        <v>#DIV/0!</v>
      </c>
      <c r="Q1276" s="114"/>
      <c r="R1276" s="5" t="e">
        <f t="shared" si="258"/>
        <v>#DIV/0!</v>
      </c>
    </row>
    <row r="1277" spans="1:18" s="4" customFormat="1" ht="15" hidden="1" customHeight="1" thickBot="1">
      <c r="A1277" s="64"/>
      <c r="B1277" s="7">
        <f t="shared" si="248"/>
        <v>51</v>
      </c>
      <c r="C1277" s="211"/>
      <c r="D1277" s="211"/>
      <c r="E1277" s="211"/>
      <c r="F1277" s="211"/>
      <c r="G1277" s="211"/>
      <c r="H1277" s="211"/>
      <c r="I1277" s="211"/>
      <c r="J1277" s="240"/>
      <c r="K1277" s="239"/>
      <c r="L1277" s="239"/>
      <c r="M1277" s="239"/>
      <c r="N1277" s="129" t="e">
        <f t="shared" si="255"/>
        <v>#DIV/0!</v>
      </c>
      <c r="O1277" s="129" t="e">
        <f t="shared" si="256"/>
        <v>#DIV/0!</v>
      </c>
      <c r="P1277" s="129" t="e">
        <f t="shared" si="257"/>
        <v>#DIV/0!</v>
      </c>
      <c r="Q1277" s="114"/>
      <c r="R1277" s="5" t="e">
        <f t="shared" si="258"/>
        <v>#DIV/0!</v>
      </c>
    </row>
    <row r="1278" spans="1:18" s="4" customFormat="1" ht="15" hidden="1" customHeight="1" thickBot="1">
      <c r="A1278" s="64"/>
      <c r="B1278" s="7">
        <f t="shared" si="248"/>
        <v>52</v>
      </c>
      <c r="C1278" s="211"/>
      <c r="D1278" s="211"/>
      <c r="E1278" s="211"/>
      <c r="F1278" s="211"/>
      <c r="G1278" s="211"/>
      <c r="H1278" s="211"/>
      <c r="I1278" s="211"/>
      <c r="J1278" s="240"/>
      <c r="K1278" s="239"/>
      <c r="L1278" s="239"/>
      <c r="M1278" s="239"/>
      <c r="N1278" s="129" t="e">
        <f t="shared" si="255"/>
        <v>#DIV/0!</v>
      </c>
      <c r="O1278" s="129" t="e">
        <f t="shared" si="256"/>
        <v>#DIV/0!</v>
      </c>
      <c r="P1278" s="129" t="e">
        <f t="shared" si="257"/>
        <v>#DIV/0!</v>
      </c>
      <c r="Q1278" s="114"/>
      <c r="R1278" s="5" t="e">
        <f t="shared" si="258"/>
        <v>#DIV/0!</v>
      </c>
    </row>
    <row r="1279" spans="1:18" s="4" customFormat="1" ht="15" hidden="1" customHeight="1" thickBot="1">
      <c r="A1279" s="64"/>
      <c r="B1279" s="7">
        <f t="shared" si="248"/>
        <v>53</v>
      </c>
      <c r="C1279" s="211"/>
      <c r="D1279" s="211"/>
      <c r="E1279" s="211"/>
      <c r="F1279" s="211"/>
      <c r="G1279" s="211"/>
      <c r="H1279" s="211"/>
      <c r="I1279" s="211"/>
      <c r="J1279" s="240"/>
      <c r="K1279" s="239"/>
      <c r="L1279" s="239"/>
      <c r="M1279" s="239"/>
      <c r="N1279" s="129" t="e">
        <f t="shared" si="255"/>
        <v>#DIV/0!</v>
      </c>
      <c r="O1279" s="129" t="e">
        <f t="shared" si="256"/>
        <v>#DIV/0!</v>
      </c>
      <c r="P1279" s="129" t="e">
        <f t="shared" si="257"/>
        <v>#DIV/0!</v>
      </c>
      <c r="Q1279" s="114"/>
      <c r="R1279" s="5" t="e">
        <f t="shared" si="258"/>
        <v>#DIV/0!</v>
      </c>
    </row>
    <row r="1280" spans="1:18" s="4" customFormat="1" ht="15" hidden="1" customHeight="1" thickBot="1">
      <c r="A1280" s="64"/>
      <c r="B1280" s="7">
        <f t="shared" si="248"/>
        <v>54</v>
      </c>
      <c r="C1280" s="211"/>
      <c r="D1280" s="211"/>
      <c r="E1280" s="211"/>
      <c r="F1280" s="211"/>
      <c r="G1280" s="211"/>
      <c r="H1280" s="211"/>
      <c r="I1280" s="211"/>
      <c r="J1280" s="240"/>
      <c r="K1280" s="239"/>
      <c r="L1280" s="239"/>
      <c r="M1280" s="239"/>
      <c r="N1280" s="129" t="e">
        <f t="shared" si="255"/>
        <v>#DIV/0!</v>
      </c>
      <c r="O1280" s="129" t="e">
        <f t="shared" si="256"/>
        <v>#DIV/0!</v>
      </c>
      <c r="P1280" s="129" t="e">
        <f t="shared" si="257"/>
        <v>#DIV/0!</v>
      </c>
      <c r="Q1280" s="114"/>
      <c r="R1280" s="5" t="e">
        <f t="shared" si="258"/>
        <v>#DIV/0!</v>
      </c>
    </row>
    <row r="1281" spans="1:18" s="4" customFormat="1" ht="15" hidden="1" customHeight="1" thickBot="1">
      <c r="A1281" s="64"/>
      <c r="B1281" s="7">
        <f t="shared" si="248"/>
        <v>55</v>
      </c>
      <c r="C1281" s="211"/>
      <c r="D1281" s="211"/>
      <c r="E1281" s="211"/>
      <c r="F1281" s="211"/>
      <c r="G1281" s="211"/>
      <c r="H1281" s="211"/>
      <c r="I1281" s="211"/>
      <c r="J1281" s="240"/>
      <c r="K1281" s="239"/>
      <c r="L1281" s="239"/>
      <c r="M1281" s="239"/>
      <c r="N1281" s="129" t="e">
        <f t="shared" si="255"/>
        <v>#DIV/0!</v>
      </c>
      <c r="O1281" s="129" t="e">
        <f t="shared" si="256"/>
        <v>#DIV/0!</v>
      </c>
      <c r="P1281" s="129" t="e">
        <f t="shared" si="257"/>
        <v>#DIV/0!</v>
      </c>
      <c r="Q1281" s="114"/>
      <c r="R1281" s="5" t="e">
        <f t="shared" si="258"/>
        <v>#DIV/0!</v>
      </c>
    </row>
    <row r="1282" spans="1:18" s="4" customFormat="1" ht="15" hidden="1" customHeight="1" thickBot="1">
      <c r="A1282" s="64"/>
      <c r="B1282" s="7">
        <f t="shared" si="248"/>
        <v>56</v>
      </c>
      <c r="C1282" s="211"/>
      <c r="D1282" s="211"/>
      <c r="E1282" s="211"/>
      <c r="F1282" s="211"/>
      <c r="G1282" s="211"/>
      <c r="H1282" s="211"/>
      <c r="I1282" s="211"/>
      <c r="J1282" s="240"/>
      <c r="K1282" s="239"/>
      <c r="L1282" s="239"/>
      <c r="M1282" s="239"/>
      <c r="N1282" s="129" t="e">
        <f t="shared" si="255"/>
        <v>#DIV/0!</v>
      </c>
      <c r="O1282" s="129" t="e">
        <f t="shared" si="256"/>
        <v>#DIV/0!</v>
      </c>
      <c r="P1282" s="129" t="e">
        <f t="shared" si="257"/>
        <v>#DIV/0!</v>
      </c>
      <c r="Q1282" s="114"/>
      <c r="R1282" s="5" t="e">
        <f t="shared" si="258"/>
        <v>#DIV/0!</v>
      </c>
    </row>
    <row r="1283" spans="1:18" s="4" customFormat="1" ht="15" hidden="1" customHeight="1" thickBot="1">
      <c r="A1283" s="64"/>
      <c r="B1283" s="7">
        <f t="shared" si="248"/>
        <v>57</v>
      </c>
      <c r="C1283" s="211"/>
      <c r="D1283" s="211"/>
      <c r="E1283" s="211"/>
      <c r="F1283" s="211"/>
      <c r="G1283" s="211"/>
      <c r="H1283" s="211"/>
      <c r="I1283" s="211"/>
      <c r="J1283" s="5"/>
      <c r="R1283" s="5" t="b">
        <f t="shared" si="258"/>
        <v>0</v>
      </c>
    </row>
    <row r="1284" spans="1:18" s="4" customFormat="1" ht="15" hidden="1" customHeight="1" thickBot="1">
      <c r="A1284" s="64"/>
      <c r="B1284" s="7">
        <f t="shared" si="248"/>
        <v>58</v>
      </c>
      <c r="C1284" s="211"/>
      <c r="D1284" s="211"/>
      <c r="E1284" s="211"/>
      <c r="F1284" s="211"/>
      <c r="G1284" s="211"/>
      <c r="H1284" s="211"/>
      <c r="I1284" s="211"/>
      <c r="J1284" s="16"/>
      <c r="K1284" s="1"/>
      <c r="M1284" s="1"/>
      <c r="N1284" s="1"/>
      <c r="O1284" s="1"/>
      <c r="P1284" s="1"/>
      <c r="Q1284" s="95"/>
      <c r="R1284" s="5" t="b">
        <f t="shared" si="258"/>
        <v>0</v>
      </c>
    </row>
    <row r="1285" spans="1:18" s="4" customFormat="1" ht="15" hidden="1" customHeight="1" thickBot="1">
      <c r="A1285" s="64"/>
      <c r="B1285" s="7">
        <f t="shared" si="248"/>
        <v>59</v>
      </c>
      <c r="C1285" s="211"/>
      <c r="D1285" s="211"/>
      <c r="E1285" s="211"/>
      <c r="F1285" s="211"/>
      <c r="G1285" s="211"/>
      <c r="H1285" s="211"/>
      <c r="I1285" s="211"/>
      <c r="J1285" s="16"/>
      <c r="K1285" s="1"/>
      <c r="M1285" s="1"/>
      <c r="N1285" s="1"/>
      <c r="O1285" s="1"/>
      <c r="P1285" s="1"/>
      <c r="Q1285" s="95"/>
      <c r="R1285" s="5" t="b">
        <f t="shared" si="258"/>
        <v>0</v>
      </c>
    </row>
    <row r="1286" spans="1:18" s="4" customFormat="1" ht="15" hidden="1" customHeight="1" thickBot="1">
      <c r="A1286" s="64"/>
      <c r="B1286" s="7">
        <f t="shared" si="248"/>
        <v>60</v>
      </c>
      <c r="C1286" s="211"/>
      <c r="D1286" s="211"/>
      <c r="E1286" s="211"/>
      <c r="F1286" s="211"/>
      <c r="G1286" s="211"/>
      <c r="H1286" s="211"/>
      <c r="I1286" s="211"/>
      <c r="J1286" s="16"/>
      <c r="K1286" s="1"/>
      <c r="M1286" s="1"/>
      <c r="N1286" s="1"/>
      <c r="O1286" s="1"/>
      <c r="P1286" s="1"/>
      <c r="Q1286" s="95"/>
      <c r="R1286" s="5" t="b">
        <f t="shared" si="258"/>
        <v>0</v>
      </c>
    </row>
    <row r="1287" spans="1:18" s="4" customFormat="1" ht="15" hidden="1" customHeight="1" thickBot="1">
      <c r="A1287" s="64"/>
      <c r="B1287" s="7">
        <f t="shared" si="248"/>
        <v>61</v>
      </c>
      <c r="C1287" s="211"/>
      <c r="D1287" s="211"/>
      <c r="E1287" s="211"/>
      <c r="F1287" s="211"/>
      <c r="G1287" s="211"/>
      <c r="H1287" s="211"/>
      <c r="I1287" s="211"/>
      <c r="J1287" s="16"/>
      <c r="K1287" s="1"/>
      <c r="M1287" s="1"/>
      <c r="N1287" s="1"/>
      <c r="O1287" s="1"/>
      <c r="P1287" s="1"/>
      <c r="Q1287" s="95"/>
      <c r="R1287" s="5" t="b">
        <f t="shared" si="258"/>
        <v>0</v>
      </c>
    </row>
    <row r="1288" spans="1:18" s="4" customFormat="1" ht="15" hidden="1" customHeight="1" thickBot="1">
      <c r="A1288" s="64"/>
      <c r="B1288" s="7">
        <f t="shared" si="248"/>
        <v>62</v>
      </c>
      <c r="C1288" s="211"/>
      <c r="D1288" s="211"/>
      <c r="E1288" s="211"/>
      <c r="F1288" s="211"/>
      <c r="G1288" s="211"/>
      <c r="H1288" s="211"/>
      <c r="I1288" s="211"/>
      <c r="J1288" s="16"/>
      <c r="K1288" s="1"/>
      <c r="M1288" s="1"/>
      <c r="N1288" s="1"/>
      <c r="O1288" s="1"/>
      <c r="P1288" s="1"/>
      <c r="Q1288" s="95"/>
      <c r="R1288" s="5" t="b">
        <f t="shared" si="258"/>
        <v>0</v>
      </c>
    </row>
    <row r="1289" spans="1:18" s="4" customFormat="1" ht="15" hidden="1" customHeight="1" thickBot="1">
      <c r="A1289" s="64"/>
      <c r="B1289" s="7">
        <f t="shared" si="248"/>
        <v>63</v>
      </c>
      <c r="C1289" s="211"/>
      <c r="D1289" s="211"/>
      <c r="E1289" s="211"/>
      <c r="F1289" s="211"/>
      <c r="G1289" s="211"/>
      <c r="H1289" s="211"/>
      <c r="I1289" s="211"/>
      <c r="J1289" s="16"/>
      <c r="K1289" s="1"/>
      <c r="M1289" s="1"/>
      <c r="N1289" s="1"/>
      <c r="O1289" s="1"/>
      <c r="P1289" s="1"/>
      <c r="Q1289" s="95"/>
      <c r="R1289" s="5" t="b">
        <f t="shared" si="258"/>
        <v>0</v>
      </c>
    </row>
    <row r="1290" spans="1:18" s="4" customFormat="1" ht="15" hidden="1" customHeight="1" thickBot="1">
      <c r="A1290" s="64"/>
      <c r="B1290" s="7">
        <f t="shared" si="248"/>
        <v>64</v>
      </c>
      <c r="C1290" s="211"/>
      <c r="D1290" s="211"/>
      <c r="E1290" s="211"/>
      <c r="F1290" s="211"/>
      <c r="G1290" s="211"/>
      <c r="H1290" s="211"/>
      <c r="I1290" s="211"/>
      <c r="J1290" s="16"/>
      <c r="K1290" s="1"/>
      <c r="M1290" s="1"/>
      <c r="N1290" s="1"/>
      <c r="O1290" s="1"/>
      <c r="P1290" s="1"/>
      <c r="Q1290" s="95"/>
      <c r="R1290" s="5" t="b">
        <f t="shared" si="258"/>
        <v>0</v>
      </c>
    </row>
    <row r="1291" spans="1:18" s="4" customFormat="1" ht="15" hidden="1" customHeight="1" thickBot="1">
      <c r="A1291" s="64"/>
      <c r="B1291" s="7">
        <f t="shared" si="248"/>
        <v>65</v>
      </c>
      <c r="C1291" s="211"/>
      <c r="D1291" s="211"/>
      <c r="E1291" s="211"/>
      <c r="F1291" s="211"/>
      <c r="G1291" s="211"/>
      <c r="H1291" s="211"/>
      <c r="I1291" s="211"/>
      <c r="J1291" s="16"/>
      <c r="K1291" s="1"/>
      <c r="M1291" s="1"/>
      <c r="N1291" s="1"/>
      <c r="O1291" s="1"/>
      <c r="P1291" s="1"/>
      <c r="Q1291" s="95"/>
      <c r="R1291" s="5" t="b">
        <f t="shared" si="258"/>
        <v>0</v>
      </c>
    </row>
    <row r="1292" spans="1:18" s="4" customFormat="1" ht="15" hidden="1" customHeight="1" thickBot="1">
      <c r="A1292" s="64"/>
      <c r="B1292" s="7">
        <f t="shared" si="248"/>
        <v>66</v>
      </c>
      <c r="C1292" s="211"/>
      <c r="D1292" s="211"/>
      <c r="E1292" s="211"/>
      <c r="F1292" s="211"/>
      <c r="G1292" s="211"/>
      <c r="H1292" s="211"/>
      <c r="I1292" s="211"/>
      <c r="J1292" s="16"/>
      <c r="K1292" s="1"/>
      <c r="M1292" s="1"/>
      <c r="N1292" s="1"/>
      <c r="O1292" s="1"/>
      <c r="P1292" s="1"/>
      <c r="Q1292" s="95"/>
      <c r="R1292" s="5" t="b">
        <f t="shared" si="258"/>
        <v>0</v>
      </c>
    </row>
    <row r="1293" spans="1:18" s="4" customFormat="1" ht="15" hidden="1" customHeight="1" thickBot="1">
      <c r="A1293" s="64"/>
      <c r="B1293" s="7">
        <f t="shared" ref="B1293:B1356" si="259">B1292+1</f>
        <v>67</v>
      </c>
      <c r="C1293" s="211"/>
      <c r="D1293" s="211"/>
      <c r="E1293" s="211"/>
      <c r="F1293" s="211"/>
      <c r="G1293" s="211"/>
      <c r="H1293" s="211"/>
      <c r="I1293" s="211"/>
      <c r="J1293" s="16"/>
      <c r="K1293" s="1"/>
      <c r="M1293" s="1"/>
      <c r="N1293" s="1"/>
      <c r="O1293" s="1"/>
      <c r="P1293" s="1"/>
      <c r="Q1293" s="95"/>
      <c r="R1293" s="5" t="b">
        <f t="shared" si="258"/>
        <v>0</v>
      </c>
    </row>
    <row r="1294" spans="1:18" s="4" customFormat="1" ht="15" hidden="1" customHeight="1" thickBot="1">
      <c r="A1294" s="64"/>
      <c r="B1294" s="7">
        <f t="shared" si="259"/>
        <v>68</v>
      </c>
      <c r="C1294" s="211"/>
      <c r="D1294" s="211"/>
      <c r="E1294" s="211"/>
      <c r="F1294" s="211"/>
      <c r="G1294" s="211"/>
      <c r="H1294" s="211"/>
      <c r="I1294" s="211"/>
      <c r="J1294" s="16"/>
      <c r="K1294" s="1"/>
      <c r="M1294" s="1"/>
      <c r="N1294" s="1"/>
      <c r="O1294" s="1"/>
      <c r="P1294" s="1"/>
      <c r="Q1294" s="95"/>
      <c r="R1294" s="5" t="b">
        <f t="shared" si="258"/>
        <v>0</v>
      </c>
    </row>
    <row r="1295" spans="1:18" s="4" customFormat="1" ht="15" hidden="1" customHeight="1" thickBot="1">
      <c r="A1295" s="64"/>
      <c r="B1295" s="7">
        <f t="shared" si="259"/>
        <v>69</v>
      </c>
      <c r="C1295" s="211"/>
      <c r="D1295" s="211"/>
      <c r="E1295" s="211"/>
      <c r="F1295" s="211"/>
      <c r="G1295" s="211"/>
      <c r="H1295" s="211"/>
      <c r="I1295" s="211"/>
      <c r="J1295" s="16"/>
      <c r="K1295" s="1"/>
      <c r="M1295" s="1"/>
      <c r="N1295" s="1"/>
      <c r="O1295" s="1"/>
      <c r="P1295" s="1"/>
      <c r="Q1295" s="95"/>
      <c r="R1295" s="5" t="b">
        <f t="shared" si="258"/>
        <v>0</v>
      </c>
    </row>
    <row r="1296" spans="1:18" s="4" customFormat="1" ht="15" hidden="1" customHeight="1" thickBot="1">
      <c r="A1296" s="64"/>
      <c r="B1296" s="7">
        <f>B1295+1</f>
        <v>70</v>
      </c>
      <c r="C1296" s="211"/>
      <c r="D1296" s="211"/>
      <c r="E1296" s="211"/>
      <c r="F1296" s="211"/>
      <c r="G1296" s="211"/>
      <c r="H1296" s="211"/>
      <c r="I1296" s="211"/>
      <c r="J1296" s="16"/>
      <c r="K1296" s="1"/>
      <c r="M1296" s="1"/>
      <c r="N1296" s="1"/>
      <c r="O1296" s="1"/>
      <c r="P1296" s="1"/>
      <c r="Q1296" s="95"/>
      <c r="R1296" s="5" t="b">
        <f t="shared" si="258"/>
        <v>0</v>
      </c>
    </row>
    <row r="1297" spans="1:18" s="4" customFormat="1" ht="15" hidden="1" customHeight="1" thickBot="1">
      <c r="A1297" s="64"/>
      <c r="B1297" s="7">
        <f t="shared" si="259"/>
        <v>71</v>
      </c>
      <c r="C1297" s="211"/>
      <c r="D1297" s="211"/>
      <c r="E1297" s="211"/>
      <c r="F1297" s="211"/>
      <c r="G1297" s="211"/>
      <c r="H1297" s="211"/>
      <c r="I1297" s="211"/>
      <c r="J1297" s="16"/>
      <c r="K1297" s="1"/>
      <c r="M1297" s="1"/>
      <c r="N1297" s="1"/>
      <c r="O1297" s="1"/>
      <c r="P1297" s="1"/>
      <c r="Q1297" s="95"/>
      <c r="R1297" s="5" t="b">
        <f t="shared" si="258"/>
        <v>0</v>
      </c>
    </row>
    <row r="1298" spans="1:18" s="4" customFormat="1" ht="15" hidden="1" customHeight="1" thickBot="1">
      <c r="A1298" s="64"/>
      <c r="B1298" s="7">
        <f t="shared" si="259"/>
        <v>72</v>
      </c>
      <c r="C1298" s="211"/>
      <c r="D1298" s="211"/>
      <c r="E1298" s="211"/>
      <c r="F1298" s="211"/>
      <c r="G1298" s="211"/>
      <c r="H1298" s="211"/>
      <c r="I1298" s="211"/>
      <c r="J1298" s="16"/>
      <c r="K1298" s="1"/>
      <c r="M1298" s="1"/>
      <c r="N1298" s="1"/>
      <c r="O1298" s="1"/>
      <c r="P1298" s="1"/>
      <c r="Q1298" s="95"/>
      <c r="R1298" s="5" t="b">
        <f t="shared" si="258"/>
        <v>0</v>
      </c>
    </row>
    <row r="1299" spans="1:18" s="4" customFormat="1" ht="15" hidden="1" customHeight="1" thickBot="1">
      <c r="A1299" s="64"/>
      <c r="B1299" s="7">
        <f t="shared" si="259"/>
        <v>73</v>
      </c>
      <c r="C1299" s="211"/>
      <c r="D1299" s="211"/>
      <c r="E1299" s="211"/>
      <c r="F1299" s="211"/>
      <c r="G1299" s="211"/>
      <c r="H1299" s="211"/>
      <c r="I1299" s="211"/>
      <c r="J1299" s="16"/>
      <c r="K1299" s="1"/>
      <c r="M1299" s="1"/>
      <c r="N1299" s="1"/>
      <c r="O1299" s="1"/>
      <c r="P1299" s="1"/>
      <c r="Q1299" s="95"/>
      <c r="R1299" s="5" t="b">
        <f t="shared" si="258"/>
        <v>0</v>
      </c>
    </row>
    <row r="1300" spans="1:18" s="4" customFormat="1" ht="15" hidden="1" customHeight="1" thickBot="1">
      <c r="A1300" s="64"/>
      <c r="B1300" s="7">
        <f t="shared" si="259"/>
        <v>74</v>
      </c>
      <c r="C1300" s="211"/>
      <c r="D1300" s="211"/>
      <c r="E1300" s="211"/>
      <c r="F1300" s="211"/>
      <c r="G1300" s="211"/>
      <c r="H1300" s="211"/>
      <c r="I1300" s="211"/>
      <c r="J1300" s="16"/>
      <c r="K1300" s="1"/>
      <c r="M1300" s="1"/>
      <c r="N1300" s="1"/>
      <c r="O1300" s="1"/>
      <c r="P1300" s="1"/>
      <c r="Q1300" s="95"/>
      <c r="R1300" s="5" t="b">
        <f t="shared" si="258"/>
        <v>0</v>
      </c>
    </row>
    <row r="1301" spans="1:18" s="4" customFormat="1" ht="15" hidden="1" customHeight="1" thickBot="1">
      <c r="A1301" s="64"/>
      <c r="B1301" s="7">
        <f t="shared" si="259"/>
        <v>75</v>
      </c>
      <c r="C1301" s="211"/>
      <c r="D1301" s="211"/>
      <c r="E1301" s="211"/>
      <c r="F1301" s="211"/>
      <c r="G1301" s="211"/>
      <c r="H1301" s="211"/>
      <c r="I1301" s="211"/>
      <c r="J1301" s="16"/>
      <c r="K1301" s="1"/>
      <c r="M1301" s="1"/>
      <c r="N1301" s="1"/>
      <c r="O1301" s="1"/>
      <c r="P1301" s="1"/>
      <c r="Q1301" s="95"/>
      <c r="R1301" s="5" t="b">
        <f t="shared" si="258"/>
        <v>0</v>
      </c>
    </row>
    <row r="1302" spans="1:18" s="4" customFormat="1" ht="15" hidden="1" customHeight="1" thickBot="1">
      <c r="A1302" s="64"/>
      <c r="B1302" s="7">
        <f t="shared" si="259"/>
        <v>76</v>
      </c>
      <c r="C1302" s="211"/>
      <c r="D1302" s="211"/>
      <c r="E1302" s="211"/>
      <c r="F1302" s="211"/>
      <c r="G1302" s="211"/>
      <c r="H1302" s="211"/>
      <c r="I1302" s="211"/>
      <c r="J1302" s="16"/>
      <c r="K1302" s="1"/>
      <c r="M1302" s="1"/>
      <c r="N1302" s="1"/>
      <c r="O1302" s="1"/>
      <c r="P1302" s="1"/>
      <c r="Q1302" s="95"/>
      <c r="R1302" s="5" t="b">
        <f t="shared" si="258"/>
        <v>0</v>
      </c>
    </row>
    <row r="1303" spans="1:18" s="4" customFormat="1" ht="15" hidden="1" customHeight="1" thickBot="1">
      <c r="A1303" s="64"/>
      <c r="B1303" s="7">
        <f t="shared" si="259"/>
        <v>77</v>
      </c>
      <c r="C1303" s="211"/>
      <c r="D1303" s="211"/>
      <c r="E1303" s="211"/>
      <c r="F1303" s="211"/>
      <c r="G1303" s="211"/>
      <c r="H1303" s="211"/>
      <c r="I1303" s="211"/>
      <c r="J1303" s="16"/>
      <c r="K1303" s="1"/>
      <c r="M1303" s="1"/>
      <c r="N1303" s="1"/>
      <c r="O1303" s="1"/>
      <c r="P1303" s="1"/>
      <c r="Q1303" s="95"/>
      <c r="R1303" s="5" t="b">
        <f t="shared" si="258"/>
        <v>0</v>
      </c>
    </row>
    <row r="1304" spans="1:18" s="4" customFormat="1" ht="15" hidden="1" customHeight="1" thickBot="1">
      <c r="A1304" s="64"/>
      <c r="B1304" s="7">
        <f t="shared" si="259"/>
        <v>78</v>
      </c>
      <c r="C1304" s="211"/>
      <c r="D1304" s="211"/>
      <c r="E1304" s="211"/>
      <c r="F1304" s="211"/>
      <c r="G1304" s="211"/>
      <c r="H1304" s="211"/>
      <c r="I1304" s="211"/>
      <c r="J1304" s="16"/>
      <c r="K1304" s="1"/>
      <c r="M1304" s="1"/>
      <c r="N1304" s="1"/>
      <c r="O1304" s="1"/>
      <c r="P1304" s="1"/>
      <c r="Q1304" s="95"/>
      <c r="R1304" s="5" t="b">
        <f t="shared" si="258"/>
        <v>0</v>
      </c>
    </row>
    <row r="1305" spans="1:18" s="4" customFormat="1" ht="15" hidden="1" customHeight="1" thickBot="1">
      <c r="A1305" s="64"/>
      <c r="B1305" s="7">
        <f t="shared" si="259"/>
        <v>79</v>
      </c>
      <c r="C1305" s="211"/>
      <c r="D1305" s="211"/>
      <c r="E1305" s="211"/>
      <c r="F1305" s="211"/>
      <c r="G1305" s="211"/>
      <c r="H1305" s="211"/>
      <c r="I1305" s="211"/>
      <c r="J1305" s="16"/>
      <c r="K1305" s="1"/>
      <c r="M1305" s="1"/>
      <c r="N1305" s="1"/>
      <c r="O1305" s="1"/>
      <c r="P1305" s="1"/>
      <c r="Q1305" s="95"/>
      <c r="R1305" s="5" t="b">
        <f t="shared" si="258"/>
        <v>0</v>
      </c>
    </row>
    <row r="1306" spans="1:18" s="4" customFormat="1" ht="15" hidden="1" customHeight="1" thickBot="1">
      <c r="A1306" s="64"/>
      <c r="B1306" s="7">
        <f t="shared" si="259"/>
        <v>80</v>
      </c>
      <c r="C1306" s="211"/>
      <c r="D1306" s="211"/>
      <c r="E1306" s="211"/>
      <c r="F1306" s="211"/>
      <c r="G1306" s="211"/>
      <c r="H1306" s="211"/>
      <c r="I1306" s="211"/>
      <c r="J1306" s="16"/>
      <c r="K1306" s="1"/>
      <c r="M1306" s="1"/>
      <c r="N1306" s="1"/>
      <c r="O1306" s="1"/>
      <c r="P1306" s="1"/>
      <c r="Q1306" s="95"/>
      <c r="R1306" s="5" t="b">
        <f t="shared" si="258"/>
        <v>0</v>
      </c>
    </row>
    <row r="1307" spans="1:18" s="4" customFormat="1" ht="15" hidden="1" customHeight="1" thickBot="1">
      <c r="A1307" s="64"/>
      <c r="B1307" s="7">
        <f t="shared" si="259"/>
        <v>81</v>
      </c>
      <c r="C1307" s="211"/>
      <c r="D1307" s="211"/>
      <c r="E1307" s="211"/>
      <c r="F1307" s="211"/>
      <c r="G1307" s="211"/>
      <c r="H1307" s="211"/>
      <c r="I1307" s="211"/>
      <c r="J1307" s="16"/>
      <c r="K1307" s="1"/>
      <c r="M1307" s="1"/>
      <c r="N1307" s="1"/>
      <c r="O1307" s="1"/>
      <c r="P1307" s="1"/>
      <c r="Q1307" s="95"/>
      <c r="R1307" s="5" t="b">
        <f t="shared" si="258"/>
        <v>0</v>
      </c>
    </row>
    <row r="1308" spans="1:18" s="4" customFormat="1" ht="15" hidden="1" customHeight="1" thickBot="1">
      <c r="A1308" s="64"/>
      <c r="B1308" s="7">
        <f t="shared" si="259"/>
        <v>82</v>
      </c>
      <c r="C1308" s="211"/>
      <c r="D1308" s="211"/>
      <c r="E1308" s="211"/>
      <c r="F1308" s="211"/>
      <c r="G1308" s="211"/>
      <c r="H1308" s="211"/>
      <c r="I1308" s="211"/>
      <c r="J1308" s="16"/>
      <c r="K1308" s="1"/>
      <c r="M1308" s="1"/>
      <c r="N1308" s="1"/>
      <c r="O1308" s="1"/>
      <c r="P1308" s="1"/>
      <c r="Q1308" s="95"/>
      <c r="R1308" s="5" t="b">
        <f t="shared" si="258"/>
        <v>0</v>
      </c>
    </row>
    <row r="1309" spans="1:18" s="4" customFormat="1" ht="15" hidden="1" customHeight="1" thickBot="1">
      <c r="A1309" s="64"/>
      <c r="B1309" s="7">
        <f t="shared" si="259"/>
        <v>83</v>
      </c>
      <c r="C1309" s="211"/>
      <c r="D1309" s="211"/>
      <c r="E1309" s="211"/>
      <c r="F1309" s="211"/>
      <c r="G1309" s="211"/>
      <c r="H1309" s="211"/>
      <c r="I1309" s="211"/>
      <c r="J1309" s="16"/>
      <c r="K1309" s="1"/>
      <c r="M1309" s="1"/>
      <c r="N1309" s="1"/>
      <c r="O1309" s="1"/>
      <c r="P1309" s="1"/>
      <c r="Q1309" s="95"/>
      <c r="R1309" s="5" t="b">
        <f t="shared" si="258"/>
        <v>0</v>
      </c>
    </row>
    <row r="1310" spans="1:18" s="4" customFormat="1" ht="15" hidden="1" customHeight="1" thickBot="1">
      <c r="A1310" s="64"/>
      <c r="B1310" s="7">
        <f t="shared" si="259"/>
        <v>84</v>
      </c>
      <c r="C1310" s="211"/>
      <c r="D1310" s="211"/>
      <c r="E1310" s="211"/>
      <c r="F1310" s="211"/>
      <c r="G1310" s="211"/>
      <c r="H1310" s="211"/>
      <c r="I1310" s="211"/>
      <c r="J1310" s="16"/>
      <c r="K1310" s="1"/>
      <c r="M1310" s="1"/>
      <c r="N1310" s="1"/>
      <c r="O1310" s="1"/>
      <c r="P1310" s="1"/>
      <c r="Q1310" s="95"/>
      <c r="R1310" s="5" t="b">
        <f t="shared" si="258"/>
        <v>0</v>
      </c>
    </row>
    <row r="1311" spans="1:18" s="4" customFormat="1" ht="15" hidden="1" customHeight="1" thickBot="1">
      <c r="A1311" s="64"/>
      <c r="B1311" s="7">
        <f t="shared" si="259"/>
        <v>85</v>
      </c>
      <c r="C1311" s="211"/>
      <c r="D1311" s="211"/>
      <c r="E1311" s="211"/>
      <c r="F1311" s="211"/>
      <c r="G1311" s="211"/>
      <c r="H1311" s="211"/>
      <c r="I1311" s="211"/>
      <c r="J1311" s="16"/>
      <c r="K1311" s="1"/>
      <c r="M1311" s="1"/>
      <c r="N1311" s="1"/>
      <c r="O1311" s="1"/>
      <c r="P1311" s="1"/>
      <c r="Q1311" s="95"/>
      <c r="R1311" s="5" t="b">
        <f t="shared" si="258"/>
        <v>0</v>
      </c>
    </row>
    <row r="1312" spans="1:18" s="4" customFormat="1" ht="15" hidden="1" customHeight="1" thickBot="1">
      <c r="A1312" s="64"/>
      <c r="B1312" s="7">
        <f t="shared" si="259"/>
        <v>86</v>
      </c>
      <c r="C1312" s="211"/>
      <c r="D1312" s="211"/>
      <c r="E1312" s="211"/>
      <c r="F1312" s="211"/>
      <c r="G1312" s="211"/>
      <c r="H1312" s="211"/>
      <c r="I1312" s="211"/>
      <c r="J1312" s="16"/>
      <c r="K1312" s="1"/>
      <c r="M1312" s="1"/>
      <c r="N1312" s="1"/>
      <c r="O1312" s="1"/>
      <c r="P1312" s="1"/>
      <c r="Q1312" s="95"/>
      <c r="R1312" s="5" t="b">
        <f t="shared" si="258"/>
        <v>0</v>
      </c>
    </row>
    <row r="1313" spans="1:18" s="4" customFormat="1" ht="15" hidden="1" customHeight="1" thickBot="1">
      <c r="A1313" s="64"/>
      <c r="B1313" s="7">
        <f t="shared" si="259"/>
        <v>87</v>
      </c>
      <c r="C1313" s="211"/>
      <c r="D1313" s="211"/>
      <c r="E1313" s="211"/>
      <c r="F1313" s="211"/>
      <c r="G1313" s="211"/>
      <c r="H1313" s="211"/>
      <c r="I1313" s="211"/>
      <c r="J1313" s="16"/>
      <c r="K1313" s="1"/>
      <c r="M1313" s="1"/>
      <c r="N1313" s="1"/>
      <c r="O1313" s="1"/>
      <c r="P1313" s="1"/>
      <c r="Q1313" s="95"/>
      <c r="R1313" s="5" t="b">
        <f t="shared" si="258"/>
        <v>0</v>
      </c>
    </row>
    <row r="1314" spans="1:18" s="4" customFormat="1" ht="15" hidden="1" customHeight="1" thickBot="1">
      <c r="A1314" s="64"/>
      <c r="B1314" s="7">
        <f t="shared" si="259"/>
        <v>88</v>
      </c>
      <c r="C1314" s="211"/>
      <c r="D1314" s="211"/>
      <c r="E1314" s="211"/>
      <c r="F1314" s="211"/>
      <c r="G1314" s="211"/>
      <c r="H1314" s="211"/>
      <c r="I1314" s="211"/>
      <c r="J1314" s="16"/>
      <c r="K1314" s="1"/>
      <c r="M1314" s="1"/>
      <c r="N1314" s="1"/>
      <c r="O1314" s="1"/>
      <c r="P1314" s="1"/>
      <c r="Q1314" s="95"/>
      <c r="R1314" s="5" t="b">
        <f t="shared" si="258"/>
        <v>0</v>
      </c>
    </row>
    <row r="1315" spans="1:18" s="4" customFormat="1" ht="15" hidden="1" customHeight="1" thickBot="1">
      <c r="A1315" s="64"/>
      <c r="B1315" s="7">
        <f t="shared" si="259"/>
        <v>89</v>
      </c>
      <c r="C1315" s="211"/>
      <c r="D1315" s="211"/>
      <c r="E1315" s="211"/>
      <c r="F1315" s="211"/>
      <c r="G1315" s="211"/>
      <c r="H1315" s="211"/>
      <c r="I1315" s="211"/>
      <c r="J1315" s="16"/>
      <c r="K1315" s="1"/>
      <c r="M1315" s="1"/>
      <c r="N1315" s="1"/>
      <c r="O1315" s="1"/>
      <c r="P1315" s="1"/>
      <c r="Q1315" s="95"/>
      <c r="R1315" s="5" t="b">
        <f t="shared" si="258"/>
        <v>0</v>
      </c>
    </row>
    <row r="1316" spans="1:18" s="4" customFormat="1" ht="15" hidden="1" customHeight="1" thickBot="1">
      <c r="A1316" s="64"/>
      <c r="B1316" s="7">
        <f t="shared" si="259"/>
        <v>90</v>
      </c>
      <c r="C1316" s="211"/>
      <c r="D1316" s="211"/>
      <c r="E1316" s="211"/>
      <c r="F1316" s="211"/>
      <c r="G1316" s="211"/>
      <c r="H1316" s="211"/>
      <c r="I1316" s="211"/>
      <c r="J1316" s="16"/>
      <c r="K1316" s="1"/>
      <c r="M1316" s="1"/>
      <c r="N1316" s="1"/>
      <c r="O1316" s="1"/>
      <c r="P1316" s="1"/>
      <c r="Q1316" s="95"/>
      <c r="R1316" s="5" t="b">
        <f t="shared" si="258"/>
        <v>0</v>
      </c>
    </row>
    <row r="1317" spans="1:18" s="4" customFormat="1" ht="15" hidden="1" customHeight="1" thickBot="1">
      <c r="A1317" s="64"/>
      <c r="B1317" s="7">
        <f t="shared" si="259"/>
        <v>91</v>
      </c>
      <c r="C1317" s="211"/>
      <c r="D1317" s="211"/>
      <c r="E1317" s="211"/>
      <c r="F1317" s="211"/>
      <c r="G1317" s="211"/>
      <c r="H1317" s="211"/>
      <c r="I1317" s="211"/>
      <c r="J1317" s="16"/>
      <c r="K1317" s="1"/>
      <c r="M1317" s="1"/>
      <c r="N1317" s="1"/>
      <c r="O1317" s="1"/>
      <c r="P1317" s="1"/>
      <c r="Q1317" s="95"/>
      <c r="R1317" s="5" t="b">
        <f t="shared" si="258"/>
        <v>0</v>
      </c>
    </row>
    <row r="1318" spans="1:18" s="4" customFormat="1" ht="15" hidden="1" customHeight="1" thickBot="1">
      <c r="A1318" s="64"/>
      <c r="B1318" s="7">
        <f t="shared" si="259"/>
        <v>92</v>
      </c>
      <c r="C1318" s="211"/>
      <c r="D1318" s="211"/>
      <c r="E1318" s="211"/>
      <c r="F1318" s="211"/>
      <c r="G1318" s="211"/>
      <c r="H1318" s="211"/>
      <c r="I1318" s="211"/>
      <c r="J1318" s="16"/>
      <c r="K1318" s="1"/>
      <c r="M1318" s="1"/>
      <c r="N1318" s="1"/>
      <c r="O1318" s="1"/>
      <c r="P1318" s="1"/>
      <c r="Q1318" s="95"/>
      <c r="R1318" s="5" t="b">
        <f t="shared" si="258"/>
        <v>0</v>
      </c>
    </row>
    <row r="1319" spans="1:18" s="4" customFormat="1" ht="15" hidden="1" customHeight="1" thickBot="1">
      <c r="A1319" s="64"/>
      <c r="B1319" s="7">
        <f t="shared" si="259"/>
        <v>93</v>
      </c>
      <c r="C1319" s="211"/>
      <c r="D1319" s="211"/>
      <c r="E1319" s="211"/>
      <c r="F1319" s="211"/>
      <c r="G1319" s="211"/>
      <c r="H1319" s="211"/>
      <c r="I1319" s="211"/>
      <c r="J1319" s="16"/>
      <c r="K1319" s="1"/>
      <c r="M1319" s="1"/>
      <c r="N1319" s="1"/>
      <c r="O1319" s="1"/>
      <c r="P1319" s="1"/>
      <c r="Q1319" s="95"/>
      <c r="R1319" s="5" t="b">
        <f t="shared" si="258"/>
        <v>0</v>
      </c>
    </row>
    <row r="1320" spans="1:18" s="4" customFormat="1" ht="15" hidden="1" customHeight="1" thickBot="1">
      <c r="A1320" s="64"/>
      <c r="B1320" s="7">
        <f t="shared" si="259"/>
        <v>94</v>
      </c>
      <c r="C1320" s="211"/>
      <c r="D1320" s="211"/>
      <c r="E1320" s="211"/>
      <c r="F1320" s="211"/>
      <c r="G1320" s="211"/>
      <c r="H1320" s="211"/>
      <c r="I1320" s="211"/>
      <c r="J1320" s="16"/>
      <c r="K1320" s="1"/>
      <c r="M1320" s="1"/>
      <c r="N1320" s="1"/>
      <c r="O1320" s="1"/>
      <c r="P1320" s="1"/>
      <c r="Q1320" s="95"/>
      <c r="R1320" s="5" t="b">
        <f t="shared" si="258"/>
        <v>0</v>
      </c>
    </row>
    <row r="1321" spans="1:18" s="4" customFormat="1" ht="15" hidden="1" customHeight="1" thickBot="1">
      <c r="A1321" s="64"/>
      <c r="B1321" s="7">
        <f t="shared" si="259"/>
        <v>95</v>
      </c>
      <c r="C1321" s="211"/>
      <c r="D1321" s="211"/>
      <c r="E1321" s="211"/>
      <c r="F1321" s="211"/>
      <c r="G1321" s="211"/>
      <c r="H1321" s="211"/>
      <c r="I1321" s="211"/>
      <c r="J1321" s="16"/>
      <c r="K1321" s="1"/>
      <c r="M1321" s="1"/>
      <c r="N1321" s="1"/>
      <c r="O1321" s="1"/>
      <c r="P1321" s="1"/>
      <c r="Q1321" s="95"/>
      <c r="R1321" s="5" t="b">
        <f t="shared" si="258"/>
        <v>0</v>
      </c>
    </row>
    <row r="1322" spans="1:18" s="4" customFormat="1" ht="15" hidden="1" customHeight="1" thickBot="1">
      <c r="A1322" s="64"/>
      <c r="B1322" s="7">
        <f t="shared" si="259"/>
        <v>96</v>
      </c>
      <c r="C1322" s="211"/>
      <c r="D1322" s="211"/>
      <c r="E1322" s="211"/>
      <c r="F1322" s="211"/>
      <c r="G1322" s="211"/>
      <c r="H1322" s="211"/>
      <c r="I1322" s="211"/>
      <c r="J1322" s="16"/>
      <c r="K1322" s="1"/>
      <c r="M1322" s="1"/>
      <c r="N1322" s="1"/>
      <c r="O1322" s="1"/>
      <c r="P1322" s="1"/>
      <c r="Q1322" s="95"/>
      <c r="R1322" s="5" t="b">
        <f t="shared" si="258"/>
        <v>0</v>
      </c>
    </row>
    <row r="1323" spans="1:18" s="4" customFormat="1" ht="15" hidden="1" customHeight="1" thickBot="1">
      <c r="A1323" s="64"/>
      <c r="B1323" s="7">
        <f t="shared" si="259"/>
        <v>97</v>
      </c>
      <c r="C1323" s="211"/>
      <c r="D1323" s="211"/>
      <c r="E1323" s="211"/>
      <c r="F1323" s="211"/>
      <c r="G1323" s="211"/>
      <c r="H1323" s="211"/>
      <c r="I1323" s="211"/>
      <c r="J1323" s="16"/>
      <c r="K1323" s="1"/>
      <c r="M1323" s="1"/>
      <c r="N1323" s="1"/>
      <c r="O1323" s="1"/>
      <c r="P1323" s="1"/>
      <c r="Q1323" s="95"/>
      <c r="R1323" s="5" t="b">
        <f t="shared" si="258"/>
        <v>0</v>
      </c>
    </row>
    <row r="1324" spans="1:18" s="4" customFormat="1" ht="15" hidden="1" customHeight="1" thickBot="1">
      <c r="A1324" s="64"/>
      <c r="B1324" s="7">
        <f t="shared" si="259"/>
        <v>98</v>
      </c>
      <c r="C1324" s="211"/>
      <c r="D1324" s="211"/>
      <c r="E1324" s="211"/>
      <c r="F1324" s="211"/>
      <c r="G1324" s="211"/>
      <c r="H1324" s="211"/>
      <c r="I1324" s="211"/>
      <c r="J1324" s="16"/>
      <c r="K1324" s="1"/>
      <c r="M1324" s="1"/>
      <c r="N1324" s="1"/>
      <c r="O1324" s="1"/>
      <c r="P1324" s="1"/>
      <c r="Q1324" s="95"/>
      <c r="R1324" s="5" t="b">
        <f t="shared" si="258"/>
        <v>0</v>
      </c>
    </row>
    <row r="1325" spans="1:18" s="4" customFormat="1" ht="15" hidden="1" customHeight="1" thickBot="1">
      <c r="A1325" s="64"/>
      <c r="B1325" s="7">
        <f t="shared" si="259"/>
        <v>99</v>
      </c>
      <c r="C1325" s="211"/>
      <c r="D1325" s="211"/>
      <c r="E1325" s="211"/>
      <c r="F1325" s="211"/>
      <c r="G1325" s="211"/>
      <c r="H1325" s="211"/>
      <c r="I1325" s="211"/>
      <c r="J1325" s="16"/>
      <c r="K1325" s="1"/>
      <c r="M1325" s="1"/>
      <c r="N1325" s="1"/>
      <c r="O1325" s="1"/>
      <c r="P1325" s="1"/>
      <c r="Q1325" s="95"/>
      <c r="R1325" s="5" t="b">
        <f t="shared" si="258"/>
        <v>0</v>
      </c>
    </row>
    <row r="1326" spans="1:18" s="4" customFormat="1" ht="15" hidden="1" customHeight="1" thickBot="1">
      <c r="A1326" s="64"/>
      <c r="B1326" s="7">
        <f t="shared" si="259"/>
        <v>100</v>
      </c>
      <c r="C1326" s="211"/>
      <c r="D1326" s="211"/>
      <c r="E1326" s="211"/>
      <c r="F1326" s="211"/>
      <c r="G1326" s="211"/>
      <c r="H1326" s="211"/>
      <c r="I1326" s="211"/>
      <c r="J1326" s="16"/>
      <c r="K1326" s="1"/>
      <c r="M1326" s="1"/>
      <c r="N1326" s="1"/>
      <c r="O1326" s="1"/>
      <c r="P1326" s="1"/>
      <c r="Q1326" s="95"/>
      <c r="R1326" s="5" t="b">
        <f t="shared" si="258"/>
        <v>0</v>
      </c>
    </row>
    <row r="1327" spans="1:18" s="4" customFormat="1" ht="15" hidden="1" customHeight="1" thickBot="1">
      <c r="A1327" s="64"/>
      <c r="B1327" s="7">
        <f t="shared" si="259"/>
        <v>101</v>
      </c>
      <c r="C1327" s="211"/>
      <c r="D1327" s="211"/>
      <c r="E1327" s="211"/>
      <c r="F1327" s="211"/>
      <c r="G1327" s="211"/>
      <c r="H1327" s="211"/>
      <c r="I1327" s="211"/>
      <c r="J1327" s="16"/>
      <c r="K1327" s="1"/>
      <c r="M1327" s="1"/>
      <c r="N1327" s="1"/>
      <c r="O1327" s="1"/>
      <c r="P1327" s="1"/>
      <c r="Q1327" s="95"/>
      <c r="R1327" s="5" t="b">
        <f t="shared" ref="R1327:R1390" si="260">IF(O1327&gt;89.9999999999999%,"PAMA")</f>
        <v>0</v>
      </c>
    </row>
    <row r="1328" spans="1:18" s="4" customFormat="1" ht="15" hidden="1" customHeight="1" thickBot="1">
      <c r="A1328" s="64"/>
      <c r="B1328" s="7">
        <f t="shared" si="259"/>
        <v>102</v>
      </c>
      <c r="C1328" s="211"/>
      <c r="D1328" s="211"/>
      <c r="E1328" s="211"/>
      <c r="F1328" s="211"/>
      <c r="G1328" s="211"/>
      <c r="H1328" s="211"/>
      <c r="I1328" s="211"/>
      <c r="J1328" s="16"/>
      <c r="K1328" s="1"/>
      <c r="M1328" s="1"/>
      <c r="N1328" s="1"/>
      <c r="O1328" s="1"/>
      <c r="P1328" s="1"/>
      <c r="Q1328" s="95"/>
      <c r="R1328" s="5" t="b">
        <f t="shared" si="260"/>
        <v>0</v>
      </c>
    </row>
    <row r="1329" spans="1:18" s="4" customFormat="1" ht="15" hidden="1" customHeight="1" thickBot="1">
      <c r="A1329" s="64"/>
      <c r="B1329" s="7">
        <f t="shared" si="259"/>
        <v>103</v>
      </c>
      <c r="C1329" s="211"/>
      <c r="D1329" s="211"/>
      <c r="E1329" s="211"/>
      <c r="F1329" s="211"/>
      <c r="G1329" s="211"/>
      <c r="H1329" s="211"/>
      <c r="I1329" s="211"/>
      <c r="J1329" s="16"/>
      <c r="K1329" s="1"/>
      <c r="M1329" s="1"/>
      <c r="N1329" s="1"/>
      <c r="O1329" s="1"/>
      <c r="P1329" s="1"/>
      <c r="Q1329" s="95"/>
      <c r="R1329" s="5" t="b">
        <f t="shared" si="260"/>
        <v>0</v>
      </c>
    </row>
    <row r="1330" spans="1:18" s="4" customFormat="1" ht="15" hidden="1" customHeight="1" thickBot="1">
      <c r="A1330" s="64"/>
      <c r="B1330" s="7">
        <f t="shared" si="259"/>
        <v>104</v>
      </c>
      <c r="C1330" s="211"/>
      <c r="D1330" s="211"/>
      <c r="E1330" s="211"/>
      <c r="F1330" s="211"/>
      <c r="G1330" s="211"/>
      <c r="H1330" s="211"/>
      <c r="I1330" s="211"/>
      <c r="J1330" s="16"/>
      <c r="K1330" s="1"/>
      <c r="M1330" s="1"/>
      <c r="N1330" s="1"/>
      <c r="O1330" s="1"/>
      <c r="P1330" s="1"/>
      <c r="Q1330" s="95"/>
      <c r="R1330" s="5" t="b">
        <f t="shared" si="260"/>
        <v>0</v>
      </c>
    </row>
    <row r="1331" spans="1:18" s="4" customFormat="1" ht="15" hidden="1" customHeight="1" thickBot="1">
      <c r="A1331" s="64"/>
      <c r="B1331" s="7">
        <f t="shared" si="259"/>
        <v>105</v>
      </c>
      <c r="C1331" s="211"/>
      <c r="D1331" s="211"/>
      <c r="E1331" s="211"/>
      <c r="F1331" s="211"/>
      <c r="G1331" s="211"/>
      <c r="H1331" s="211"/>
      <c r="I1331" s="211"/>
      <c r="J1331" s="16"/>
      <c r="K1331" s="1"/>
      <c r="M1331" s="1"/>
      <c r="N1331" s="1"/>
      <c r="O1331" s="1"/>
      <c r="P1331" s="1"/>
      <c r="Q1331" s="95"/>
      <c r="R1331" s="5" t="b">
        <f t="shared" si="260"/>
        <v>0</v>
      </c>
    </row>
    <row r="1332" spans="1:18" s="4" customFormat="1" ht="15" hidden="1" customHeight="1" thickBot="1">
      <c r="A1332" s="64"/>
      <c r="B1332" s="7">
        <f t="shared" si="259"/>
        <v>106</v>
      </c>
      <c r="C1332" s="211"/>
      <c r="D1332" s="211"/>
      <c r="E1332" s="211"/>
      <c r="F1332" s="211"/>
      <c r="G1332" s="211"/>
      <c r="H1332" s="211"/>
      <c r="I1332" s="211"/>
      <c r="J1332" s="16"/>
      <c r="K1332" s="1"/>
      <c r="M1332" s="1"/>
      <c r="N1332" s="1"/>
      <c r="O1332" s="1"/>
      <c r="P1332" s="1"/>
      <c r="Q1332" s="95"/>
      <c r="R1332" s="5" t="b">
        <f t="shared" si="260"/>
        <v>0</v>
      </c>
    </row>
    <row r="1333" spans="1:18" s="4" customFormat="1" ht="15" hidden="1" customHeight="1" thickBot="1">
      <c r="A1333" s="64"/>
      <c r="B1333" s="7">
        <f t="shared" si="259"/>
        <v>107</v>
      </c>
      <c r="C1333" s="211"/>
      <c r="D1333" s="211"/>
      <c r="E1333" s="211"/>
      <c r="F1333" s="211"/>
      <c r="G1333" s="211"/>
      <c r="H1333" s="211"/>
      <c r="I1333" s="211"/>
      <c r="J1333" s="16"/>
      <c r="K1333" s="1"/>
      <c r="M1333" s="1"/>
      <c r="N1333" s="1"/>
      <c r="O1333" s="1"/>
      <c r="P1333" s="1"/>
      <c r="Q1333" s="95"/>
      <c r="R1333" s="5" t="b">
        <f t="shared" si="260"/>
        <v>0</v>
      </c>
    </row>
    <row r="1334" spans="1:18" s="4" customFormat="1" ht="15" hidden="1" customHeight="1" thickBot="1">
      <c r="A1334" s="64"/>
      <c r="B1334" s="7">
        <f t="shared" si="259"/>
        <v>108</v>
      </c>
      <c r="C1334" s="211"/>
      <c r="D1334" s="211"/>
      <c r="E1334" s="211"/>
      <c r="F1334" s="211"/>
      <c r="G1334" s="211"/>
      <c r="H1334" s="211"/>
      <c r="I1334" s="211"/>
      <c r="J1334" s="16"/>
      <c r="K1334" s="1"/>
      <c r="M1334" s="1"/>
      <c r="N1334" s="1"/>
      <c r="O1334" s="1"/>
      <c r="P1334" s="1"/>
      <c r="Q1334" s="95"/>
      <c r="R1334" s="5" t="b">
        <f t="shared" si="260"/>
        <v>0</v>
      </c>
    </row>
    <row r="1335" spans="1:18" s="4" customFormat="1" ht="15" hidden="1" customHeight="1" thickBot="1">
      <c r="A1335" s="64"/>
      <c r="B1335" s="7">
        <f t="shared" si="259"/>
        <v>109</v>
      </c>
      <c r="C1335" s="211"/>
      <c r="D1335" s="211"/>
      <c r="E1335" s="211"/>
      <c r="F1335" s="211"/>
      <c r="G1335" s="211"/>
      <c r="H1335" s="211"/>
      <c r="I1335" s="211"/>
      <c r="J1335" s="16"/>
      <c r="K1335" s="1"/>
      <c r="M1335" s="1"/>
      <c r="N1335" s="1"/>
      <c r="O1335" s="1"/>
      <c r="P1335" s="1"/>
      <c r="Q1335" s="95"/>
      <c r="R1335" s="5" t="b">
        <f t="shared" si="260"/>
        <v>0</v>
      </c>
    </row>
    <row r="1336" spans="1:18" s="4" customFormat="1" ht="15" hidden="1" customHeight="1" thickBot="1">
      <c r="A1336" s="64"/>
      <c r="B1336" s="7">
        <f t="shared" si="259"/>
        <v>110</v>
      </c>
      <c r="C1336" s="211"/>
      <c r="D1336" s="211"/>
      <c r="E1336" s="211"/>
      <c r="F1336" s="211"/>
      <c r="G1336" s="211"/>
      <c r="H1336" s="211"/>
      <c r="I1336" s="211"/>
      <c r="J1336" s="16"/>
      <c r="K1336" s="1"/>
      <c r="M1336" s="1"/>
      <c r="N1336" s="1"/>
      <c r="O1336" s="1"/>
      <c r="P1336" s="1"/>
      <c r="Q1336" s="95"/>
      <c r="R1336" s="5" t="b">
        <f t="shared" si="260"/>
        <v>0</v>
      </c>
    </row>
    <row r="1337" spans="1:18" s="4" customFormat="1" ht="15" hidden="1" customHeight="1" thickBot="1">
      <c r="A1337" s="64"/>
      <c r="B1337" s="7">
        <f t="shared" si="259"/>
        <v>111</v>
      </c>
      <c r="C1337" s="211"/>
      <c r="D1337" s="211"/>
      <c r="E1337" s="211"/>
      <c r="F1337" s="211"/>
      <c r="G1337" s="211"/>
      <c r="H1337" s="211"/>
      <c r="I1337" s="211"/>
      <c r="J1337" s="16"/>
      <c r="K1337" s="1"/>
      <c r="M1337" s="1"/>
      <c r="N1337" s="1"/>
      <c r="O1337" s="1"/>
      <c r="P1337" s="1"/>
      <c r="Q1337" s="95"/>
      <c r="R1337" s="5" t="b">
        <f t="shared" si="260"/>
        <v>0</v>
      </c>
    </row>
    <row r="1338" spans="1:18" s="4" customFormat="1" ht="15" hidden="1" customHeight="1" thickBot="1">
      <c r="A1338" s="64"/>
      <c r="B1338" s="7">
        <f t="shared" si="259"/>
        <v>112</v>
      </c>
      <c r="C1338" s="211"/>
      <c r="D1338" s="211"/>
      <c r="E1338" s="211"/>
      <c r="F1338" s="211"/>
      <c r="G1338" s="211"/>
      <c r="H1338" s="211"/>
      <c r="I1338" s="211"/>
      <c r="J1338" s="16"/>
      <c r="K1338" s="1"/>
      <c r="M1338" s="1"/>
      <c r="N1338" s="1"/>
      <c r="O1338" s="1"/>
      <c r="P1338" s="1"/>
      <c r="Q1338" s="95"/>
      <c r="R1338" s="5" t="b">
        <f t="shared" si="260"/>
        <v>0</v>
      </c>
    </row>
    <row r="1339" spans="1:18" s="4" customFormat="1" ht="15" hidden="1" customHeight="1" thickBot="1">
      <c r="A1339" s="64"/>
      <c r="B1339" s="7">
        <f t="shared" si="259"/>
        <v>113</v>
      </c>
      <c r="C1339" s="211"/>
      <c r="D1339" s="211"/>
      <c r="E1339" s="211"/>
      <c r="F1339" s="211"/>
      <c r="G1339" s="211"/>
      <c r="H1339" s="211"/>
      <c r="I1339" s="211"/>
      <c r="J1339" s="16"/>
      <c r="K1339" s="1"/>
      <c r="M1339" s="1"/>
      <c r="N1339" s="1"/>
      <c r="O1339" s="1"/>
      <c r="P1339" s="1"/>
      <c r="Q1339" s="95"/>
      <c r="R1339" s="5" t="b">
        <f t="shared" si="260"/>
        <v>0</v>
      </c>
    </row>
    <row r="1340" spans="1:18" s="4" customFormat="1" ht="15" hidden="1" customHeight="1" thickBot="1">
      <c r="A1340" s="64"/>
      <c r="B1340" s="7">
        <f t="shared" si="259"/>
        <v>114</v>
      </c>
      <c r="C1340" s="211"/>
      <c r="D1340" s="211"/>
      <c r="E1340" s="211"/>
      <c r="F1340" s="211"/>
      <c r="G1340" s="211"/>
      <c r="H1340" s="211"/>
      <c r="I1340" s="211"/>
      <c r="J1340" s="16"/>
      <c r="K1340" s="1"/>
      <c r="M1340" s="1"/>
      <c r="N1340" s="1"/>
      <c r="O1340" s="1"/>
      <c r="P1340" s="1"/>
      <c r="Q1340" s="95"/>
      <c r="R1340" s="5" t="b">
        <f t="shared" si="260"/>
        <v>0</v>
      </c>
    </row>
    <row r="1341" spans="1:18" s="4" customFormat="1" ht="15" hidden="1" customHeight="1" thickBot="1">
      <c r="A1341" s="64"/>
      <c r="B1341" s="7">
        <f t="shared" si="259"/>
        <v>115</v>
      </c>
      <c r="C1341" s="211"/>
      <c r="D1341" s="211"/>
      <c r="E1341" s="211"/>
      <c r="F1341" s="211"/>
      <c r="G1341" s="211"/>
      <c r="H1341" s="211"/>
      <c r="I1341" s="211"/>
      <c r="J1341" s="16"/>
      <c r="K1341" s="1"/>
      <c r="M1341" s="1"/>
      <c r="N1341" s="1"/>
      <c r="O1341" s="1"/>
      <c r="P1341" s="1"/>
      <c r="Q1341" s="95"/>
      <c r="R1341" s="5" t="b">
        <f t="shared" si="260"/>
        <v>0</v>
      </c>
    </row>
    <row r="1342" spans="1:18" s="4" customFormat="1" ht="15" hidden="1" customHeight="1" thickBot="1">
      <c r="A1342" s="64"/>
      <c r="B1342" s="7">
        <f t="shared" si="259"/>
        <v>116</v>
      </c>
      <c r="C1342" s="211"/>
      <c r="D1342" s="211"/>
      <c r="E1342" s="211"/>
      <c r="F1342" s="211"/>
      <c r="G1342" s="211"/>
      <c r="H1342" s="211"/>
      <c r="I1342" s="211"/>
      <c r="J1342" s="16"/>
      <c r="K1342" s="1"/>
      <c r="M1342" s="1"/>
      <c r="N1342" s="1"/>
      <c r="O1342" s="1"/>
      <c r="P1342" s="1"/>
      <c r="Q1342" s="95"/>
      <c r="R1342" s="5" t="b">
        <f t="shared" si="260"/>
        <v>0</v>
      </c>
    </row>
    <row r="1343" spans="1:18" s="4" customFormat="1" ht="15" hidden="1" customHeight="1" thickBot="1">
      <c r="A1343" s="64"/>
      <c r="B1343" s="7">
        <f t="shared" si="259"/>
        <v>117</v>
      </c>
      <c r="C1343" s="211"/>
      <c r="D1343" s="211"/>
      <c r="E1343" s="211"/>
      <c r="F1343" s="211"/>
      <c r="G1343" s="211"/>
      <c r="H1343" s="211"/>
      <c r="I1343" s="211"/>
      <c r="J1343" s="16"/>
      <c r="K1343" s="1"/>
      <c r="M1343" s="1"/>
      <c r="N1343" s="1"/>
      <c r="O1343" s="1"/>
      <c r="P1343" s="1"/>
      <c r="Q1343" s="95"/>
      <c r="R1343" s="5" t="b">
        <f t="shared" si="260"/>
        <v>0</v>
      </c>
    </row>
    <row r="1344" spans="1:18" s="4" customFormat="1" ht="15" hidden="1" customHeight="1" thickBot="1">
      <c r="A1344" s="64"/>
      <c r="B1344" s="7">
        <f t="shared" si="259"/>
        <v>118</v>
      </c>
      <c r="C1344" s="211"/>
      <c r="D1344" s="211"/>
      <c r="E1344" s="211"/>
      <c r="F1344" s="211"/>
      <c r="G1344" s="211"/>
      <c r="H1344" s="211"/>
      <c r="I1344" s="211"/>
      <c r="J1344" s="16"/>
      <c r="K1344" s="1"/>
      <c r="M1344" s="1"/>
      <c r="N1344" s="1"/>
      <c r="O1344" s="1"/>
      <c r="P1344" s="1"/>
      <c r="Q1344" s="95"/>
      <c r="R1344" s="5" t="b">
        <f t="shared" si="260"/>
        <v>0</v>
      </c>
    </row>
    <row r="1345" spans="1:18" s="4" customFormat="1" ht="15" hidden="1" customHeight="1" thickBot="1">
      <c r="A1345" s="64"/>
      <c r="B1345" s="7">
        <f t="shared" si="259"/>
        <v>119</v>
      </c>
      <c r="C1345" s="211"/>
      <c r="D1345" s="211"/>
      <c r="E1345" s="211"/>
      <c r="F1345" s="211"/>
      <c r="G1345" s="211"/>
      <c r="H1345" s="211"/>
      <c r="I1345" s="211"/>
      <c r="J1345" s="16"/>
      <c r="K1345" s="1"/>
      <c r="M1345" s="1"/>
      <c r="N1345" s="1"/>
      <c r="O1345" s="1"/>
      <c r="P1345" s="1"/>
      <c r="Q1345" s="95"/>
      <c r="R1345" s="5" t="b">
        <f t="shared" si="260"/>
        <v>0</v>
      </c>
    </row>
    <row r="1346" spans="1:18" s="4" customFormat="1" ht="15" hidden="1" customHeight="1" thickBot="1">
      <c r="A1346" s="64"/>
      <c r="B1346" s="7">
        <f t="shared" si="259"/>
        <v>120</v>
      </c>
      <c r="C1346" s="211"/>
      <c r="D1346" s="211"/>
      <c r="E1346" s="211"/>
      <c r="F1346" s="211"/>
      <c r="G1346" s="211"/>
      <c r="H1346" s="211"/>
      <c r="I1346" s="211"/>
      <c r="J1346" s="16"/>
      <c r="K1346" s="1"/>
      <c r="M1346" s="1"/>
      <c r="N1346" s="1"/>
      <c r="O1346" s="1"/>
      <c r="P1346" s="1"/>
      <c r="Q1346" s="95"/>
      <c r="R1346" s="5" t="b">
        <f t="shared" si="260"/>
        <v>0</v>
      </c>
    </row>
    <row r="1347" spans="1:18" s="4" customFormat="1" ht="15" hidden="1" customHeight="1" thickBot="1">
      <c r="A1347" s="64"/>
      <c r="B1347" s="7">
        <f t="shared" si="259"/>
        <v>121</v>
      </c>
      <c r="C1347" s="211"/>
      <c r="D1347" s="211"/>
      <c r="E1347" s="211"/>
      <c r="F1347" s="211"/>
      <c r="G1347" s="211"/>
      <c r="H1347" s="211"/>
      <c r="I1347" s="211"/>
      <c r="J1347" s="16"/>
      <c r="K1347" s="1"/>
      <c r="M1347" s="1"/>
      <c r="N1347" s="1"/>
      <c r="O1347" s="1"/>
      <c r="P1347" s="1"/>
      <c r="Q1347" s="95"/>
      <c r="R1347" s="5" t="b">
        <f t="shared" si="260"/>
        <v>0</v>
      </c>
    </row>
    <row r="1348" spans="1:18" s="4" customFormat="1" ht="15" hidden="1" customHeight="1" thickBot="1">
      <c r="A1348" s="64"/>
      <c r="B1348" s="7">
        <f t="shared" si="259"/>
        <v>122</v>
      </c>
      <c r="C1348" s="211"/>
      <c r="D1348" s="211"/>
      <c r="E1348" s="211"/>
      <c r="F1348" s="211"/>
      <c r="G1348" s="211"/>
      <c r="H1348" s="211"/>
      <c r="I1348" s="211"/>
      <c r="J1348" s="16"/>
      <c r="K1348" s="1"/>
      <c r="M1348" s="1"/>
      <c r="N1348" s="1"/>
      <c r="O1348" s="1"/>
      <c r="P1348" s="1"/>
      <c r="Q1348" s="95"/>
      <c r="R1348" s="5" t="b">
        <f t="shared" si="260"/>
        <v>0</v>
      </c>
    </row>
    <row r="1349" spans="1:18" s="4" customFormat="1" ht="15" hidden="1" customHeight="1" thickBot="1">
      <c r="A1349" s="64"/>
      <c r="B1349" s="7">
        <f t="shared" si="259"/>
        <v>123</v>
      </c>
      <c r="C1349" s="211"/>
      <c r="D1349" s="211"/>
      <c r="E1349" s="211"/>
      <c r="F1349" s="211"/>
      <c r="G1349" s="211"/>
      <c r="H1349" s="211"/>
      <c r="I1349" s="211"/>
      <c r="J1349" s="16"/>
      <c r="K1349" s="1"/>
      <c r="M1349" s="1"/>
      <c r="N1349" s="1"/>
      <c r="O1349" s="1"/>
      <c r="P1349" s="1"/>
      <c r="Q1349" s="95"/>
      <c r="R1349" s="5" t="b">
        <f t="shared" si="260"/>
        <v>0</v>
      </c>
    </row>
    <row r="1350" spans="1:18" s="4" customFormat="1" ht="15" hidden="1" customHeight="1" thickBot="1">
      <c r="A1350" s="64"/>
      <c r="B1350" s="7">
        <f t="shared" si="259"/>
        <v>124</v>
      </c>
      <c r="C1350" s="211"/>
      <c r="D1350" s="211"/>
      <c r="E1350" s="211"/>
      <c r="F1350" s="211"/>
      <c r="G1350" s="211"/>
      <c r="H1350" s="211"/>
      <c r="I1350" s="211"/>
      <c r="J1350" s="16"/>
      <c r="K1350" s="1"/>
      <c r="M1350" s="1"/>
      <c r="N1350" s="1"/>
      <c r="O1350" s="1"/>
      <c r="P1350" s="1"/>
      <c r="Q1350" s="95"/>
      <c r="R1350" s="5" t="b">
        <f t="shared" si="260"/>
        <v>0</v>
      </c>
    </row>
    <row r="1351" spans="1:18" s="4" customFormat="1" ht="15" hidden="1" customHeight="1" thickBot="1">
      <c r="A1351" s="64"/>
      <c r="B1351" s="7">
        <f t="shared" si="259"/>
        <v>125</v>
      </c>
      <c r="C1351" s="211"/>
      <c r="D1351" s="211"/>
      <c r="E1351" s="211"/>
      <c r="F1351" s="211"/>
      <c r="G1351" s="211"/>
      <c r="H1351" s="211"/>
      <c r="I1351" s="211"/>
      <c r="J1351" s="16"/>
      <c r="K1351" s="1"/>
      <c r="M1351" s="1"/>
      <c r="N1351" s="1"/>
      <c r="O1351" s="1"/>
      <c r="P1351" s="1"/>
      <c r="Q1351" s="95"/>
      <c r="R1351" s="5" t="b">
        <f t="shared" si="260"/>
        <v>0</v>
      </c>
    </row>
    <row r="1352" spans="1:18" s="4" customFormat="1" ht="15" hidden="1" customHeight="1" thickBot="1">
      <c r="A1352" s="64"/>
      <c r="B1352" s="7">
        <f t="shared" si="259"/>
        <v>126</v>
      </c>
      <c r="C1352" s="211"/>
      <c r="D1352" s="211"/>
      <c r="E1352" s="211"/>
      <c r="F1352" s="211"/>
      <c r="G1352" s="211"/>
      <c r="H1352" s="211"/>
      <c r="I1352" s="211"/>
      <c r="J1352" s="16"/>
      <c r="K1352" s="1"/>
      <c r="M1352" s="1"/>
      <c r="N1352" s="1"/>
      <c r="O1352" s="1"/>
      <c r="P1352" s="1"/>
      <c r="Q1352" s="95"/>
      <c r="R1352" s="5" t="b">
        <f t="shared" si="260"/>
        <v>0</v>
      </c>
    </row>
    <row r="1353" spans="1:18" s="4" customFormat="1" ht="15" hidden="1" customHeight="1" thickBot="1">
      <c r="A1353" s="64"/>
      <c r="B1353" s="7">
        <f t="shared" si="259"/>
        <v>127</v>
      </c>
      <c r="C1353" s="211"/>
      <c r="D1353" s="211"/>
      <c r="E1353" s="211"/>
      <c r="F1353" s="211"/>
      <c r="G1353" s="211"/>
      <c r="H1353" s="211"/>
      <c r="I1353" s="211"/>
      <c r="J1353" s="16"/>
      <c r="K1353" s="1"/>
      <c r="M1353" s="1"/>
      <c r="N1353" s="1"/>
      <c r="O1353" s="1"/>
      <c r="P1353" s="1"/>
      <c r="Q1353" s="95"/>
      <c r="R1353" s="5" t="b">
        <f t="shared" si="260"/>
        <v>0</v>
      </c>
    </row>
    <row r="1354" spans="1:18" s="4" customFormat="1" ht="15" hidden="1" customHeight="1" thickBot="1">
      <c r="A1354" s="64"/>
      <c r="B1354" s="7">
        <f t="shared" si="259"/>
        <v>128</v>
      </c>
      <c r="C1354" s="211"/>
      <c r="D1354" s="211"/>
      <c r="E1354" s="211"/>
      <c r="F1354" s="211"/>
      <c r="G1354" s="211"/>
      <c r="H1354" s="211"/>
      <c r="I1354" s="211"/>
      <c r="J1354" s="16"/>
      <c r="K1354" s="1"/>
      <c r="M1354" s="1"/>
      <c r="N1354" s="1"/>
      <c r="O1354" s="1"/>
      <c r="P1354" s="1"/>
      <c r="Q1354" s="95"/>
      <c r="R1354" s="5" t="b">
        <f t="shared" si="260"/>
        <v>0</v>
      </c>
    </row>
    <row r="1355" spans="1:18" s="4" customFormat="1" ht="15" hidden="1" customHeight="1" thickBot="1">
      <c r="A1355" s="64"/>
      <c r="B1355" s="7">
        <f t="shared" si="259"/>
        <v>129</v>
      </c>
      <c r="C1355" s="211"/>
      <c r="D1355" s="211"/>
      <c r="E1355" s="211"/>
      <c r="F1355" s="211"/>
      <c r="G1355" s="211"/>
      <c r="H1355" s="211"/>
      <c r="I1355" s="211"/>
      <c r="J1355" s="16"/>
      <c r="K1355" s="1"/>
      <c r="M1355" s="1"/>
      <c r="N1355" s="1"/>
      <c r="O1355" s="1"/>
      <c r="P1355" s="1"/>
      <c r="Q1355" s="95"/>
      <c r="R1355" s="5" t="b">
        <f t="shared" si="260"/>
        <v>0</v>
      </c>
    </row>
    <row r="1356" spans="1:18" s="4" customFormat="1" ht="15" hidden="1" customHeight="1" thickBot="1">
      <c r="A1356" s="64"/>
      <c r="B1356" s="7">
        <f t="shared" si="259"/>
        <v>130</v>
      </c>
      <c r="C1356" s="211"/>
      <c r="D1356" s="211"/>
      <c r="E1356" s="211"/>
      <c r="F1356" s="211"/>
      <c r="G1356" s="211"/>
      <c r="H1356" s="211"/>
      <c r="I1356" s="211"/>
      <c r="J1356" s="16"/>
      <c r="K1356" s="1"/>
      <c r="M1356" s="1"/>
      <c r="N1356" s="1"/>
      <c r="O1356" s="1"/>
      <c r="P1356" s="1"/>
      <c r="Q1356" s="95"/>
      <c r="R1356" s="5" t="b">
        <f t="shared" si="260"/>
        <v>0</v>
      </c>
    </row>
    <row r="1357" spans="1:18" s="4" customFormat="1" ht="15" hidden="1" customHeight="1" thickBot="1">
      <c r="A1357" s="64"/>
      <c r="B1357" s="7">
        <f t="shared" ref="B1357:B1420" si="261">B1356+1</f>
        <v>131</v>
      </c>
      <c r="C1357" s="211"/>
      <c r="D1357" s="211"/>
      <c r="E1357" s="211"/>
      <c r="F1357" s="211"/>
      <c r="G1357" s="211"/>
      <c r="H1357" s="211"/>
      <c r="I1357" s="211"/>
      <c r="J1357" s="16"/>
      <c r="K1357" s="1"/>
      <c r="M1357" s="1"/>
      <c r="N1357" s="1"/>
      <c r="O1357" s="1"/>
      <c r="P1357" s="1"/>
      <c r="Q1357" s="95"/>
      <c r="R1357" s="5" t="b">
        <f t="shared" si="260"/>
        <v>0</v>
      </c>
    </row>
    <row r="1358" spans="1:18" s="4" customFormat="1" ht="15" hidden="1" customHeight="1" thickBot="1">
      <c r="A1358" s="64"/>
      <c r="B1358" s="7">
        <f t="shared" si="261"/>
        <v>132</v>
      </c>
      <c r="C1358" s="211"/>
      <c r="D1358" s="211"/>
      <c r="E1358" s="211"/>
      <c r="F1358" s="211"/>
      <c r="G1358" s="211"/>
      <c r="H1358" s="211"/>
      <c r="I1358" s="211"/>
      <c r="J1358" s="16"/>
      <c r="K1358" s="1"/>
      <c r="M1358" s="1"/>
      <c r="N1358" s="1"/>
      <c r="O1358" s="1"/>
      <c r="P1358" s="1"/>
      <c r="Q1358" s="95"/>
      <c r="R1358" s="5" t="b">
        <f t="shared" si="260"/>
        <v>0</v>
      </c>
    </row>
    <row r="1359" spans="1:18" s="4" customFormat="1" ht="15" hidden="1" customHeight="1" thickBot="1">
      <c r="A1359" s="64"/>
      <c r="B1359" s="7">
        <f t="shared" si="261"/>
        <v>133</v>
      </c>
      <c r="C1359" s="211"/>
      <c r="D1359" s="211"/>
      <c r="E1359" s="211"/>
      <c r="F1359" s="211"/>
      <c r="G1359" s="211"/>
      <c r="H1359" s="211"/>
      <c r="I1359" s="211"/>
      <c r="J1359" s="16"/>
      <c r="K1359" s="1"/>
      <c r="M1359" s="1"/>
      <c r="N1359" s="1"/>
      <c r="O1359" s="1"/>
      <c r="P1359" s="1"/>
      <c r="Q1359" s="95"/>
      <c r="R1359" s="5" t="b">
        <f t="shared" si="260"/>
        <v>0</v>
      </c>
    </row>
    <row r="1360" spans="1:18" s="4" customFormat="1" ht="15" hidden="1" customHeight="1" thickBot="1">
      <c r="A1360" s="64"/>
      <c r="B1360" s="7">
        <f t="shared" si="261"/>
        <v>134</v>
      </c>
      <c r="C1360" s="211"/>
      <c r="D1360" s="211"/>
      <c r="E1360" s="211"/>
      <c r="F1360" s="211"/>
      <c r="G1360" s="211"/>
      <c r="H1360" s="211"/>
      <c r="I1360" s="211"/>
      <c r="J1360" s="16"/>
      <c r="K1360" s="1"/>
      <c r="M1360" s="1"/>
      <c r="N1360" s="1"/>
      <c r="O1360" s="1"/>
      <c r="P1360" s="1"/>
      <c r="Q1360" s="95"/>
      <c r="R1360" s="5" t="b">
        <f t="shared" si="260"/>
        <v>0</v>
      </c>
    </row>
    <row r="1361" spans="1:18" s="4" customFormat="1" ht="15" hidden="1" customHeight="1" thickBot="1">
      <c r="A1361" s="64"/>
      <c r="B1361" s="7">
        <f t="shared" si="261"/>
        <v>135</v>
      </c>
      <c r="C1361" s="211"/>
      <c r="D1361" s="211"/>
      <c r="E1361" s="211"/>
      <c r="F1361" s="211"/>
      <c r="G1361" s="211"/>
      <c r="H1361" s="211"/>
      <c r="I1361" s="211"/>
      <c r="J1361" s="16"/>
      <c r="K1361" s="1"/>
      <c r="M1361" s="1"/>
      <c r="N1361" s="1"/>
      <c r="O1361" s="1"/>
      <c r="P1361" s="1"/>
      <c r="Q1361" s="95"/>
      <c r="R1361" s="5" t="b">
        <f t="shared" si="260"/>
        <v>0</v>
      </c>
    </row>
    <row r="1362" spans="1:18" s="4" customFormat="1" ht="15" hidden="1" customHeight="1" thickBot="1">
      <c r="A1362" s="64"/>
      <c r="B1362" s="7">
        <f t="shared" si="261"/>
        <v>136</v>
      </c>
      <c r="C1362" s="211"/>
      <c r="D1362" s="211"/>
      <c r="E1362" s="211"/>
      <c r="F1362" s="211"/>
      <c r="G1362" s="211"/>
      <c r="H1362" s="211"/>
      <c r="I1362" s="211"/>
      <c r="J1362" s="16"/>
      <c r="K1362" s="1"/>
      <c r="M1362" s="1"/>
      <c r="N1362" s="1"/>
      <c r="O1362" s="1"/>
      <c r="P1362" s="1"/>
      <c r="Q1362" s="95"/>
      <c r="R1362" s="5" t="b">
        <f t="shared" si="260"/>
        <v>0</v>
      </c>
    </row>
    <row r="1363" spans="1:18" s="4" customFormat="1" ht="15" hidden="1" customHeight="1" thickBot="1">
      <c r="A1363" s="64"/>
      <c r="B1363" s="7">
        <f t="shared" si="261"/>
        <v>137</v>
      </c>
      <c r="C1363" s="211"/>
      <c r="D1363" s="211"/>
      <c r="E1363" s="211"/>
      <c r="F1363" s="211"/>
      <c r="G1363" s="211"/>
      <c r="H1363" s="211"/>
      <c r="I1363" s="211"/>
      <c r="J1363" s="16"/>
      <c r="K1363" s="1"/>
      <c r="M1363" s="1"/>
      <c r="N1363" s="1"/>
      <c r="O1363" s="1"/>
      <c r="P1363" s="1"/>
      <c r="Q1363" s="95"/>
      <c r="R1363" s="5" t="b">
        <f t="shared" si="260"/>
        <v>0</v>
      </c>
    </row>
    <row r="1364" spans="1:18" s="4" customFormat="1" ht="15" hidden="1" customHeight="1" thickBot="1">
      <c r="A1364" s="64"/>
      <c r="B1364" s="7">
        <f t="shared" si="261"/>
        <v>138</v>
      </c>
      <c r="C1364" s="211"/>
      <c r="D1364" s="211"/>
      <c r="E1364" s="211"/>
      <c r="F1364" s="211"/>
      <c r="G1364" s="211"/>
      <c r="H1364" s="211"/>
      <c r="I1364" s="211"/>
      <c r="J1364" s="16"/>
      <c r="K1364" s="1"/>
      <c r="M1364" s="1"/>
      <c r="N1364" s="1"/>
      <c r="O1364" s="1"/>
      <c r="P1364" s="1"/>
      <c r="Q1364" s="95"/>
      <c r="R1364" s="5" t="b">
        <f t="shared" si="260"/>
        <v>0</v>
      </c>
    </row>
    <row r="1365" spans="1:18" s="4" customFormat="1" ht="15" hidden="1" customHeight="1" thickBot="1">
      <c r="A1365" s="64"/>
      <c r="B1365" s="7">
        <f t="shared" si="261"/>
        <v>139</v>
      </c>
      <c r="C1365" s="211"/>
      <c r="D1365" s="211"/>
      <c r="E1365" s="211"/>
      <c r="F1365" s="211"/>
      <c r="G1365" s="211"/>
      <c r="H1365" s="211"/>
      <c r="I1365" s="211"/>
      <c r="J1365" s="16"/>
      <c r="K1365" s="1"/>
      <c r="M1365" s="1"/>
      <c r="N1365" s="1"/>
      <c r="O1365" s="1"/>
      <c r="P1365" s="1"/>
      <c r="Q1365" s="95"/>
      <c r="R1365" s="5" t="b">
        <f t="shared" si="260"/>
        <v>0</v>
      </c>
    </row>
    <row r="1366" spans="1:18" s="4" customFormat="1" ht="15" hidden="1" customHeight="1" thickBot="1">
      <c r="A1366" s="64"/>
      <c r="B1366" s="7">
        <f t="shared" si="261"/>
        <v>140</v>
      </c>
      <c r="C1366" s="211"/>
      <c r="D1366" s="211"/>
      <c r="E1366" s="211"/>
      <c r="F1366" s="211"/>
      <c r="G1366" s="211"/>
      <c r="H1366" s="211"/>
      <c r="I1366" s="211"/>
      <c r="J1366" s="16"/>
      <c r="K1366" s="1"/>
      <c r="M1366" s="1"/>
      <c r="N1366" s="1"/>
      <c r="O1366" s="1"/>
      <c r="P1366" s="1"/>
      <c r="Q1366" s="95"/>
      <c r="R1366" s="5" t="b">
        <f t="shared" si="260"/>
        <v>0</v>
      </c>
    </row>
    <row r="1367" spans="1:18" s="4" customFormat="1" ht="15" hidden="1" customHeight="1" thickBot="1">
      <c r="A1367" s="64"/>
      <c r="B1367" s="7">
        <f t="shared" si="261"/>
        <v>141</v>
      </c>
      <c r="C1367" s="211"/>
      <c r="D1367" s="211"/>
      <c r="E1367" s="211"/>
      <c r="F1367" s="211"/>
      <c r="G1367" s="211"/>
      <c r="H1367" s="211"/>
      <c r="I1367" s="211"/>
      <c r="J1367" s="16"/>
      <c r="K1367" s="1"/>
      <c r="M1367" s="1"/>
      <c r="N1367" s="1"/>
      <c r="O1367" s="1"/>
      <c r="P1367" s="1"/>
      <c r="Q1367" s="95"/>
      <c r="R1367" s="5" t="b">
        <f t="shared" si="260"/>
        <v>0</v>
      </c>
    </row>
    <row r="1368" spans="1:18" s="4" customFormat="1" ht="15" hidden="1" customHeight="1" thickBot="1">
      <c r="A1368" s="64"/>
      <c r="B1368" s="7">
        <f t="shared" si="261"/>
        <v>142</v>
      </c>
      <c r="C1368" s="211"/>
      <c r="D1368" s="211"/>
      <c r="E1368" s="211"/>
      <c r="F1368" s="211"/>
      <c r="G1368" s="211"/>
      <c r="H1368" s="211"/>
      <c r="I1368" s="211"/>
      <c r="J1368" s="16"/>
      <c r="K1368" s="1"/>
      <c r="M1368" s="1"/>
      <c r="N1368" s="1"/>
      <c r="O1368" s="1"/>
      <c r="P1368" s="1"/>
      <c r="Q1368" s="95"/>
      <c r="R1368" s="5" t="b">
        <f t="shared" si="260"/>
        <v>0</v>
      </c>
    </row>
    <row r="1369" spans="1:18" s="4" customFormat="1" ht="15" hidden="1" customHeight="1" thickBot="1">
      <c r="A1369" s="64"/>
      <c r="B1369" s="7">
        <f t="shared" si="261"/>
        <v>143</v>
      </c>
      <c r="C1369" s="211"/>
      <c r="D1369" s="211"/>
      <c r="E1369" s="211"/>
      <c r="F1369" s="211"/>
      <c r="G1369" s="211"/>
      <c r="H1369" s="211"/>
      <c r="I1369" s="211"/>
      <c r="J1369" s="16"/>
      <c r="K1369" s="1"/>
      <c r="M1369" s="1"/>
      <c r="N1369" s="1"/>
      <c r="O1369" s="1"/>
      <c r="P1369" s="1"/>
      <c r="Q1369" s="95"/>
      <c r="R1369" s="5" t="b">
        <f t="shared" si="260"/>
        <v>0</v>
      </c>
    </row>
    <row r="1370" spans="1:18" s="4" customFormat="1" ht="15" hidden="1" customHeight="1" thickBot="1">
      <c r="A1370" s="64"/>
      <c r="B1370" s="7">
        <f t="shared" si="261"/>
        <v>144</v>
      </c>
      <c r="C1370" s="211"/>
      <c r="D1370" s="211"/>
      <c r="E1370" s="211"/>
      <c r="F1370" s="211"/>
      <c r="G1370" s="211"/>
      <c r="H1370" s="211"/>
      <c r="I1370" s="211"/>
      <c r="J1370" s="16"/>
      <c r="K1370" s="1"/>
      <c r="M1370" s="1"/>
      <c r="N1370" s="1"/>
      <c r="O1370" s="1"/>
      <c r="P1370" s="1"/>
      <c r="Q1370" s="95"/>
      <c r="R1370" s="5" t="b">
        <f t="shared" si="260"/>
        <v>0</v>
      </c>
    </row>
    <row r="1371" spans="1:18" s="4" customFormat="1" ht="15" hidden="1" customHeight="1" thickBot="1">
      <c r="A1371" s="64"/>
      <c r="B1371" s="7">
        <f t="shared" si="261"/>
        <v>145</v>
      </c>
      <c r="C1371" s="211"/>
      <c r="D1371" s="211"/>
      <c r="E1371" s="211"/>
      <c r="F1371" s="211"/>
      <c r="G1371" s="211"/>
      <c r="H1371" s="211"/>
      <c r="I1371" s="211"/>
      <c r="J1371" s="16"/>
      <c r="K1371" s="1"/>
      <c r="M1371" s="1"/>
      <c r="N1371" s="1"/>
      <c r="O1371" s="1"/>
      <c r="P1371" s="1"/>
      <c r="Q1371" s="95"/>
      <c r="R1371" s="5" t="b">
        <f t="shared" si="260"/>
        <v>0</v>
      </c>
    </row>
    <row r="1372" spans="1:18" s="4" customFormat="1" ht="15" hidden="1" customHeight="1" thickBot="1">
      <c r="A1372" s="64"/>
      <c r="B1372" s="7">
        <f t="shared" si="261"/>
        <v>146</v>
      </c>
      <c r="C1372" s="211"/>
      <c r="D1372" s="211"/>
      <c r="E1372" s="211"/>
      <c r="F1372" s="211"/>
      <c r="G1372" s="211"/>
      <c r="H1372" s="211"/>
      <c r="I1372" s="211"/>
      <c r="J1372" s="16"/>
      <c r="K1372" s="1"/>
      <c r="M1372" s="1"/>
      <c r="N1372" s="1"/>
      <c r="O1372" s="1"/>
      <c r="P1372" s="1"/>
      <c r="Q1372" s="95"/>
      <c r="R1372" s="5" t="b">
        <f t="shared" si="260"/>
        <v>0</v>
      </c>
    </row>
    <row r="1373" spans="1:18" s="4" customFormat="1" ht="15" hidden="1" customHeight="1" thickBot="1">
      <c r="A1373" s="64"/>
      <c r="B1373" s="7">
        <f t="shared" si="261"/>
        <v>147</v>
      </c>
      <c r="C1373" s="211"/>
      <c r="D1373" s="211"/>
      <c r="E1373" s="211"/>
      <c r="F1373" s="211"/>
      <c r="G1373" s="211"/>
      <c r="H1373" s="211"/>
      <c r="I1373" s="211"/>
      <c r="J1373" s="16"/>
      <c r="K1373" s="1"/>
      <c r="M1373" s="1"/>
      <c r="N1373" s="1"/>
      <c r="O1373" s="1"/>
      <c r="P1373" s="1"/>
      <c r="Q1373" s="95"/>
      <c r="R1373" s="5" t="b">
        <f t="shared" si="260"/>
        <v>0</v>
      </c>
    </row>
    <row r="1374" spans="1:18" s="4" customFormat="1" ht="15" hidden="1" customHeight="1" thickBot="1">
      <c r="A1374" s="64"/>
      <c r="B1374" s="7">
        <f t="shared" si="261"/>
        <v>148</v>
      </c>
      <c r="C1374" s="211"/>
      <c r="D1374" s="211"/>
      <c r="E1374" s="211"/>
      <c r="F1374" s="211"/>
      <c r="G1374" s="211"/>
      <c r="H1374" s="211"/>
      <c r="I1374" s="211"/>
      <c r="J1374" s="16"/>
      <c r="K1374" s="1"/>
      <c r="M1374" s="1"/>
      <c r="N1374" s="1"/>
      <c r="O1374" s="1"/>
      <c r="P1374" s="1"/>
      <c r="Q1374" s="95"/>
      <c r="R1374" s="5" t="b">
        <f t="shared" si="260"/>
        <v>0</v>
      </c>
    </row>
    <row r="1375" spans="1:18" s="4" customFormat="1" ht="15" hidden="1" customHeight="1" thickBot="1">
      <c r="A1375" s="64"/>
      <c r="B1375" s="7">
        <f t="shared" si="261"/>
        <v>149</v>
      </c>
      <c r="C1375" s="211"/>
      <c r="D1375" s="211"/>
      <c r="E1375" s="211"/>
      <c r="F1375" s="211"/>
      <c r="G1375" s="211"/>
      <c r="H1375" s="211"/>
      <c r="I1375" s="211"/>
      <c r="J1375" s="16"/>
      <c r="K1375" s="1"/>
      <c r="M1375" s="1"/>
      <c r="N1375" s="1"/>
      <c r="O1375" s="1"/>
      <c r="P1375" s="1"/>
      <c r="Q1375" s="95"/>
      <c r="R1375" s="5" t="b">
        <f t="shared" si="260"/>
        <v>0</v>
      </c>
    </row>
    <row r="1376" spans="1:18" s="4" customFormat="1" ht="15" hidden="1" customHeight="1" thickBot="1">
      <c r="A1376" s="64"/>
      <c r="B1376" s="7">
        <f t="shared" si="261"/>
        <v>150</v>
      </c>
      <c r="C1376" s="211"/>
      <c r="D1376" s="211"/>
      <c r="E1376" s="211"/>
      <c r="F1376" s="211"/>
      <c r="G1376" s="211"/>
      <c r="H1376" s="211"/>
      <c r="I1376" s="211"/>
      <c r="J1376" s="16"/>
      <c r="K1376" s="1"/>
      <c r="M1376" s="1"/>
      <c r="N1376" s="1"/>
      <c r="O1376" s="1"/>
      <c r="P1376" s="1"/>
      <c r="Q1376" s="95"/>
      <c r="R1376" s="5" t="b">
        <f t="shared" si="260"/>
        <v>0</v>
      </c>
    </row>
    <row r="1377" spans="1:18" s="4" customFormat="1" ht="15" hidden="1" customHeight="1" thickBot="1">
      <c r="A1377" s="64"/>
      <c r="B1377" s="7">
        <f t="shared" si="261"/>
        <v>151</v>
      </c>
      <c r="C1377" s="211"/>
      <c r="D1377" s="211"/>
      <c r="E1377" s="211"/>
      <c r="F1377" s="211"/>
      <c r="G1377" s="211"/>
      <c r="H1377" s="211"/>
      <c r="I1377" s="211"/>
      <c r="J1377" s="16"/>
      <c r="K1377" s="1"/>
      <c r="M1377" s="1"/>
      <c r="N1377" s="1"/>
      <c r="O1377" s="1"/>
      <c r="P1377" s="1"/>
      <c r="Q1377" s="95"/>
      <c r="R1377" s="5" t="b">
        <f t="shared" si="260"/>
        <v>0</v>
      </c>
    </row>
    <row r="1378" spans="1:18" s="4" customFormat="1" ht="15" hidden="1" customHeight="1" thickBot="1">
      <c r="A1378" s="64"/>
      <c r="B1378" s="7">
        <f t="shared" si="261"/>
        <v>152</v>
      </c>
      <c r="C1378" s="211"/>
      <c r="D1378" s="211"/>
      <c r="E1378" s="211"/>
      <c r="F1378" s="211"/>
      <c r="G1378" s="211"/>
      <c r="H1378" s="211"/>
      <c r="I1378" s="211"/>
      <c r="J1378" s="16"/>
      <c r="K1378" s="1"/>
      <c r="M1378" s="1"/>
      <c r="N1378" s="1"/>
      <c r="O1378" s="1"/>
      <c r="P1378" s="1"/>
      <c r="Q1378" s="95"/>
      <c r="R1378" s="5" t="b">
        <f t="shared" si="260"/>
        <v>0</v>
      </c>
    </row>
    <row r="1379" spans="1:18" s="4" customFormat="1" ht="15" hidden="1" customHeight="1" thickBot="1">
      <c r="A1379" s="64"/>
      <c r="B1379" s="7">
        <f t="shared" si="261"/>
        <v>153</v>
      </c>
      <c r="C1379" s="211"/>
      <c r="D1379" s="211"/>
      <c r="E1379" s="211"/>
      <c r="F1379" s="211"/>
      <c r="G1379" s="211"/>
      <c r="H1379" s="211"/>
      <c r="I1379" s="211"/>
      <c r="J1379" s="16"/>
      <c r="K1379" s="1"/>
      <c r="M1379" s="1"/>
      <c r="N1379" s="1"/>
      <c r="O1379" s="1"/>
      <c r="P1379" s="1"/>
      <c r="Q1379" s="95"/>
      <c r="R1379" s="5" t="b">
        <f t="shared" si="260"/>
        <v>0</v>
      </c>
    </row>
    <row r="1380" spans="1:18" s="4" customFormat="1" ht="15" hidden="1" customHeight="1" thickBot="1">
      <c r="A1380" s="64"/>
      <c r="B1380" s="7">
        <f t="shared" si="261"/>
        <v>154</v>
      </c>
      <c r="C1380" s="211"/>
      <c r="D1380" s="211"/>
      <c r="E1380" s="211"/>
      <c r="F1380" s="211"/>
      <c r="G1380" s="211"/>
      <c r="H1380" s="211"/>
      <c r="I1380" s="211"/>
      <c r="J1380" s="16"/>
      <c r="K1380" s="1"/>
      <c r="M1380" s="1"/>
      <c r="N1380" s="1"/>
      <c r="O1380" s="1"/>
      <c r="P1380" s="1"/>
      <c r="Q1380" s="95"/>
      <c r="R1380" s="5" t="b">
        <f t="shared" si="260"/>
        <v>0</v>
      </c>
    </row>
    <row r="1381" spans="1:18" s="4" customFormat="1" ht="15" hidden="1" customHeight="1" thickBot="1">
      <c r="A1381" s="64"/>
      <c r="B1381" s="7">
        <f t="shared" si="261"/>
        <v>155</v>
      </c>
      <c r="C1381" s="211"/>
      <c r="D1381" s="211"/>
      <c r="E1381" s="211"/>
      <c r="F1381" s="211"/>
      <c r="G1381" s="211"/>
      <c r="H1381" s="211"/>
      <c r="I1381" s="211"/>
      <c r="J1381" s="16"/>
      <c r="K1381" s="1"/>
      <c r="M1381" s="1"/>
      <c r="N1381" s="1"/>
      <c r="O1381" s="1"/>
      <c r="P1381" s="1"/>
      <c r="Q1381" s="95"/>
      <c r="R1381" s="5" t="b">
        <f t="shared" si="260"/>
        <v>0</v>
      </c>
    </row>
    <row r="1382" spans="1:18" s="4" customFormat="1" ht="15" hidden="1" customHeight="1" thickBot="1">
      <c r="A1382" s="64"/>
      <c r="B1382" s="7">
        <f t="shared" si="261"/>
        <v>156</v>
      </c>
      <c r="C1382" s="211"/>
      <c r="D1382" s="211"/>
      <c r="E1382" s="211"/>
      <c r="F1382" s="211"/>
      <c r="G1382" s="211"/>
      <c r="H1382" s="211"/>
      <c r="I1382" s="211"/>
      <c r="J1382" s="16"/>
      <c r="K1382" s="1"/>
      <c r="M1382" s="1"/>
      <c r="N1382" s="1"/>
      <c r="O1382" s="1"/>
      <c r="P1382" s="1"/>
      <c r="Q1382" s="95"/>
      <c r="R1382" s="5" t="b">
        <f t="shared" si="260"/>
        <v>0</v>
      </c>
    </row>
    <row r="1383" spans="1:18" s="4" customFormat="1" ht="15" hidden="1" customHeight="1" thickBot="1">
      <c r="A1383" s="64"/>
      <c r="B1383" s="7">
        <f t="shared" si="261"/>
        <v>157</v>
      </c>
      <c r="C1383" s="211"/>
      <c r="D1383" s="211"/>
      <c r="E1383" s="211"/>
      <c r="F1383" s="211"/>
      <c r="G1383" s="211"/>
      <c r="H1383" s="211"/>
      <c r="I1383" s="211"/>
      <c r="J1383" s="16"/>
      <c r="K1383" s="1"/>
      <c r="M1383" s="1"/>
      <c r="N1383" s="1"/>
      <c r="O1383" s="1"/>
      <c r="P1383" s="1"/>
      <c r="Q1383" s="95"/>
      <c r="R1383" s="5" t="b">
        <f t="shared" si="260"/>
        <v>0</v>
      </c>
    </row>
    <row r="1384" spans="1:18" s="4" customFormat="1" ht="15" hidden="1" customHeight="1" thickBot="1">
      <c r="A1384" s="64"/>
      <c r="B1384" s="7">
        <f t="shared" si="261"/>
        <v>158</v>
      </c>
      <c r="C1384" s="211"/>
      <c r="D1384" s="211"/>
      <c r="E1384" s="211"/>
      <c r="F1384" s="211"/>
      <c r="G1384" s="211"/>
      <c r="H1384" s="211"/>
      <c r="I1384" s="211"/>
      <c r="J1384" s="16"/>
      <c r="K1384" s="1"/>
      <c r="M1384" s="1"/>
      <c r="N1384" s="1"/>
      <c r="O1384" s="1"/>
      <c r="P1384" s="1"/>
      <c r="Q1384" s="95"/>
      <c r="R1384" s="5" t="b">
        <f t="shared" si="260"/>
        <v>0</v>
      </c>
    </row>
    <row r="1385" spans="1:18" s="4" customFormat="1" ht="15" hidden="1" customHeight="1" thickBot="1">
      <c r="A1385" s="64"/>
      <c r="B1385" s="7">
        <f t="shared" si="261"/>
        <v>159</v>
      </c>
      <c r="C1385" s="211"/>
      <c r="D1385" s="211"/>
      <c r="E1385" s="211"/>
      <c r="F1385" s="211"/>
      <c r="G1385" s="211"/>
      <c r="H1385" s="211"/>
      <c r="I1385" s="211"/>
      <c r="J1385" s="16"/>
      <c r="K1385" s="1"/>
      <c r="M1385" s="1"/>
      <c r="N1385" s="1"/>
      <c r="O1385" s="1"/>
      <c r="P1385" s="1"/>
      <c r="Q1385" s="95"/>
      <c r="R1385" s="5" t="b">
        <f t="shared" si="260"/>
        <v>0</v>
      </c>
    </row>
    <row r="1386" spans="1:18" s="4" customFormat="1" ht="15" hidden="1" customHeight="1" thickBot="1">
      <c r="A1386" s="64"/>
      <c r="B1386" s="7">
        <f t="shared" si="261"/>
        <v>160</v>
      </c>
      <c r="C1386" s="211"/>
      <c r="D1386" s="211"/>
      <c r="E1386" s="211"/>
      <c r="F1386" s="211"/>
      <c r="G1386" s="211"/>
      <c r="H1386" s="211"/>
      <c r="I1386" s="211"/>
      <c r="J1386" s="16"/>
      <c r="K1386" s="1"/>
      <c r="M1386" s="1"/>
      <c r="N1386" s="1"/>
      <c r="O1386" s="1"/>
      <c r="P1386" s="1"/>
      <c r="Q1386" s="95"/>
      <c r="R1386" s="5" t="b">
        <f t="shared" si="260"/>
        <v>0</v>
      </c>
    </row>
    <row r="1387" spans="1:18" s="4" customFormat="1" ht="15" hidden="1" customHeight="1" thickBot="1">
      <c r="A1387" s="64"/>
      <c r="B1387" s="7">
        <f t="shared" si="261"/>
        <v>161</v>
      </c>
      <c r="C1387" s="211"/>
      <c r="D1387" s="211"/>
      <c r="E1387" s="211"/>
      <c r="F1387" s="211"/>
      <c r="G1387" s="211"/>
      <c r="H1387" s="211"/>
      <c r="I1387" s="211"/>
      <c r="J1387" s="16"/>
      <c r="K1387" s="1"/>
      <c r="M1387" s="1"/>
      <c r="N1387" s="1"/>
      <c r="O1387" s="1"/>
      <c r="P1387" s="1"/>
      <c r="Q1387" s="95"/>
      <c r="R1387" s="5" t="b">
        <f t="shared" si="260"/>
        <v>0</v>
      </c>
    </row>
    <row r="1388" spans="1:18" s="4" customFormat="1" ht="15" hidden="1" customHeight="1" thickBot="1">
      <c r="A1388" s="64"/>
      <c r="B1388" s="7">
        <f t="shared" si="261"/>
        <v>162</v>
      </c>
      <c r="C1388" s="211"/>
      <c r="D1388" s="211"/>
      <c r="E1388" s="211"/>
      <c r="F1388" s="211"/>
      <c r="G1388" s="211"/>
      <c r="H1388" s="211"/>
      <c r="I1388" s="211"/>
      <c r="J1388" s="16"/>
      <c r="K1388" s="1"/>
      <c r="M1388" s="1"/>
      <c r="N1388" s="1"/>
      <c r="O1388" s="1"/>
      <c r="P1388" s="1"/>
      <c r="Q1388" s="95"/>
      <c r="R1388" s="5" t="b">
        <f t="shared" si="260"/>
        <v>0</v>
      </c>
    </row>
    <row r="1389" spans="1:18" s="4" customFormat="1" ht="15" hidden="1" customHeight="1" thickBot="1">
      <c r="A1389" s="64"/>
      <c r="B1389" s="7">
        <f t="shared" si="261"/>
        <v>163</v>
      </c>
      <c r="C1389" s="211"/>
      <c r="D1389" s="211"/>
      <c r="E1389" s="211"/>
      <c r="F1389" s="211"/>
      <c r="G1389" s="211"/>
      <c r="H1389" s="211"/>
      <c r="I1389" s="211"/>
      <c r="J1389" s="16"/>
      <c r="K1389" s="1"/>
      <c r="M1389" s="1"/>
      <c r="N1389" s="1"/>
      <c r="O1389" s="1"/>
      <c r="P1389" s="1"/>
      <c r="Q1389" s="95"/>
      <c r="R1389" s="5" t="b">
        <f t="shared" si="260"/>
        <v>0</v>
      </c>
    </row>
    <row r="1390" spans="1:18" s="4" customFormat="1" ht="15" hidden="1" customHeight="1" thickBot="1">
      <c r="A1390" s="64"/>
      <c r="B1390" s="7">
        <f t="shared" si="261"/>
        <v>164</v>
      </c>
      <c r="C1390" s="211"/>
      <c r="D1390" s="211"/>
      <c r="E1390" s="211"/>
      <c r="F1390" s="211"/>
      <c r="G1390" s="211"/>
      <c r="H1390" s="211"/>
      <c r="I1390" s="211"/>
      <c r="J1390" s="16"/>
      <c r="K1390" s="1"/>
      <c r="M1390" s="1"/>
      <c r="N1390" s="1"/>
      <c r="O1390" s="1"/>
      <c r="P1390" s="1"/>
      <c r="Q1390" s="95"/>
      <c r="R1390" s="5" t="b">
        <f t="shared" si="260"/>
        <v>0</v>
      </c>
    </row>
    <row r="1391" spans="1:18" s="4" customFormat="1" ht="15" hidden="1" customHeight="1" thickBot="1">
      <c r="A1391" s="64"/>
      <c r="B1391" s="7">
        <f t="shared" si="261"/>
        <v>165</v>
      </c>
      <c r="C1391" s="211"/>
      <c r="D1391" s="211"/>
      <c r="E1391" s="211"/>
      <c r="F1391" s="211"/>
      <c r="G1391" s="211"/>
      <c r="H1391" s="211"/>
      <c r="I1391" s="211"/>
      <c r="J1391" s="16"/>
      <c r="K1391" s="1"/>
      <c r="M1391" s="1"/>
      <c r="N1391" s="1"/>
      <c r="O1391" s="1"/>
      <c r="P1391" s="1"/>
      <c r="Q1391" s="95"/>
      <c r="R1391" s="5" t="b">
        <f t="shared" ref="R1391:R1454" si="262">IF(O1391&gt;89.9999999999999%,"PAMA")</f>
        <v>0</v>
      </c>
    </row>
    <row r="1392" spans="1:18" s="4" customFormat="1" ht="15" hidden="1" customHeight="1" thickBot="1">
      <c r="A1392" s="64"/>
      <c r="B1392" s="7">
        <f t="shared" si="261"/>
        <v>166</v>
      </c>
      <c r="C1392" s="211"/>
      <c r="D1392" s="211"/>
      <c r="E1392" s="211"/>
      <c r="F1392" s="211"/>
      <c r="G1392" s="211"/>
      <c r="H1392" s="211"/>
      <c r="I1392" s="211"/>
      <c r="J1392" s="16"/>
      <c r="K1392" s="1"/>
      <c r="M1392" s="1"/>
      <c r="N1392" s="1"/>
      <c r="O1392" s="1"/>
      <c r="P1392" s="1"/>
      <c r="Q1392" s="95"/>
      <c r="R1392" s="5" t="b">
        <f t="shared" si="262"/>
        <v>0</v>
      </c>
    </row>
    <row r="1393" spans="1:18" s="4" customFormat="1" ht="15" hidden="1" customHeight="1" thickBot="1">
      <c r="A1393" s="64"/>
      <c r="B1393" s="7">
        <f t="shared" si="261"/>
        <v>167</v>
      </c>
      <c r="C1393" s="211"/>
      <c r="D1393" s="211"/>
      <c r="E1393" s="211"/>
      <c r="F1393" s="211"/>
      <c r="G1393" s="211"/>
      <c r="H1393" s="211"/>
      <c r="I1393" s="211"/>
      <c r="J1393" s="16"/>
      <c r="K1393" s="1"/>
      <c r="M1393" s="1"/>
      <c r="N1393" s="1"/>
      <c r="O1393" s="1"/>
      <c r="P1393" s="1"/>
      <c r="Q1393" s="95"/>
      <c r="R1393" s="5" t="b">
        <f t="shared" si="262"/>
        <v>0</v>
      </c>
    </row>
    <row r="1394" spans="1:18" s="4" customFormat="1" ht="15" hidden="1" customHeight="1" thickBot="1">
      <c r="A1394" s="64"/>
      <c r="B1394" s="7">
        <f t="shared" si="261"/>
        <v>168</v>
      </c>
      <c r="C1394" s="211"/>
      <c r="D1394" s="211"/>
      <c r="E1394" s="211"/>
      <c r="F1394" s="211"/>
      <c r="G1394" s="211"/>
      <c r="H1394" s="211"/>
      <c r="I1394" s="211"/>
      <c r="J1394" s="16"/>
      <c r="K1394" s="1"/>
      <c r="M1394" s="1"/>
      <c r="N1394" s="1"/>
      <c r="O1394" s="1"/>
      <c r="P1394" s="1"/>
      <c r="Q1394" s="95"/>
      <c r="R1394" s="5" t="b">
        <f t="shared" si="262"/>
        <v>0</v>
      </c>
    </row>
    <row r="1395" spans="1:18" s="4" customFormat="1" ht="15" hidden="1" customHeight="1" thickBot="1">
      <c r="A1395" s="64"/>
      <c r="B1395" s="7">
        <f t="shared" si="261"/>
        <v>169</v>
      </c>
      <c r="C1395" s="211"/>
      <c r="D1395" s="211"/>
      <c r="E1395" s="211"/>
      <c r="F1395" s="211"/>
      <c r="G1395" s="211"/>
      <c r="H1395" s="211"/>
      <c r="I1395" s="211"/>
      <c r="J1395" s="16"/>
      <c r="K1395" s="1"/>
      <c r="M1395" s="1"/>
      <c r="N1395" s="1"/>
      <c r="O1395" s="1"/>
      <c r="P1395" s="1"/>
      <c r="Q1395" s="95"/>
      <c r="R1395" s="5" t="b">
        <f t="shared" si="262"/>
        <v>0</v>
      </c>
    </row>
    <row r="1396" spans="1:18" s="4" customFormat="1" ht="15" hidden="1" customHeight="1" thickBot="1">
      <c r="A1396" s="64"/>
      <c r="B1396" s="7">
        <f t="shared" si="261"/>
        <v>170</v>
      </c>
      <c r="C1396" s="211"/>
      <c r="D1396" s="211"/>
      <c r="E1396" s="211"/>
      <c r="F1396" s="211"/>
      <c r="G1396" s="211"/>
      <c r="H1396" s="211"/>
      <c r="I1396" s="211"/>
      <c r="J1396" s="16"/>
      <c r="K1396" s="1"/>
      <c r="M1396" s="1"/>
      <c r="N1396" s="1"/>
      <c r="O1396" s="1"/>
      <c r="P1396" s="1"/>
      <c r="Q1396" s="95"/>
      <c r="R1396" s="5" t="b">
        <f t="shared" si="262"/>
        <v>0</v>
      </c>
    </row>
    <row r="1397" spans="1:18" s="4" customFormat="1" ht="15" hidden="1" customHeight="1" thickBot="1">
      <c r="A1397" s="64"/>
      <c r="B1397" s="7">
        <f t="shared" si="261"/>
        <v>171</v>
      </c>
      <c r="C1397" s="211"/>
      <c r="D1397" s="211"/>
      <c r="E1397" s="211"/>
      <c r="F1397" s="211"/>
      <c r="G1397" s="211"/>
      <c r="H1397" s="211"/>
      <c r="I1397" s="211"/>
      <c r="J1397" s="16"/>
      <c r="K1397" s="1"/>
      <c r="M1397" s="1"/>
      <c r="N1397" s="1"/>
      <c r="O1397" s="1"/>
      <c r="P1397" s="1"/>
      <c r="Q1397" s="95"/>
      <c r="R1397" s="5" t="b">
        <f t="shared" si="262"/>
        <v>0</v>
      </c>
    </row>
    <row r="1398" spans="1:18" s="4" customFormat="1" ht="15" hidden="1" customHeight="1" thickBot="1">
      <c r="A1398" s="64"/>
      <c r="B1398" s="7">
        <f t="shared" si="261"/>
        <v>172</v>
      </c>
      <c r="C1398" s="211"/>
      <c r="D1398" s="211"/>
      <c r="E1398" s="211"/>
      <c r="F1398" s="211"/>
      <c r="G1398" s="211"/>
      <c r="H1398" s="211"/>
      <c r="I1398" s="211"/>
      <c r="J1398" s="16"/>
      <c r="K1398" s="1"/>
      <c r="M1398" s="1"/>
      <c r="N1398" s="1"/>
      <c r="O1398" s="1"/>
      <c r="P1398" s="1"/>
      <c r="Q1398" s="95"/>
      <c r="R1398" s="5" t="b">
        <f t="shared" si="262"/>
        <v>0</v>
      </c>
    </row>
    <row r="1399" spans="1:18" s="4" customFormat="1" ht="15" hidden="1" customHeight="1" thickBot="1">
      <c r="A1399" s="64"/>
      <c r="B1399" s="7">
        <f t="shared" si="261"/>
        <v>173</v>
      </c>
      <c r="C1399" s="211"/>
      <c r="D1399" s="211"/>
      <c r="E1399" s="211"/>
      <c r="F1399" s="211"/>
      <c r="G1399" s="211"/>
      <c r="H1399" s="211"/>
      <c r="I1399" s="211"/>
      <c r="J1399" s="16"/>
      <c r="K1399" s="1"/>
      <c r="M1399" s="1"/>
      <c r="N1399" s="1"/>
      <c r="O1399" s="1"/>
      <c r="P1399" s="1"/>
      <c r="Q1399" s="95"/>
      <c r="R1399" s="5" t="b">
        <f t="shared" si="262"/>
        <v>0</v>
      </c>
    </row>
    <row r="1400" spans="1:18" s="4" customFormat="1" ht="15" hidden="1" customHeight="1" thickBot="1">
      <c r="A1400" s="64"/>
      <c r="B1400" s="7">
        <f t="shared" si="261"/>
        <v>174</v>
      </c>
      <c r="C1400" s="211"/>
      <c r="D1400" s="211"/>
      <c r="E1400" s="211"/>
      <c r="F1400" s="211"/>
      <c r="G1400" s="211"/>
      <c r="H1400" s="211"/>
      <c r="I1400" s="211"/>
      <c r="J1400" s="16"/>
      <c r="K1400" s="1"/>
      <c r="M1400" s="1"/>
      <c r="N1400" s="1"/>
      <c r="O1400" s="1"/>
      <c r="P1400" s="1"/>
      <c r="Q1400" s="95"/>
      <c r="R1400" s="5" t="b">
        <f t="shared" si="262"/>
        <v>0</v>
      </c>
    </row>
    <row r="1401" spans="1:18" s="4" customFormat="1" ht="15" hidden="1" customHeight="1" thickBot="1">
      <c r="A1401" s="64"/>
      <c r="B1401" s="7">
        <f t="shared" si="261"/>
        <v>175</v>
      </c>
      <c r="C1401" s="211"/>
      <c r="D1401" s="211"/>
      <c r="E1401" s="211"/>
      <c r="F1401" s="211"/>
      <c r="G1401" s="211"/>
      <c r="H1401" s="211"/>
      <c r="I1401" s="211"/>
      <c r="J1401" s="16"/>
      <c r="K1401" s="1"/>
      <c r="M1401" s="1"/>
      <c r="N1401" s="1"/>
      <c r="O1401" s="1"/>
      <c r="P1401" s="1"/>
      <c r="Q1401" s="95"/>
      <c r="R1401" s="5" t="b">
        <f t="shared" si="262"/>
        <v>0</v>
      </c>
    </row>
    <row r="1402" spans="1:18" s="4" customFormat="1" ht="15" hidden="1" customHeight="1" thickBot="1">
      <c r="A1402" s="64"/>
      <c r="B1402" s="7">
        <f t="shared" si="261"/>
        <v>176</v>
      </c>
      <c r="C1402" s="211"/>
      <c r="D1402" s="211"/>
      <c r="E1402" s="211"/>
      <c r="F1402" s="211"/>
      <c r="G1402" s="211"/>
      <c r="H1402" s="211"/>
      <c r="I1402" s="211"/>
      <c r="J1402" s="16"/>
      <c r="K1402" s="1"/>
      <c r="M1402" s="1"/>
      <c r="N1402" s="1"/>
      <c r="O1402" s="1"/>
      <c r="P1402" s="1"/>
      <c r="Q1402" s="95"/>
      <c r="R1402" s="5" t="b">
        <f t="shared" si="262"/>
        <v>0</v>
      </c>
    </row>
    <row r="1403" spans="1:18" s="4" customFormat="1" ht="15" hidden="1" customHeight="1" thickBot="1">
      <c r="A1403" s="64"/>
      <c r="B1403" s="7">
        <f t="shared" si="261"/>
        <v>177</v>
      </c>
      <c r="C1403" s="211"/>
      <c r="D1403" s="211"/>
      <c r="E1403" s="211"/>
      <c r="F1403" s="211"/>
      <c r="G1403" s="211"/>
      <c r="H1403" s="211"/>
      <c r="I1403" s="211"/>
      <c r="J1403" s="16"/>
      <c r="K1403" s="1"/>
      <c r="M1403" s="1"/>
      <c r="N1403" s="1"/>
      <c r="O1403" s="1"/>
      <c r="P1403" s="1"/>
      <c r="Q1403" s="95"/>
      <c r="R1403" s="5" t="b">
        <f t="shared" si="262"/>
        <v>0</v>
      </c>
    </row>
    <row r="1404" spans="1:18" s="4" customFormat="1" ht="15" hidden="1" customHeight="1" thickBot="1">
      <c r="A1404" s="64"/>
      <c r="B1404" s="7">
        <f t="shared" si="261"/>
        <v>178</v>
      </c>
      <c r="C1404" s="211"/>
      <c r="D1404" s="211"/>
      <c r="E1404" s="211"/>
      <c r="F1404" s="211"/>
      <c r="G1404" s="211"/>
      <c r="H1404" s="211"/>
      <c r="I1404" s="211"/>
      <c r="J1404" s="16"/>
      <c r="K1404" s="1"/>
      <c r="M1404" s="1"/>
      <c r="N1404" s="1"/>
      <c r="O1404" s="1"/>
      <c r="P1404" s="1"/>
      <c r="Q1404" s="95"/>
      <c r="R1404" s="5" t="b">
        <f t="shared" si="262"/>
        <v>0</v>
      </c>
    </row>
    <row r="1405" spans="1:18" s="4" customFormat="1" ht="15" hidden="1" customHeight="1" thickBot="1">
      <c r="A1405" s="64"/>
      <c r="B1405" s="7">
        <f t="shared" si="261"/>
        <v>179</v>
      </c>
      <c r="C1405" s="211"/>
      <c r="D1405" s="211"/>
      <c r="E1405" s="211"/>
      <c r="F1405" s="211"/>
      <c r="G1405" s="211"/>
      <c r="H1405" s="211"/>
      <c r="I1405" s="211"/>
      <c r="J1405" s="16"/>
      <c r="K1405" s="1"/>
      <c r="M1405" s="1"/>
      <c r="N1405" s="1"/>
      <c r="O1405" s="1"/>
      <c r="P1405" s="1"/>
      <c r="Q1405" s="95"/>
      <c r="R1405" s="5" t="b">
        <f t="shared" si="262"/>
        <v>0</v>
      </c>
    </row>
    <row r="1406" spans="1:18" s="4" customFormat="1" ht="15" hidden="1" customHeight="1" thickBot="1">
      <c r="A1406" s="64"/>
      <c r="B1406" s="7">
        <f t="shared" si="261"/>
        <v>180</v>
      </c>
      <c r="C1406" s="211"/>
      <c r="D1406" s="211"/>
      <c r="E1406" s="211"/>
      <c r="F1406" s="211"/>
      <c r="G1406" s="211"/>
      <c r="H1406" s="211"/>
      <c r="I1406" s="211"/>
      <c r="J1406" s="16"/>
      <c r="K1406" s="1"/>
      <c r="M1406" s="1"/>
      <c r="N1406" s="1"/>
      <c r="O1406" s="1"/>
      <c r="P1406" s="1"/>
      <c r="Q1406" s="95"/>
      <c r="R1406" s="5" t="b">
        <f t="shared" si="262"/>
        <v>0</v>
      </c>
    </row>
    <row r="1407" spans="1:18" s="4" customFormat="1" ht="15" hidden="1" customHeight="1" thickBot="1">
      <c r="A1407" s="64"/>
      <c r="B1407" s="7">
        <f t="shared" si="261"/>
        <v>181</v>
      </c>
      <c r="C1407" s="211"/>
      <c r="D1407" s="211"/>
      <c r="E1407" s="211"/>
      <c r="F1407" s="211"/>
      <c r="G1407" s="211"/>
      <c r="H1407" s="211"/>
      <c r="I1407" s="211"/>
      <c r="J1407" s="16"/>
      <c r="K1407" s="1"/>
      <c r="M1407" s="1"/>
      <c r="N1407" s="1"/>
      <c r="O1407" s="1"/>
      <c r="P1407" s="1"/>
      <c r="Q1407" s="95"/>
      <c r="R1407" s="5" t="b">
        <f t="shared" si="262"/>
        <v>0</v>
      </c>
    </row>
    <row r="1408" spans="1:18" s="4" customFormat="1" ht="15" hidden="1" customHeight="1" thickBot="1">
      <c r="A1408" s="64"/>
      <c r="B1408" s="7">
        <f t="shared" si="261"/>
        <v>182</v>
      </c>
      <c r="C1408" s="211"/>
      <c r="D1408" s="211"/>
      <c r="E1408" s="211"/>
      <c r="F1408" s="211"/>
      <c r="G1408" s="211"/>
      <c r="H1408" s="211"/>
      <c r="I1408" s="211"/>
      <c r="J1408" s="16"/>
      <c r="K1408" s="1"/>
      <c r="M1408" s="1"/>
      <c r="N1408" s="1"/>
      <c r="O1408" s="1"/>
      <c r="P1408" s="1"/>
      <c r="Q1408" s="95"/>
      <c r="R1408" s="5" t="b">
        <f t="shared" si="262"/>
        <v>0</v>
      </c>
    </row>
    <row r="1409" spans="1:18" s="4" customFormat="1" ht="15" hidden="1" customHeight="1" thickBot="1">
      <c r="A1409" s="64"/>
      <c r="B1409" s="7">
        <f t="shared" si="261"/>
        <v>183</v>
      </c>
      <c r="C1409" s="211"/>
      <c r="D1409" s="211"/>
      <c r="E1409" s="211"/>
      <c r="F1409" s="211"/>
      <c r="G1409" s="211"/>
      <c r="H1409" s="211"/>
      <c r="I1409" s="211"/>
      <c r="J1409" s="16"/>
      <c r="K1409" s="1"/>
      <c r="M1409" s="1"/>
      <c r="N1409" s="1"/>
      <c r="O1409" s="1"/>
      <c r="P1409" s="1"/>
      <c r="Q1409" s="95"/>
      <c r="R1409" s="5" t="b">
        <f t="shared" si="262"/>
        <v>0</v>
      </c>
    </row>
    <row r="1410" spans="1:18" s="4" customFormat="1" ht="15" hidden="1" customHeight="1" thickBot="1">
      <c r="A1410" s="64"/>
      <c r="B1410" s="7">
        <f t="shared" si="261"/>
        <v>184</v>
      </c>
      <c r="C1410" s="211"/>
      <c r="D1410" s="211"/>
      <c r="E1410" s="211"/>
      <c r="F1410" s="211"/>
      <c r="G1410" s="211"/>
      <c r="H1410" s="211"/>
      <c r="I1410" s="211"/>
      <c r="J1410" s="16"/>
      <c r="K1410" s="1"/>
      <c r="M1410" s="1"/>
      <c r="N1410" s="1"/>
      <c r="O1410" s="1"/>
      <c r="P1410" s="1"/>
      <c r="Q1410" s="95"/>
      <c r="R1410" s="5" t="b">
        <f t="shared" si="262"/>
        <v>0</v>
      </c>
    </row>
    <row r="1411" spans="1:18" s="4" customFormat="1" ht="15" hidden="1" customHeight="1" thickBot="1">
      <c r="A1411" s="64"/>
      <c r="B1411" s="7">
        <f t="shared" si="261"/>
        <v>185</v>
      </c>
      <c r="C1411" s="211"/>
      <c r="D1411" s="211"/>
      <c r="E1411" s="211"/>
      <c r="F1411" s="211"/>
      <c r="G1411" s="211"/>
      <c r="H1411" s="211"/>
      <c r="I1411" s="211"/>
      <c r="J1411" s="16"/>
      <c r="K1411" s="1"/>
      <c r="M1411" s="1"/>
      <c r="N1411" s="1"/>
      <c r="O1411" s="1"/>
      <c r="P1411" s="1"/>
      <c r="Q1411" s="95"/>
      <c r="R1411" s="5" t="b">
        <f t="shared" si="262"/>
        <v>0</v>
      </c>
    </row>
    <row r="1412" spans="1:18" s="4" customFormat="1" ht="15" hidden="1" customHeight="1" thickBot="1">
      <c r="A1412" s="64"/>
      <c r="B1412" s="7">
        <f t="shared" si="261"/>
        <v>186</v>
      </c>
      <c r="C1412" s="211"/>
      <c r="D1412" s="211"/>
      <c r="E1412" s="211"/>
      <c r="F1412" s="211"/>
      <c r="G1412" s="211"/>
      <c r="H1412" s="211"/>
      <c r="I1412" s="211"/>
      <c r="J1412" s="16"/>
      <c r="K1412" s="1"/>
      <c r="M1412" s="1"/>
      <c r="N1412" s="1"/>
      <c r="O1412" s="1"/>
      <c r="P1412" s="1"/>
      <c r="Q1412" s="95"/>
      <c r="R1412" s="5" t="b">
        <f t="shared" si="262"/>
        <v>0</v>
      </c>
    </row>
    <row r="1413" spans="1:18" s="4" customFormat="1" ht="15" hidden="1" customHeight="1" thickBot="1">
      <c r="A1413" s="64"/>
      <c r="B1413" s="7">
        <f t="shared" si="261"/>
        <v>187</v>
      </c>
      <c r="C1413" s="211"/>
      <c r="D1413" s="211"/>
      <c r="E1413" s="211"/>
      <c r="F1413" s="211"/>
      <c r="G1413" s="211"/>
      <c r="H1413" s="211"/>
      <c r="I1413" s="211"/>
      <c r="J1413" s="16"/>
      <c r="K1413" s="1"/>
      <c r="M1413" s="1"/>
      <c r="N1413" s="1"/>
      <c r="O1413" s="1"/>
      <c r="P1413" s="1"/>
      <c r="Q1413" s="95"/>
      <c r="R1413" s="5" t="b">
        <f t="shared" si="262"/>
        <v>0</v>
      </c>
    </row>
    <row r="1414" spans="1:18" s="4" customFormat="1" ht="15" hidden="1" customHeight="1" thickBot="1">
      <c r="A1414" s="64"/>
      <c r="B1414" s="7">
        <f t="shared" si="261"/>
        <v>188</v>
      </c>
      <c r="C1414" s="211"/>
      <c r="D1414" s="211"/>
      <c r="E1414" s="211"/>
      <c r="F1414" s="211"/>
      <c r="G1414" s="211"/>
      <c r="H1414" s="211"/>
      <c r="I1414" s="211"/>
      <c r="J1414" s="16"/>
      <c r="K1414" s="1"/>
      <c r="M1414" s="1"/>
      <c r="N1414" s="1"/>
      <c r="O1414" s="1"/>
      <c r="P1414" s="1"/>
      <c r="Q1414" s="95"/>
      <c r="R1414" s="5" t="b">
        <f t="shared" si="262"/>
        <v>0</v>
      </c>
    </row>
    <row r="1415" spans="1:18" s="4" customFormat="1" ht="15" hidden="1" customHeight="1" thickBot="1">
      <c r="A1415" s="64"/>
      <c r="B1415" s="7">
        <f t="shared" si="261"/>
        <v>189</v>
      </c>
      <c r="C1415" s="211"/>
      <c r="D1415" s="211"/>
      <c r="E1415" s="211"/>
      <c r="F1415" s="211"/>
      <c r="G1415" s="211"/>
      <c r="H1415" s="211"/>
      <c r="I1415" s="211"/>
      <c r="J1415" s="16"/>
      <c r="K1415" s="1"/>
      <c r="M1415" s="1"/>
      <c r="N1415" s="1"/>
      <c r="O1415" s="1"/>
      <c r="P1415" s="1"/>
      <c r="Q1415" s="95"/>
      <c r="R1415" s="5" t="b">
        <f t="shared" si="262"/>
        <v>0</v>
      </c>
    </row>
    <row r="1416" spans="1:18" s="4" customFormat="1" ht="15" hidden="1" customHeight="1" thickBot="1">
      <c r="A1416" s="64"/>
      <c r="B1416" s="7">
        <f t="shared" si="261"/>
        <v>190</v>
      </c>
      <c r="C1416" s="211"/>
      <c r="D1416" s="211"/>
      <c r="E1416" s="211"/>
      <c r="F1416" s="211"/>
      <c r="G1416" s="211"/>
      <c r="H1416" s="211"/>
      <c r="I1416" s="211"/>
      <c r="J1416" s="16"/>
      <c r="K1416" s="1"/>
      <c r="M1416" s="1"/>
      <c r="N1416" s="1"/>
      <c r="O1416" s="1"/>
      <c r="P1416" s="1"/>
      <c r="Q1416" s="95"/>
      <c r="R1416" s="5" t="b">
        <f t="shared" si="262"/>
        <v>0</v>
      </c>
    </row>
    <row r="1417" spans="1:18" s="4" customFormat="1" ht="15" hidden="1" customHeight="1" thickBot="1">
      <c r="A1417" s="64"/>
      <c r="B1417" s="7">
        <f t="shared" si="261"/>
        <v>191</v>
      </c>
      <c r="C1417" s="211"/>
      <c r="D1417" s="211"/>
      <c r="E1417" s="211"/>
      <c r="F1417" s="211"/>
      <c r="G1417" s="211"/>
      <c r="H1417" s="211"/>
      <c r="I1417" s="211"/>
      <c r="J1417" s="16"/>
      <c r="K1417" s="1"/>
      <c r="M1417" s="1"/>
      <c r="N1417" s="1"/>
      <c r="O1417" s="1"/>
      <c r="P1417" s="1"/>
      <c r="Q1417" s="95"/>
      <c r="R1417" s="5" t="b">
        <f t="shared" si="262"/>
        <v>0</v>
      </c>
    </row>
    <row r="1418" spans="1:18" s="4" customFormat="1" ht="15" hidden="1" customHeight="1" thickBot="1">
      <c r="A1418" s="64"/>
      <c r="B1418" s="7">
        <f t="shared" si="261"/>
        <v>192</v>
      </c>
      <c r="C1418" s="211"/>
      <c r="D1418" s="211"/>
      <c r="E1418" s="211"/>
      <c r="F1418" s="211"/>
      <c r="G1418" s="211"/>
      <c r="H1418" s="211"/>
      <c r="I1418" s="211"/>
      <c r="J1418" s="16"/>
      <c r="K1418" s="1"/>
      <c r="M1418" s="1"/>
      <c r="N1418" s="1"/>
      <c r="O1418" s="1"/>
      <c r="P1418" s="1"/>
      <c r="Q1418" s="95"/>
      <c r="R1418" s="5" t="b">
        <f t="shared" si="262"/>
        <v>0</v>
      </c>
    </row>
    <row r="1419" spans="1:18" s="4" customFormat="1" ht="15" hidden="1" customHeight="1" thickBot="1">
      <c r="A1419" s="64"/>
      <c r="B1419" s="7">
        <f t="shared" si="261"/>
        <v>193</v>
      </c>
      <c r="C1419" s="211"/>
      <c r="D1419" s="211"/>
      <c r="E1419" s="211"/>
      <c r="F1419" s="211"/>
      <c r="G1419" s="211"/>
      <c r="H1419" s="211"/>
      <c r="I1419" s="211"/>
      <c r="J1419" s="16"/>
      <c r="K1419" s="1"/>
      <c r="M1419" s="1"/>
      <c r="N1419" s="1"/>
      <c r="O1419" s="1"/>
      <c r="P1419" s="1"/>
      <c r="Q1419" s="95"/>
      <c r="R1419" s="5" t="b">
        <f t="shared" si="262"/>
        <v>0</v>
      </c>
    </row>
    <row r="1420" spans="1:18" s="4" customFormat="1" ht="15" hidden="1" customHeight="1" thickBot="1">
      <c r="A1420" s="64"/>
      <c r="B1420" s="7">
        <f t="shared" si="261"/>
        <v>194</v>
      </c>
      <c r="C1420" s="211"/>
      <c r="D1420" s="211"/>
      <c r="E1420" s="211"/>
      <c r="F1420" s="211"/>
      <c r="G1420" s="211"/>
      <c r="H1420" s="211"/>
      <c r="I1420" s="211"/>
      <c r="J1420" s="16"/>
      <c r="K1420" s="1"/>
      <c r="M1420" s="1"/>
      <c r="N1420" s="1"/>
      <c r="O1420" s="1"/>
      <c r="P1420" s="1"/>
      <c r="Q1420" s="95"/>
      <c r="R1420" s="5" t="b">
        <f t="shared" si="262"/>
        <v>0</v>
      </c>
    </row>
    <row r="1421" spans="1:18" s="4" customFormat="1" ht="15" hidden="1" customHeight="1" thickBot="1">
      <c r="A1421" s="64"/>
      <c r="B1421" s="7">
        <f t="shared" ref="B1421:B1484" si="263">B1420+1</f>
        <v>195</v>
      </c>
      <c r="C1421" s="211"/>
      <c r="D1421" s="211"/>
      <c r="E1421" s="211"/>
      <c r="F1421" s="211"/>
      <c r="G1421" s="211"/>
      <c r="H1421" s="211"/>
      <c r="I1421" s="211"/>
      <c r="J1421" s="16"/>
      <c r="K1421" s="1"/>
      <c r="M1421" s="1"/>
      <c r="N1421" s="1"/>
      <c r="O1421" s="1"/>
      <c r="P1421" s="1"/>
      <c r="Q1421" s="95"/>
      <c r="R1421" s="5" t="b">
        <f t="shared" si="262"/>
        <v>0</v>
      </c>
    </row>
    <row r="1422" spans="1:18" s="4" customFormat="1" ht="15" hidden="1" customHeight="1" thickBot="1">
      <c r="A1422" s="64"/>
      <c r="B1422" s="7">
        <f t="shared" si="263"/>
        <v>196</v>
      </c>
      <c r="C1422" s="211"/>
      <c r="D1422" s="211"/>
      <c r="E1422" s="211"/>
      <c r="F1422" s="211"/>
      <c r="G1422" s="211"/>
      <c r="H1422" s="211"/>
      <c r="I1422" s="211"/>
      <c r="J1422" s="16"/>
      <c r="K1422" s="1"/>
      <c r="M1422" s="1"/>
      <c r="N1422" s="1"/>
      <c r="O1422" s="1"/>
      <c r="P1422" s="1"/>
      <c r="Q1422" s="95"/>
      <c r="R1422" s="5" t="b">
        <f t="shared" si="262"/>
        <v>0</v>
      </c>
    </row>
    <row r="1423" spans="1:18" s="4" customFormat="1" ht="15" hidden="1" customHeight="1" thickBot="1">
      <c r="A1423" s="64"/>
      <c r="B1423" s="7">
        <f t="shared" si="263"/>
        <v>197</v>
      </c>
      <c r="C1423" s="211"/>
      <c r="D1423" s="211"/>
      <c r="E1423" s="211"/>
      <c r="F1423" s="211"/>
      <c r="G1423" s="211"/>
      <c r="H1423" s="211"/>
      <c r="I1423" s="211"/>
      <c r="J1423" s="16"/>
      <c r="K1423" s="1"/>
      <c r="M1423" s="1"/>
      <c r="N1423" s="1"/>
      <c r="O1423" s="1"/>
      <c r="P1423" s="1"/>
      <c r="Q1423" s="95"/>
      <c r="R1423" s="5" t="b">
        <f t="shared" si="262"/>
        <v>0</v>
      </c>
    </row>
    <row r="1424" spans="1:18" s="4" customFormat="1" ht="15" hidden="1" customHeight="1" thickBot="1">
      <c r="A1424" s="64"/>
      <c r="B1424" s="7">
        <f t="shared" si="263"/>
        <v>198</v>
      </c>
      <c r="C1424" s="211"/>
      <c r="D1424" s="211"/>
      <c r="E1424" s="211"/>
      <c r="F1424" s="211"/>
      <c r="G1424" s="211"/>
      <c r="H1424" s="211"/>
      <c r="I1424" s="211"/>
      <c r="J1424" s="16"/>
      <c r="K1424" s="1"/>
      <c r="M1424" s="1"/>
      <c r="N1424" s="1"/>
      <c r="O1424" s="1"/>
      <c r="P1424" s="1"/>
      <c r="Q1424" s="95"/>
      <c r="R1424" s="5" t="b">
        <f t="shared" si="262"/>
        <v>0</v>
      </c>
    </row>
    <row r="1425" spans="1:18" s="4" customFormat="1" ht="15" hidden="1" customHeight="1" thickBot="1">
      <c r="A1425" s="64"/>
      <c r="B1425" s="7">
        <f t="shared" si="263"/>
        <v>199</v>
      </c>
      <c r="C1425" s="211"/>
      <c r="D1425" s="211"/>
      <c r="E1425" s="211"/>
      <c r="F1425" s="211"/>
      <c r="G1425" s="211"/>
      <c r="H1425" s="211"/>
      <c r="I1425" s="211"/>
      <c r="J1425" s="16"/>
      <c r="K1425" s="1"/>
      <c r="M1425" s="1"/>
      <c r="N1425" s="1"/>
      <c r="O1425" s="1"/>
      <c r="P1425" s="1"/>
      <c r="Q1425" s="95"/>
      <c r="R1425" s="5" t="b">
        <f t="shared" si="262"/>
        <v>0</v>
      </c>
    </row>
    <row r="1426" spans="1:18" s="4" customFormat="1" ht="15" hidden="1" customHeight="1" thickBot="1">
      <c r="A1426" s="64"/>
      <c r="B1426" s="7">
        <f t="shared" si="263"/>
        <v>200</v>
      </c>
      <c r="C1426" s="211"/>
      <c r="D1426" s="211"/>
      <c r="E1426" s="211"/>
      <c r="F1426" s="211"/>
      <c r="G1426" s="211"/>
      <c r="H1426" s="211"/>
      <c r="I1426" s="211"/>
      <c r="J1426" s="16"/>
      <c r="K1426" s="1"/>
      <c r="M1426" s="1"/>
      <c r="N1426" s="1"/>
      <c r="O1426" s="1"/>
      <c r="P1426" s="1"/>
      <c r="Q1426" s="95"/>
      <c r="R1426" s="5" t="b">
        <f t="shared" si="262"/>
        <v>0</v>
      </c>
    </row>
    <row r="1427" spans="1:18" s="4" customFormat="1" ht="15" hidden="1" customHeight="1" thickBot="1">
      <c r="A1427" s="64"/>
      <c r="B1427" s="7">
        <f t="shared" si="263"/>
        <v>201</v>
      </c>
      <c r="C1427" s="211"/>
      <c r="D1427" s="211"/>
      <c r="E1427" s="211"/>
      <c r="F1427" s="211"/>
      <c r="G1427" s="211"/>
      <c r="H1427" s="211"/>
      <c r="I1427" s="211"/>
      <c r="J1427" s="16"/>
      <c r="K1427" s="1"/>
      <c r="M1427" s="1"/>
      <c r="N1427" s="1"/>
      <c r="O1427" s="1"/>
      <c r="P1427" s="1"/>
      <c r="Q1427" s="95"/>
      <c r="R1427" s="5" t="b">
        <f t="shared" si="262"/>
        <v>0</v>
      </c>
    </row>
    <row r="1428" spans="1:18" s="4" customFormat="1" ht="15" hidden="1" customHeight="1" thickBot="1">
      <c r="A1428" s="64"/>
      <c r="B1428" s="7">
        <f t="shared" si="263"/>
        <v>202</v>
      </c>
      <c r="C1428" s="211"/>
      <c r="D1428" s="211"/>
      <c r="E1428" s="211"/>
      <c r="F1428" s="211"/>
      <c r="G1428" s="211"/>
      <c r="H1428" s="211"/>
      <c r="I1428" s="211"/>
      <c r="J1428" s="16"/>
      <c r="K1428" s="1"/>
      <c r="M1428" s="1"/>
      <c r="N1428" s="1"/>
      <c r="O1428" s="1"/>
      <c r="P1428" s="1"/>
      <c r="Q1428" s="95"/>
      <c r="R1428" s="5" t="b">
        <f t="shared" si="262"/>
        <v>0</v>
      </c>
    </row>
    <row r="1429" spans="1:18" s="4" customFormat="1" ht="15" hidden="1" customHeight="1" thickBot="1">
      <c r="A1429" s="64"/>
      <c r="B1429" s="7">
        <f t="shared" si="263"/>
        <v>203</v>
      </c>
      <c r="C1429" s="211"/>
      <c r="D1429" s="211"/>
      <c r="E1429" s="211"/>
      <c r="F1429" s="211"/>
      <c r="G1429" s="211"/>
      <c r="H1429" s="211"/>
      <c r="I1429" s="211"/>
      <c r="J1429" s="16"/>
      <c r="K1429" s="1"/>
      <c r="M1429" s="1"/>
      <c r="N1429" s="1"/>
      <c r="O1429" s="1"/>
      <c r="P1429" s="1"/>
      <c r="Q1429" s="95"/>
      <c r="R1429" s="5" t="b">
        <f t="shared" si="262"/>
        <v>0</v>
      </c>
    </row>
    <row r="1430" spans="1:18" s="4" customFormat="1" ht="15" hidden="1" customHeight="1" thickBot="1">
      <c r="A1430" s="64"/>
      <c r="B1430" s="7">
        <f t="shared" si="263"/>
        <v>204</v>
      </c>
      <c r="C1430" s="211"/>
      <c r="D1430" s="211"/>
      <c r="E1430" s="211"/>
      <c r="F1430" s="211"/>
      <c r="G1430" s="211"/>
      <c r="H1430" s="211"/>
      <c r="I1430" s="211"/>
      <c r="J1430" s="16"/>
      <c r="K1430" s="1"/>
      <c r="M1430" s="1"/>
      <c r="N1430" s="1"/>
      <c r="O1430" s="1"/>
      <c r="P1430" s="1"/>
      <c r="Q1430" s="95"/>
      <c r="R1430" s="5" t="b">
        <f t="shared" si="262"/>
        <v>0</v>
      </c>
    </row>
    <row r="1431" spans="1:18" s="4" customFormat="1" ht="15" hidden="1" customHeight="1" thickBot="1">
      <c r="A1431" s="64"/>
      <c r="B1431" s="7">
        <f t="shared" si="263"/>
        <v>205</v>
      </c>
      <c r="C1431" s="211"/>
      <c r="D1431" s="211"/>
      <c r="E1431" s="211"/>
      <c r="F1431" s="211"/>
      <c r="G1431" s="211"/>
      <c r="H1431" s="211"/>
      <c r="I1431" s="211"/>
      <c r="J1431" s="16"/>
      <c r="K1431" s="1"/>
      <c r="M1431" s="1"/>
      <c r="N1431" s="1"/>
      <c r="O1431" s="1"/>
      <c r="P1431" s="1"/>
      <c r="Q1431" s="95"/>
      <c r="R1431" s="5" t="b">
        <f t="shared" si="262"/>
        <v>0</v>
      </c>
    </row>
    <row r="1432" spans="1:18" s="4" customFormat="1" ht="15" hidden="1" customHeight="1" thickBot="1">
      <c r="A1432" s="64"/>
      <c r="B1432" s="7">
        <f t="shared" si="263"/>
        <v>206</v>
      </c>
      <c r="C1432" s="211"/>
      <c r="D1432" s="211"/>
      <c r="E1432" s="211"/>
      <c r="F1432" s="211"/>
      <c r="G1432" s="211"/>
      <c r="H1432" s="211"/>
      <c r="I1432" s="211"/>
      <c r="J1432" s="16"/>
      <c r="K1432" s="1"/>
      <c r="M1432" s="1"/>
      <c r="N1432" s="1"/>
      <c r="O1432" s="1"/>
      <c r="P1432" s="1"/>
      <c r="Q1432" s="95"/>
      <c r="R1432" s="5" t="b">
        <f t="shared" si="262"/>
        <v>0</v>
      </c>
    </row>
    <row r="1433" spans="1:18" s="4" customFormat="1" ht="15" hidden="1" customHeight="1" thickBot="1">
      <c r="A1433" s="64"/>
      <c r="B1433" s="7">
        <f t="shared" si="263"/>
        <v>207</v>
      </c>
      <c r="C1433" s="211"/>
      <c r="D1433" s="211"/>
      <c r="E1433" s="211"/>
      <c r="F1433" s="211"/>
      <c r="G1433" s="211"/>
      <c r="H1433" s="211"/>
      <c r="I1433" s="211"/>
      <c r="J1433" s="16"/>
      <c r="K1433" s="1"/>
      <c r="M1433" s="1"/>
      <c r="N1433" s="1"/>
      <c r="O1433" s="1"/>
      <c r="P1433" s="1"/>
      <c r="Q1433" s="95"/>
      <c r="R1433" s="5" t="b">
        <f t="shared" si="262"/>
        <v>0</v>
      </c>
    </row>
    <row r="1434" spans="1:18" s="4" customFormat="1" ht="15" hidden="1" customHeight="1" thickBot="1">
      <c r="A1434" s="64"/>
      <c r="B1434" s="7">
        <f t="shared" si="263"/>
        <v>208</v>
      </c>
      <c r="C1434" s="211"/>
      <c r="D1434" s="211"/>
      <c r="E1434" s="211"/>
      <c r="F1434" s="211"/>
      <c r="G1434" s="211"/>
      <c r="H1434" s="211"/>
      <c r="I1434" s="211"/>
      <c r="J1434" s="16"/>
      <c r="K1434" s="1"/>
      <c r="M1434" s="1"/>
      <c r="N1434" s="1"/>
      <c r="O1434" s="1"/>
      <c r="P1434" s="1"/>
      <c r="Q1434" s="95"/>
      <c r="R1434" s="5" t="b">
        <f t="shared" si="262"/>
        <v>0</v>
      </c>
    </row>
    <row r="1435" spans="1:18" s="4" customFormat="1" ht="15" hidden="1" customHeight="1" thickBot="1">
      <c r="A1435" s="64"/>
      <c r="B1435" s="7">
        <f t="shared" si="263"/>
        <v>209</v>
      </c>
      <c r="C1435" s="211"/>
      <c r="D1435" s="211"/>
      <c r="E1435" s="211"/>
      <c r="F1435" s="211"/>
      <c r="G1435" s="211"/>
      <c r="H1435" s="211"/>
      <c r="I1435" s="211"/>
      <c r="J1435" s="16"/>
      <c r="K1435" s="1"/>
      <c r="M1435" s="1"/>
      <c r="N1435" s="1"/>
      <c r="O1435" s="1"/>
      <c r="P1435" s="1"/>
      <c r="Q1435" s="95"/>
      <c r="R1435" s="5" t="b">
        <f t="shared" si="262"/>
        <v>0</v>
      </c>
    </row>
    <row r="1436" spans="1:18" s="4" customFormat="1" ht="15" hidden="1" customHeight="1" thickBot="1">
      <c r="A1436" s="64"/>
      <c r="B1436" s="7">
        <f t="shared" si="263"/>
        <v>210</v>
      </c>
      <c r="C1436" s="211"/>
      <c r="D1436" s="211"/>
      <c r="E1436" s="211"/>
      <c r="F1436" s="211"/>
      <c r="G1436" s="211"/>
      <c r="H1436" s="211"/>
      <c r="I1436" s="211"/>
      <c r="J1436" s="16"/>
      <c r="K1436" s="1"/>
      <c r="M1436" s="1"/>
      <c r="N1436" s="1"/>
      <c r="O1436" s="1"/>
      <c r="P1436" s="1"/>
      <c r="Q1436" s="95"/>
      <c r="R1436" s="5" t="b">
        <f t="shared" si="262"/>
        <v>0</v>
      </c>
    </row>
    <row r="1437" spans="1:18" s="4" customFormat="1" ht="15" hidden="1" customHeight="1" thickBot="1">
      <c r="A1437" s="64"/>
      <c r="B1437" s="7">
        <f t="shared" si="263"/>
        <v>211</v>
      </c>
      <c r="C1437" s="211"/>
      <c r="D1437" s="211"/>
      <c r="E1437" s="211"/>
      <c r="F1437" s="211"/>
      <c r="G1437" s="211"/>
      <c r="H1437" s="211"/>
      <c r="I1437" s="211"/>
      <c r="J1437" s="16"/>
      <c r="K1437" s="1"/>
      <c r="M1437" s="1"/>
      <c r="N1437" s="1"/>
      <c r="O1437" s="1"/>
      <c r="P1437" s="1"/>
      <c r="Q1437" s="95"/>
      <c r="R1437" s="5" t="b">
        <f t="shared" si="262"/>
        <v>0</v>
      </c>
    </row>
    <row r="1438" spans="1:18" s="4" customFormat="1" ht="15" hidden="1" customHeight="1" thickBot="1">
      <c r="A1438" s="64"/>
      <c r="B1438" s="7">
        <f t="shared" si="263"/>
        <v>212</v>
      </c>
      <c r="C1438" s="211"/>
      <c r="D1438" s="211"/>
      <c r="E1438" s="211"/>
      <c r="F1438" s="211"/>
      <c r="G1438" s="211"/>
      <c r="H1438" s="211"/>
      <c r="I1438" s="211"/>
      <c r="J1438" s="16"/>
      <c r="K1438" s="1"/>
      <c r="M1438" s="1"/>
      <c r="N1438" s="1"/>
      <c r="O1438" s="1"/>
      <c r="P1438" s="1"/>
      <c r="Q1438" s="95"/>
      <c r="R1438" s="5" t="b">
        <f t="shared" si="262"/>
        <v>0</v>
      </c>
    </row>
    <row r="1439" spans="1:18" s="4" customFormat="1" ht="15" hidden="1" customHeight="1" thickBot="1">
      <c r="A1439" s="64"/>
      <c r="B1439" s="7">
        <f t="shared" si="263"/>
        <v>213</v>
      </c>
      <c r="C1439" s="211"/>
      <c r="D1439" s="211"/>
      <c r="E1439" s="211"/>
      <c r="F1439" s="211"/>
      <c r="G1439" s="211"/>
      <c r="H1439" s="211"/>
      <c r="I1439" s="211"/>
      <c r="J1439" s="16"/>
      <c r="K1439" s="1"/>
      <c r="M1439" s="1"/>
      <c r="N1439" s="1"/>
      <c r="O1439" s="1"/>
      <c r="P1439" s="1"/>
      <c r="Q1439" s="95"/>
      <c r="R1439" s="5" t="b">
        <f t="shared" si="262"/>
        <v>0</v>
      </c>
    </row>
    <row r="1440" spans="1:18" s="4" customFormat="1" ht="15" hidden="1" customHeight="1" thickBot="1">
      <c r="A1440" s="64"/>
      <c r="B1440" s="7">
        <f t="shared" si="263"/>
        <v>214</v>
      </c>
      <c r="C1440" s="211"/>
      <c r="D1440" s="211"/>
      <c r="E1440" s="211"/>
      <c r="F1440" s="211"/>
      <c r="G1440" s="211"/>
      <c r="H1440" s="211"/>
      <c r="I1440" s="211"/>
      <c r="J1440" s="16"/>
      <c r="K1440" s="1"/>
      <c r="M1440" s="1"/>
      <c r="N1440" s="1"/>
      <c r="O1440" s="1"/>
      <c r="P1440" s="1"/>
      <c r="Q1440" s="95"/>
      <c r="R1440" s="5" t="b">
        <f t="shared" si="262"/>
        <v>0</v>
      </c>
    </row>
    <row r="1441" spans="1:18" s="4" customFormat="1" ht="15" hidden="1" customHeight="1" thickBot="1">
      <c r="A1441" s="64"/>
      <c r="B1441" s="7">
        <f t="shared" si="263"/>
        <v>215</v>
      </c>
      <c r="C1441" s="211"/>
      <c r="D1441" s="211"/>
      <c r="E1441" s="211"/>
      <c r="F1441" s="211"/>
      <c r="G1441" s="211"/>
      <c r="H1441" s="211"/>
      <c r="I1441" s="211"/>
      <c r="J1441" s="16"/>
      <c r="K1441" s="1"/>
      <c r="M1441" s="1"/>
      <c r="N1441" s="1"/>
      <c r="O1441" s="1"/>
      <c r="P1441" s="1"/>
      <c r="Q1441" s="95"/>
      <c r="R1441" s="5" t="b">
        <f t="shared" si="262"/>
        <v>0</v>
      </c>
    </row>
    <row r="1442" spans="1:18" s="4" customFormat="1" ht="15" hidden="1" customHeight="1" thickBot="1">
      <c r="A1442" s="64"/>
      <c r="B1442" s="7">
        <f t="shared" si="263"/>
        <v>216</v>
      </c>
      <c r="C1442" s="211"/>
      <c r="D1442" s="211"/>
      <c r="E1442" s="211"/>
      <c r="F1442" s="211"/>
      <c r="G1442" s="211"/>
      <c r="H1442" s="211"/>
      <c r="I1442" s="211"/>
      <c r="J1442" s="16"/>
      <c r="K1442" s="1"/>
      <c r="M1442" s="1"/>
      <c r="N1442" s="1"/>
      <c r="O1442" s="1"/>
      <c r="P1442" s="1"/>
      <c r="Q1442" s="95"/>
      <c r="R1442" s="5" t="b">
        <f t="shared" si="262"/>
        <v>0</v>
      </c>
    </row>
    <row r="1443" spans="1:18" s="4" customFormat="1" ht="15" hidden="1" customHeight="1" thickBot="1">
      <c r="A1443" s="64"/>
      <c r="B1443" s="7">
        <f t="shared" si="263"/>
        <v>217</v>
      </c>
      <c r="C1443" s="211"/>
      <c r="D1443" s="211"/>
      <c r="E1443" s="211"/>
      <c r="F1443" s="211"/>
      <c r="G1443" s="211"/>
      <c r="H1443" s="211"/>
      <c r="I1443" s="211"/>
      <c r="J1443" s="16"/>
      <c r="K1443" s="1"/>
      <c r="M1443" s="1"/>
      <c r="N1443" s="1"/>
      <c r="O1443" s="1"/>
      <c r="P1443" s="1"/>
      <c r="Q1443" s="95"/>
      <c r="R1443" s="5" t="b">
        <f t="shared" si="262"/>
        <v>0</v>
      </c>
    </row>
    <row r="1444" spans="1:18" s="4" customFormat="1" ht="15" hidden="1" customHeight="1" thickBot="1">
      <c r="A1444" s="64"/>
      <c r="B1444" s="7">
        <f t="shared" si="263"/>
        <v>218</v>
      </c>
      <c r="C1444" s="211"/>
      <c r="D1444" s="211"/>
      <c r="E1444" s="211"/>
      <c r="F1444" s="211"/>
      <c r="G1444" s="211"/>
      <c r="H1444" s="211"/>
      <c r="I1444" s="211"/>
      <c r="J1444" s="16"/>
      <c r="K1444" s="1"/>
      <c r="M1444" s="1"/>
      <c r="N1444" s="1"/>
      <c r="O1444" s="1"/>
      <c r="P1444" s="1"/>
      <c r="Q1444" s="95"/>
      <c r="R1444" s="5" t="b">
        <f t="shared" si="262"/>
        <v>0</v>
      </c>
    </row>
    <row r="1445" spans="1:18" s="4" customFormat="1" ht="15" hidden="1" customHeight="1" thickBot="1">
      <c r="A1445" s="64"/>
      <c r="B1445" s="7">
        <f t="shared" si="263"/>
        <v>219</v>
      </c>
      <c r="C1445" s="211"/>
      <c r="D1445" s="211"/>
      <c r="E1445" s="211"/>
      <c r="F1445" s="211"/>
      <c r="G1445" s="211"/>
      <c r="H1445" s="211"/>
      <c r="I1445" s="211"/>
      <c r="J1445" s="16"/>
      <c r="K1445" s="1"/>
      <c r="M1445" s="1"/>
      <c r="N1445" s="1"/>
      <c r="O1445" s="1"/>
      <c r="P1445" s="1"/>
      <c r="Q1445" s="95"/>
      <c r="R1445" s="5" t="b">
        <f t="shared" si="262"/>
        <v>0</v>
      </c>
    </row>
    <row r="1446" spans="1:18" s="4" customFormat="1" ht="15" hidden="1" customHeight="1" thickBot="1">
      <c r="A1446" s="64"/>
      <c r="B1446" s="7">
        <f t="shared" si="263"/>
        <v>220</v>
      </c>
      <c r="C1446" s="211"/>
      <c r="D1446" s="211"/>
      <c r="E1446" s="211"/>
      <c r="F1446" s="211"/>
      <c r="G1446" s="211"/>
      <c r="H1446" s="211"/>
      <c r="I1446" s="211"/>
      <c r="J1446" s="16"/>
      <c r="K1446" s="1"/>
      <c r="M1446" s="1"/>
      <c r="N1446" s="1"/>
      <c r="O1446" s="1"/>
      <c r="P1446" s="1"/>
      <c r="Q1446" s="95"/>
      <c r="R1446" s="5" t="b">
        <f t="shared" si="262"/>
        <v>0</v>
      </c>
    </row>
    <row r="1447" spans="1:18" s="4" customFormat="1" ht="15" hidden="1" customHeight="1" thickBot="1">
      <c r="A1447" s="64"/>
      <c r="B1447" s="7">
        <f t="shared" si="263"/>
        <v>221</v>
      </c>
      <c r="C1447" s="211"/>
      <c r="D1447" s="211"/>
      <c r="E1447" s="211"/>
      <c r="F1447" s="211"/>
      <c r="G1447" s="211"/>
      <c r="H1447" s="211"/>
      <c r="I1447" s="211"/>
      <c r="J1447" s="16"/>
      <c r="K1447" s="1"/>
      <c r="M1447" s="1"/>
      <c r="N1447" s="1"/>
      <c r="O1447" s="1"/>
      <c r="P1447" s="1"/>
      <c r="Q1447" s="95"/>
      <c r="R1447" s="5" t="b">
        <f t="shared" si="262"/>
        <v>0</v>
      </c>
    </row>
    <row r="1448" spans="1:18" s="4" customFormat="1" ht="15" hidden="1" customHeight="1" thickBot="1">
      <c r="A1448" s="64"/>
      <c r="B1448" s="7">
        <f t="shared" si="263"/>
        <v>222</v>
      </c>
      <c r="C1448" s="211"/>
      <c r="D1448" s="211"/>
      <c r="E1448" s="211"/>
      <c r="F1448" s="211"/>
      <c r="G1448" s="211"/>
      <c r="H1448" s="211"/>
      <c r="I1448" s="211"/>
      <c r="J1448" s="16"/>
      <c r="K1448" s="1"/>
      <c r="M1448" s="1"/>
      <c r="N1448" s="1"/>
      <c r="O1448" s="1"/>
      <c r="P1448" s="1"/>
      <c r="Q1448" s="95"/>
      <c r="R1448" s="5" t="b">
        <f t="shared" si="262"/>
        <v>0</v>
      </c>
    </row>
    <row r="1449" spans="1:18" s="4" customFormat="1" ht="15" hidden="1" customHeight="1" thickBot="1">
      <c r="A1449" s="64"/>
      <c r="B1449" s="7">
        <f t="shared" si="263"/>
        <v>223</v>
      </c>
      <c r="C1449" s="211"/>
      <c r="D1449" s="211"/>
      <c r="E1449" s="211"/>
      <c r="F1449" s="211"/>
      <c r="G1449" s="211"/>
      <c r="H1449" s="211"/>
      <c r="I1449" s="211"/>
      <c r="J1449" s="16"/>
      <c r="K1449" s="1"/>
      <c r="M1449" s="1"/>
      <c r="N1449" s="1"/>
      <c r="O1449" s="1"/>
      <c r="P1449" s="1"/>
      <c r="Q1449" s="95"/>
      <c r="R1449" s="5" t="b">
        <f t="shared" si="262"/>
        <v>0</v>
      </c>
    </row>
    <row r="1450" spans="1:18" s="4" customFormat="1" ht="15" hidden="1" customHeight="1" thickBot="1">
      <c r="A1450" s="64"/>
      <c r="B1450" s="7">
        <f t="shared" si="263"/>
        <v>224</v>
      </c>
      <c r="C1450" s="211"/>
      <c r="D1450" s="211"/>
      <c r="E1450" s="211"/>
      <c r="F1450" s="211"/>
      <c r="G1450" s="211"/>
      <c r="H1450" s="211"/>
      <c r="I1450" s="211"/>
      <c r="J1450" s="16"/>
      <c r="K1450" s="1"/>
      <c r="M1450" s="1"/>
      <c r="N1450" s="1"/>
      <c r="O1450" s="1"/>
      <c r="P1450" s="1"/>
      <c r="Q1450" s="95"/>
      <c r="R1450" s="5" t="b">
        <f t="shared" si="262"/>
        <v>0</v>
      </c>
    </row>
    <row r="1451" spans="1:18" s="4" customFormat="1" ht="15" hidden="1" customHeight="1" thickBot="1">
      <c r="A1451" s="64"/>
      <c r="B1451" s="7">
        <f t="shared" si="263"/>
        <v>225</v>
      </c>
      <c r="C1451" s="211"/>
      <c r="D1451" s="211"/>
      <c r="E1451" s="211"/>
      <c r="F1451" s="211"/>
      <c r="G1451" s="211"/>
      <c r="H1451" s="211"/>
      <c r="I1451" s="211"/>
      <c r="J1451" s="16"/>
      <c r="K1451" s="1"/>
      <c r="M1451" s="1"/>
      <c r="N1451" s="1"/>
      <c r="O1451" s="1"/>
      <c r="P1451" s="1"/>
      <c r="Q1451" s="95"/>
      <c r="R1451" s="5" t="b">
        <f t="shared" si="262"/>
        <v>0</v>
      </c>
    </row>
    <row r="1452" spans="1:18" s="4" customFormat="1" ht="15" hidden="1" customHeight="1" thickBot="1">
      <c r="A1452" s="64"/>
      <c r="B1452" s="7">
        <f t="shared" si="263"/>
        <v>226</v>
      </c>
      <c r="C1452" s="211"/>
      <c r="D1452" s="211"/>
      <c r="E1452" s="211"/>
      <c r="F1452" s="211"/>
      <c r="G1452" s="211"/>
      <c r="H1452" s="211"/>
      <c r="I1452" s="211"/>
      <c r="J1452" s="16"/>
      <c r="K1452" s="1"/>
      <c r="M1452" s="1"/>
      <c r="N1452" s="1"/>
      <c r="O1452" s="1"/>
      <c r="P1452" s="1"/>
      <c r="Q1452" s="95"/>
      <c r="R1452" s="5" t="b">
        <f t="shared" si="262"/>
        <v>0</v>
      </c>
    </row>
    <row r="1453" spans="1:18" s="4" customFormat="1" ht="15" hidden="1" customHeight="1" thickBot="1">
      <c r="A1453" s="64"/>
      <c r="B1453" s="7">
        <f t="shared" si="263"/>
        <v>227</v>
      </c>
      <c r="C1453" s="211"/>
      <c r="D1453" s="211"/>
      <c r="E1453" s="211"/>
      <c r="F1453" s="211"/>
      <c r="G1453" s="211"/>
      <c r="H1453" s="211"/>
      <c r="I1453" s="211"/>
      <c r="J1453" s="16"/>
      <c r="K1453" s="1"/>
      <c r="M1453" s="1"/>
      <c r="N1453" s="1"/>
      <c r="O1453" s="1"/>
      <c r="P1453" s="1"/>
      <c r="Q1453" s="95"/>
      <c r="R1453" s="5" t="b">
        <f t="shared" si="262"/>
        <v>0</v>
      </c>
    </row>
    <row r="1454" spans="1:18" s="4" customFormat="1" ht="15" hidden="1" customHeight="1" thickBot="1">
      <c r="A1454" s="64"/>
      <c r="B1454" s="7">
        <f t="shared" si="263"/>
        <v>228</v>
      </c>
      <c r="C1454" s="211"/>
      <c r="D1454" s="211"/>
      <c r="E1454" s="211"/>
      <c r="F1454" s="211"/>
      <c r="G1454" s="211"/>
      <c r="H1454" s="211"/>
      <c r="I1454" s="211"/>
      <c r="J1454" s="16"/>
      <c r="K1454" s="1"/>
      <c r="M1454" s="1"/>
      <c r="N1454" s="1"/>
      <c r="O1454" s="1"/>
      <c r="P1454" s="1"/>
      <c r="Q1454" s="95"/>
      <c r="R1454" s="5" t="b">
        <f t="shared" si="262"/>
        <v>0</v>
      </c>
    </row>
    <row r="1455" spans="1:18" s="4" customFormat="1" ht="15" hidden="1" customHeight="1" thickBot="1">
      <c r="A1455" s="64"/>
      <c r="B1455" s="7">
        <f t="shared" si="263"/>
        <v>229</v>
      </c>
      <c r="C1455" s="211"/>
      <c r="D1455" s="211"/>
      <c r="E1455" s="211"/>
      <c r="F1455" s="211"/>
      <c r="G1455" s="211"/>
      <c r="H1455" s="211"/>
      <c r="I1455" s="211"/>
      <c r="J1455" s="16"/>
      <c r="K1455" s="1"/>
      <c r="M1455" s="1"/>
      <c r="N1455" s="1"/>
      <c r="O1455" s="1"/>
      <c r="P1455" s="1"/>
      <c r="Q1455" s="95"/>
      <c r="R1455" s="5" t="b">
        <f t="shared" ref="R1455:R1518" si="264">IF(O1455&gt;89.9999999999999%,"PAMA")</f>
        <v>0</v>
      </c>
    </row>
    <row r="1456" spans="1:18" s="4" customFormat="1" ht="15" hidden="1" customHeight="1" thickBot="1">
      <c r="A1456" s="64"/>
      <c r="B1456" s="7">
        <f t="shared" si="263"/>
        <v>230</v>
      </c>
      <c r="C1456" s="211"/>
      <c r="D1456" s="211"/>
      <c r="E1456" s="211"/>
      <c r="F1456" s="211"/>
      <c r="G1456" s="211"/>
      <c r="H1456" s="211"/>
      <c r="I1456" s="211"/>
      <c r="J1456" s="16"/>
      <c r="K1456" s="1"/>
      <c r="M1456" s="1"/>
      <c r="N1456" s="1"/>
      <c r="O1456" s="1"/>
      <c r="P1456" s="1"/>
      <c r="Q1456" s="95"/>
      <c r="R1456" s="5" t="b">
        <f t="shared" si="264"/>
        <v>0</v>
      </c>
    </row>
    <row r="1457" spans="1:18" s="4" customFormat="1" ht="15" hidden="1" customHeight="1" thickBot="1">
      <c r="A1457" s="64"/>
      <c r="B1457" s="7">
        <f t="shared" si="263"/>
        <v>231</v>
      </c>
      <c r="C1457" s="211"/>
      <c r="D1457" s="211"/>
      <c r="E1457" s="211"/>
      <c r="F1457" s="211"/>
      <c r="G1457" s="211"/>
      <c r="H1457" s="211"/>
      <c r="I1457" s="211"/>
      <c r="J1457" s="16"/>
      <c r="K1457" s="1"/>
      <c r="M1457" s="1"/>
      <c r="N1457" s="1"/>
      <c r="O1457" s="1"/>
      <c r="P1457" s="1"/>
      <c r="Q1457" s="95"/>
      <c r="R1457" s="5" t="b">
        <f t="shared" si="264"/>
        <v>0</v>
      </c>
    </row>
    <row r="1458" spans="1:18" s="4" customFormat="1" ht="15" hidden="1" customHeight="1" thickBot="1">
      <c r="A1458" s="64"/>
      <c r="B1458" s="7">
        <f t="shared" si="263"/>
        <v>232</v>
      </c>
      <c r="C1458" s="211"/>
      <c r="D1458" s="211"/>
      <c r="E1458" s="211"/>
      <c r="F1458" s="211"/>
      <c r="G1458" s="211"/>
      <c r="H1458" s="211"/>
      <c r="I1458" s="211"/>
      <c r="J1458" s="16"/>
      <c r="K1458" s="1"/>
      <c r="M1458" s="1"/>
      <c r="N1458" s="1"/>
      <c r="O1458" s="1"/>
      <c r="P1458" s="1"/>
      <c r="Q1458" s="95"/>
      <c r="R1458" s="5" t="b">
        <f t="shared" si="264"/>
        <v>0</v>
      </c>
    </row>
    <row r="1459" spans="1:18" s="4" customFormat="1" ht="15" hidden="1" customHeight="1" thickBot="1">
      <c r="A1459" s="64"/>
      <c r="B1459" s="7">
        <f t="shared" si="263"/>
        <v>233</v>
      </c>
      <c r="C1459" s="211"/>
      <c r="D1459" s="211"/>
      <c r="E1459" s="211"/>
      <c r="F1459" s="211"/>
      <c r="G1459" s="211"/>
      <c r="H1459" s="211"/>
      <c r="I1459" s="211"/>
      <c r="J1459" s="16"/>
      <c r="K1459" s="1"/>
      <c r="M1459" s="1"/>
      <c r="N1459" s="1"/>
      <c r="O1459" s="1"/>
      <c r="P1459" s="1"/>
      <c r="Q1459" s="95"/>
      <c r="R1459" s="5" t="b">
        <f t="shared" si="264"/>
        <v>0</v>
      </c>
    </row>
    <row r="1460" spans="1:18" s="4" customFormat="1" ht="15" hidden="1" customHeight="1" thickBot="1">
      <c r="A1460" s="64"/>
      <c r="B1460" s="7">
        <f t="shared" si="263"/>
        <v>234</v>
      </c>
      <c r="C1460" s="211"/>
      <c r="D1460" s="211"/>
      <c r="E1460" s="211"/>
      <c r="F1460" s="211"/>
      <c r="G1460" s="211"/>
      <c r="H1460" s="211"/>
      <c r="I1460" s="211"/>
      <c r="J1460" s="16"/>
      <c r="K1460" s="1"/>
      <c r="M1460" s="1"/>
      <c r="N1460" s="1"/>
      <c r="O1460" s="1"/>
      <c r="P1460" s="1"/>
      <c r="Q1460" s="95"/>
      <c r="R1460" s="5" t="b">
        <f t="shared" si="264"/>
        <v>0</v>
      </c>
    </row>
    <row r="1461" spans="1:18" s="4" customFormat="1" ht="15" hidden="1" customHeight="1" thickBot="1">
      <c r="A1461" s="64"/>
      <c r="B1461" s="7">
        <f t="shared" si="263"/>
        <v>235</v>
      </c>
      <c r="C1461" s="211"/>
      <c r="D1461" s="211"/>
      <c r="E1461" s="211"/>
      <c r="F1461" s="211"/>
      <c r="G1461" s="211"/>
      <c r="H1461" s="211"/>
      <c r="I1461" s="211"/>
      <c r="J1461" s="16"/>
      <c r="K1461" s="1"/>
      <c r="M1461" s="1"/>
      <c r="N1461" s="1"/>
      <c r="O1461" s="1"/>
      <c r="P1461" s="1"/>
      <c r="Q1461" s="95"/>
      <c r="R1461" s="5" t="b">
        <f t="shared" si="264"/>
        <v>0</v>
      </c>
    </row>
    <row r="1462" spans="1:18" s="4" customFormat="1" ht="15" hidden="1" customHeight="1" thickBot="1">
      <c r="A1462" s="64"/>
      <c r="B1462" s="7">
        <f t="shared" si="263"/>
        <v>236</v>
      </c>
      <c r="C1462" s="211"/>
      <c r="D1462" s="211"/>
      <c r="E1462" s="211"/>
      <c r="F1462" s="211"/>
      <c r="G1462" s="211"/>
      <c r="H1462" s="211"/>
      <c r="I1462" s="211"/>
      <c r="J1462" s="16"/>
      <c r="K1462" s="1"/>
      <c r="M1462" s="1"/>
      <c r="N1462" s="1"/>
      <c r="O1462" s="1"/>
      <c r="P1462" s="1"/>
      <c r="Q1462" s="95"/>
      <c r="R1462" s="5" t="b">
        <f t="shared" si="264"/>
        <v>0</v>
      </c>
    </row>
    <row r="1463" spans="1:18" s="4" customFormat="1" ht="15" hidden="1" customHeight="1" thickBot="1">
      <c r="A1463" s="64"/>
      <c r="B1463" s="7">
        <f t="shared" si="263"/>
        <v>237</v>
      </c>
      <c r="C1463" s="211"/>
      <c r="D1463" s="211"/>
      <c r="E1463" s="211"/>
      <c r="F1463" s="211"/>
      <c r="G1463" s="211"/>
      <c r="H1463" s="211"/>
      <c r="I1463" s="211"/>
      <c r="J1463" s="16"/>
      <c r="K1463" s="1"/>
      <c r="M1463" s="1"/>
      <c r="N1463" s="1"/>
      <c r="O1463" s="1"/>
      <c r="P1463" s="1"/>
      <c r="Q1463" s="95"/>
      <c r="R1463" s="5" t="b">
        <f t="shared" si="264"/>
        <v>0</v>
      </c>
    </row>
    <row r="1464" spans="1:18" s="4" customFormat="1" ht="15" hidden="1" customHeight="1" thickBot="1">
      <c r="A1464" s="64"/>
      <c r="B1464" s="7">
        <f t="shared" si="263"/>
        <v>238</v>
      </c>
      <c r="C1464" s="211"/>
      <c r="D1464" s="211"/>
      <c r="E1464" s="211"/>
      <c r="F1464" s="211"/>
      <c r="G1464" s="211"/>
      <c r="H1464" s="211"/>
      <c r="I1464" s="211"/>
      <c r="J1464" s="16"/>
      <c r="K1464" s="1"/>
      <c r="M1464" s="1"/>
      <c r="N1464" s="1"/>
      <c r="O1464" s="1"/>
      <c r="P1464" s="1"/>
      <c r="Q1464" s="95"/>
      <c r="R1464" s="5" t="b">
        <f t="shared" si="264"/>
        <v>0</v>
      </c>
    </row>
    <row r="1465" spans="1:18" s="4" customFormat="1" ht="15" hidden="1" customHeight="1" thickBot="1">
      <c r="A1465" s="64"/>
      <c r="B1465" s="7">
        <f t="shared" si="263"/>
        <v>239</v>
      </c>
      <c r="C1465" s="211"/>
      <c r="D1465" s="211"/>
      <c r="E1465" s="211"/>
      <c r="F1465" s="211"/>
      <c r="G1465" s="211"/>
      <c r="H1465" s="211"/>
      <c r="I1465" s="211"/>
      <c r="J1465" s="16"/>
      <c r="K1465" s="1"/>
      <c r="M1465" s="1"/>
      <c r="N1465" s="1"/>
      <c r="O1465" s="1"/>
      <c r="P1465" s="1"/>
      <c r="Q1465" s="95"/>
      <c r="R1465" s="5" t="b">
        <f t="shared" si="264"/>
        <v>0</v>
      </c>
    </row>
    <row r="1466" spans="1:18" s="4" customFormat="1" ht="15" hidden="1" customHeight="1" thickBot="1">
      <c r="A1466" s="64"/>
      <c r="B1466" s="7">
        <f t="shared" si="263"/>
        <v>240</v>
      </c>
      <c r="C1466" s="211"/>
      <c r="D1466" s="211"/>
      <c r="E1466" s="211"/>
      <c r="F1466" s="211"/>
      <c r="G1466" s="211"/>
      <c r="H1466" s="211"/>
      <c r="I1466" s="211"/>
      <c r="J1466" s="16"/>
      <c r="K1466" s="1"/>
      <c r="M1466" s="1"/>
      <c r="N1466" s="1"/>
      <c r="O1466" s="1"/>
      <c r="P1466" s="1"/>
      <c r="Q1466" s="95"/>
      <c r="R1466" s="5" t="b">
        <f t="shared" si="264"/>
        <v>0</v>
      </c>
    </row>
    <row r="1467" spans="1:18" s="4" customFormat="1" ht="15" hidden="1" customHeight="1" thickBot="1">
      <c r="A1467" s="64"/>
      <c r="B1467" s="7">
        <f t="shared" si="263"/>
        <v>241</v>
      </c>
      <c r="C1467" s="211"/>
      <c r="D1467" s="211"/>
      <c r="E1467" s="211"/>
      <c r="F1467" s="211"/>
      <c r="G1467" s="211"/>
      <c r="H1467" s="211"/>
      <c r="I1467" s="211"/>
      <c r="J1467" s="16"/>
      <c r="K1467" s="1"/>
      <c r="M1467" s="1"/>
      <c r="N1467" s="1"/>
      <c r="O1467" s="1"/>
      <c r="P1467" s="1"/>
      <c r="Q1467" s="95"/>
      <c r="R1467" s="5" t="b">
        <f t="shared" si="264"/>
        <v>0</v>
      </c>
    </row>
    <row r="1468" spans="1:18" s="4" customFormat="1" ht="15" hidden="1" customHeight="1" thickBot="1">
      <c r="A1468" s="64"/>
      <c r="B1468" s="7">
        <f t="shared" si="263"/>
        <v>242</v>
      </c>
      <c r="C1468" s="211"/>
      <c r="D1468" s="211"/>
      <c r="E1468" s="211"/>
      <c r="F1468" s="211"/>
      <c r="G1468" s="211"/>
      <c r="H1468" s="211"/>
      <c r="I1468" s="211"/>
      <c r="J1468" s="16"/>
      <c r="K1468" s="1"/>
      <c r="M1468" s="1"/>
      <c r="N1468" s="1"/>
      <c r="O1468" s="1"/>
      <c r="P1468" s="1"/>
      <c r="Q1468" s="95"/>
      <c r="R1468" s="5" t="b">
        <f t="shared" si="264"/>
        <v>0</v>
      </c>
    </row>
    <row r="1469" spans="1:18" s="4" customFormat="1" ht="15" hidden="1" customHeight="1" thickBot="1">
      <c r="A1469" s="64"/>
      <c r="B1469" s="7">
        <f t="shared" si="263"/>
        <v>243</v>
      </c>
      <c r="C1469" s="211"/>
      <c r="D1469" s="211"/>
      <c r="E1469" s="211"/>
      <c r="F1469" s="211"/>
      <c r="G1469" s="211"/>
      <c r="H1469" s="211"/>
      <c r="I1469" s="211"/>
      <c r="J1469" s="16"/>
      <c r="K1469" s="1"/>
      <c r="M1469" s="1"/>
      <c r="N1469" s="1"/>
      <c r="O1469" s="1"/>
      <c r="P1469" s="1"/>
      <c r="Q1469" s="95"/>
      <c r="R1469" s="5" t="b">
        <f t="shared" si="264"/>
        <v>0</v>
      </c>
    </row>
    <row r="1470" spans="1:18" s="4" customFormat="1" ht="15" hidden="1" customHeight="1" thickBot="1">
      <c r="A1470" s="64"/>
      <c r="B1470" s="7">
        <f t="shared" si="263"/>
        <v>244</v>
      </c>
      <c r="C1470" s="211"/>
      <c r="D1470" s="211"/>
      <c r="E1470" s="211"/>
      <c r="F1470" s="211"/>
      <c r="G1470" s="211"/>
      <c r="H1470" s="211"/>
      <c r="I1470" s="211"/>
      <c r="J1470" s="16"/>
      <c r="K1470" s="1"/>
      <c r="M1470" s="1"/>
      <c r="N1470" s="1"/>
      <c r="O1470" s="1"/>
      <c r="P1470" s="1"/>
      <c r="Q1470" s="95"/>
      <c r="R1470" s="5" t="b">
        <f t="shared" si="264"/>
        <v>0</v>
      </c>
    </row>
    <row r="1471" spans="1:18" s="4" customFormat="1" ht="15" hidden="1" customHeight="1" thickBot="1">
      <c r="A1471" s="64"/>
      <c r="B1471" s="7">
        <f t="shared" si="263"/>
        <v>245</v>
      </c>
      <c r="C1471" s="211"/>
      <c r="D1471" s="211"/>
      <c r="E1471" s="211"/>
      <c r="F1471" s="211"/>
      <c r="G1471" s="211"/>
      <c r="H1471" s="211"/>
      <c r="I1471" s="211"/>
      <c r="J1471" s="16"/>
      <c r="K1471" s="1"/>
      <c r="M1471" s="1"/>
      <c r="N1471" s="1"/>
      <c r="O1471" s="1"/>
      <c r="P1471" s="1"/>
      <c r="Q1471" s="95"/>
      <c r="R1471" s="5" t="b">
        <f t="shared" si="264"/>
        <v>0</v>
      </c>
    </row>
    <row r="1472" spans="1:18" s="4" customFormat="1" ht="15" hidden="1" customHeight="1" thickBot="1">
      <c r="A1472" s="64"/>
      <c r="B1472" s="7">
        <f t="shared" si="263"/>
        <v>246</v>
      </c>
      <c r="C1472" s="211"/>
      <c r="D1472" s="211"/>
      <c r="E1472" s="211"/>
      <c r="F1472" s="211"/>
      <c r="G1472" s="211"/>
      <c r="H1472" s="211"/>
      <c r="I1472" s="211"/>
      <c r="J1472" s="16"/>
      <c r="K1472" s="1"/>
      <c r="M1472" s="1"/>
      <c r="N1472" s="1"/>
      <c r="O1472" s="1"/>
      <c r="P1472" s="1"/>
      <c r="Q1472" s="95"/>
      <c r="R1472" s="5" t="b">
        <f t="shared" si="264"/>
        <v>0</v>
      </c>
    </row>
    <row r="1473" spans="1:18" s="4" customFormat="1" ht="15" hidden="1" customHeight="1" thickBot="1">
      <c r="A1473" s="64"/>
      <c r="B1473" s="7">
        <f t="shared" si="263"/>
        <v>247</v>
      </c>
      <c r="C1473" s="211"/>
      <c r="D1473" s="211"/>
      <c r="E1473" s="211"/>
      <c r="F1473" s="211"/>
      <c r="G1473" s="211"/>
      <c r="H1473" s="211"/>
      <c r="I1473" s="211"/>
      <c r="J1473" s="16"/>
      <c r="K1473" s="1"/>
      <c r="M1473" s="1"/>
      <c r="N1473" s="1"/>
      <c r="O1473" s="1"/>
      <c r="P1473" s="1"/>
      <c r="Q1473" s="95"/>
      <c r="R1473" s="5" t="b">
        <f t="shared" si="264"/>
        <v>0</v>
      </c>
    </row>
    <row r="1474" spans="1:18" s="4" customFormat="1" ht="15" hidden="1" customHeight="1" thickBot="1">
      <c r="A1474" s="64"/>
      <c r="B1474" s="7">
        <f t="shared" si="263"/>
        <v>248</v>
      </c>
      <c r="C1474" s="211"/>
      <c r="D1474" s="211"/>
      <c r="E1474" s="211"/>
      <c r="F1474" s="211"/>
      <c r="G1474" s="211"/>
      <c r="H1474" s="211"/>
      <c r="I1474" s="211"/>
      <c r="J1474" s="16"/>
      <c r="K1474" s="1"/>
      <c r="M1474" s="1"/>
      <c r="N1474" s="1"/>
      <c r="O1474" s="1"/>
      <c r="P1474" s="1"/>
      <c r="Q1474" s="95"/>
      <c r="R1474" s="5" t="b">
        <f t="shared" si="264"/>
        <v>0</v>
      </c>
    </row>
    <row r="1475" spans="1:18" s="4" customFormat="1" ht="15" hidden="1" customHeight="1" thickBot="1">
      <c r="A1475" s="64"/>
      <c r="B1475" s="7">
        <f t="shared" si="263"/>
        <v>249</v>
      </c>
      <c r="C1475" s="211"/>
      <c r="D1475" s="211"/>
      <c r="E1475" s="211"/>
      <c r="F1475" s="211"/>
      <c r="G1475" s="211"/>
      <c r="H1475" s="211"/>
      <c r="I1475" s="211"/>
      <c r="J1475" s="16"/>
      <c r="K1475" s="1"/>
      <c r="M1475" s="1"/>
      <c r="N1475" s="1"/>
      <c r="O1475" s="1"/>
      <c r="P1475" s="1"/>
      <c r="Q1475" s="95"/>
      <c r="R1475" s="5" t="b">
        <f t="shared" si="264"/>
        <v>0</v>
      </c>
    </row>
    <row r="1476" spans="1:18" s="4" customFormat="1" ht="15" hidden="1" customHeight="1" thickBot="1">
      <c r="A1476" s="64"/>
      <c r="B1476" s="7">
        <f t="shared" si="263"/>
        <v>250</v>
      </c>
      <c r="C1476" s="211"/>
      <c r="D1476" s="211"/>
      <c r="E1476" s="211"/>
      <c r="F1476" s="211"/>
      <c r="G1476" s="211"/>
      <c r="H1476" s="211"/>
      <c r="I1476" s="211"/>
      <c r="J1476" s="16"/>
      <c r="K1476" s="1"/>
      <c r="M1476" s="1"/>
      <c r="N1476" s="1"/>
      <c r="O1476" s="1"/>
      <c r="P1476" s="1"/>
      <c r="Q1476" s="95"/>
      <c r="R1476" s="5" t="b">
        <f t="shared" si="264"/>
        <v>0</v>
      </c>
    </row>
    <row r="1477" spans="1:18" s="4" customFormat="1" ht="15" hidden="1" customHeight="1" thickBot="1">
      <c r="A1477" s="64"/>
      <c r="B1477" s="7">
        <f t="shared" si="263"/>
        <v>251</v>
      </c>
      <c r="C1477" s="211"/>
      <c r="D1477" s="211"/>
      <c r="E1477" s="211"/>
      <c r="F1477" s="211"/>
      <c r="G1477" s="211"/>
      <c r="H1477" s="211"/>
      <c r="I1477" s="211"/>
      <c r="J1477" s="16"/>
      <c r="K1477" s="1"/>
      <c r="M1477" s="1"/>
      <c r="N1477" s="1"/>
      <c r="O1477" s="1"/>
      <c r="P1477" s="1"/>
      <c r="Q1477" s="95"/>
      <c r="R1477" s="5" t="b">
        <f t="shared" si="264"/>
        <v>0</v>
      </c>
    </row>
    <row r="1478" spans="1:18" s="4" customFormat="1" ht="15" hidden="1" customHeight="1" thickBot="1">
      <c r="A1478" s="64"/>
      <c r="B1478" s="7">
        <f t="shared" si="263"/>
        <v>252</v>
      </c>
      <c r="C1478" s="211"/>
      <c r="D1478" s="211"/>
      <c r="E1478" s="211"/>
      <c r="F1478" s="211"/>
      <c r="G1478" s="211"/>
      <c r="H1478" s="211"/>
      <c r="I1478" s="211"/>
      <c r="J1478" s="16"/>
      <c r="K1478" s="1"/>
      <c r="M1478" s="1"/>
      <c r="N1478" s="1"/>
      <c r="O1478" s="1"/>
      <c r="P1478" s="1"/>
      <c r="Q1478" s="95"/>
      <c r="R1478" s="5" t="b">
        <f t="shared" si="264"/>
        <v>0</v>
      </c>
    </row>
    <row r="1479" spans="1:18" s="4" customFormat="1" ht="15" hidden="1" customHeight="1" thickBot="1">
      <c r="A1479" s="64"/>
      <c r="B1479" s="7">
        <f t="shared" si="263"/>
        <v>253</v>
      </c>
      <c r="C1479" s="211"/>
      <c r="D1479" s="211"/>
      <c r="E1479" s="211"/>
      <c r="F1479" s="211"/>
      <c r="G1479" s="211"/>
      <c r="H1479" s="211"/>
      <c r="I1479" s="211"/>
      <c r="J1479" s="16"/>
      <c r="K1479" s="1"/>
      <c r="M1479" s="1"/>
      <c r="N1479" s="1"/>
      <c r="O1479" s="1"/>
      <c r="P1479" s="1"/>
      <c r="Q1479" s="95"/>
      <c r="R1479" s="5" t="b">
        <f t="shared" si="264"/>
        <v>0</v>
      </c>
    </row>
    <row r="1480" spans="1:18" s="4" customFormat="1" ht="15" hidden="1" customHeight="1" thickBot="1">
      <c r="A1480" s="64"/>
      <c r="B1480" s="7">
        <f t="shared" si="263"/>
        <v>254</v>
      </c>
      <c r="C1480" s="211"/>
      <c r="D1480" s="211"/>
      <c r="E1480" s="211"/>
      <c r="F1480" s="211"/>
      <c r="G1480" s="211"/>
      <c r="H1480" s="211"/>
      <c r="I1480" s="211"/>
      <c r="J1480" s="16"/>
      <c r="K1480" s="1"/>
      <c r="M1480" s="1"/>
      <c r="N1480" s="1"/>
      <c r="O1480" s="1"/>
      <c r="P1480" s="1"/>
      <c r="Q1480" s="95"/>
      <c r="R1480" s="5" t="b">
        <f t="shared" si="264"/>
        <v>0</v>
      </c>
    </row>
    <row r="1481" spans="1:18" s="4" customFormat="1" ht="15" hidden="1" customHeight="1" thickBot="1">
      <c r="A1481" s="64"/>
      <c r="B1481" s="7">
        <f t="shared" si="263"/>
        <v>255</v>
      </c>
      <c r="C1481" s="211"/>
      <c r="D1481" s="211"/>
      <c r="E1481" s="211"/>
      <c r="F1481" s="211"/>
      <c r="G1481" s="211"/>
      <c r="H1481" s="211"/>
      <c r="I1481" s="211"/>
      <c r="J1481" s="16"/>
      <c r="K1481" s="1"/>
      <c r="M1481" s="1"/>
      <c r="N1481" s="1"/>
      <c r="O1481" s="1"/>
      <c r="P1481" s="1"/>
      <c r="Q1481" s="95"/>
      <c r="R1481" s="5" t="b">
        <f t="shared" si="264"/>
        <v>0</v>
      </c>
    </row>
    <row r="1482" spans="1:18" s="4" customFormat="1" ht="15" hidden="1" customHeight="1" thickBot="1">
      <c r="A1482" s="64"/>
      <c r="B1482" s="7">
        <f t="shared" si="263"/>
        <v>256</v>
      </c>
      <c r="C1482" s="211"/>
      <c r="D1482" s="211"/>
      <c r="E1482" s="211"/>
      <c r="F1482" s="211"/>
      <c r="G1482" s="211"/>
      <c r="H1482" s="211"/>
      <c r="I1482" s="211"/>
      <c r="J1482" s="16"/>
      <c r="K1482" s="1"/>
      <c r="M1482" s="1"/>
      <c r="N1482" s="1"/>
      <c r="O1482" s="1"/>
      <c r="P1482" s="1"/>
      <c r="Q1482" s="95"/>
      <c r="R1482" s="5" t="b">
        <f t="shared" si="264"/>
        <v>0</v>
      </c>
    </row>
    <row r="1483" spans="1:18" s="4" customFormat="1" ht="15" hidden="1" customHeight="1" thickBot="1">
      <c r="A1483" s="64"/>
      <c r="B1483" s="7">
        <f t="shared" si="263"/>
        <v>257</v>
      </c>
      <c r="C1483" s="211"/>
      <c r="D1483" s="211"/>
      <c r="E1483" s="211"/>
      <c r="F1483" s="211"/>
      <c r="G1483" s="211"/>
      <c r="H1483" s="211"/>
      <c r="I1483" s="211"/>
      <c r="J1483" s="16"/>
      <c r="K1483" s="1"/>
      <c r="M1483" s="1"/>
      <c r="N1483" s="1"/>
      <c r="O1483" s="1"/>
      <c r="P1483" s="1"/>
      <c r="Q1483" s="95"/>
      <c r="R1483" s="5" t="b">
        <f t="shared" si="264"/>
        <v>0</v>
      </c>
    </row>
    <row r="1484" spans="1:18" s="4" customFormat="1" ht="15" hidden="1" customHeight="1" thickBot="1">
      <c r="A1484" s="64"/>
      <c r="B1484" s="7">
        <f t="shared" si="263"/>
        <v>258</v>
      </c>
      <c r="C1484" s="211"/>
      <c r="D1484" s="211"/>
      <c r="E1484" s="211"/>
      <c r="F1484" s="211"/>
      <c r="G1484" s="211"/>
      <c r="H1484" s="211"/>
      <c r="I1484" s="211"/>
      <c r="J1484" s="16"/>
      <c r="K1484" s="1"/>
      <c r="M1484" s="1"/>
      <c r="N1484" s="1"/>
      <c r="O1484" s="1"/>
      <c r="P1484" s="1"/>
      <c r="Q1484" s="95"/>
      <c r="R1484" s="5" t="b">
        <f t="shared" si="264"/>
        <v>0</v>
      </c>
    </row>
    <row r="1485" spans="1:18" s="4" customFormat="1" ht="15" hidden="1" customHeight="1" thickBot="1">
      <c r="A1485" s="64"/>
      <c r="B1485" s="7">
        <f t="shared" ref="B1485:B1547" si="265">B1484+1</f>
        <v>259</v>
      </c>
      <c r="C1485" s="211"/>
      <c r="D1485" s="211"/>
      <c r="E1485" s="211"/>
      <c r="F1485" s="211"/>
      <c r="G1485" s="211"/>
      <c r="H1485" s="211"/>
      <c r="I1485" s="211"/>
      <c r="J1485" s="16"/>
      <c r="K1485" s="1"/>
      <c r="M1485" s="1"/>
      <c r="N1485" s="1"/>
      <c r="O1485" s="1"/>
      <c r="P1485" s="1"/>
      <c r="Q1485" s="95"/>
      <c r="R1485" s="5" t="b">
        <f t="shared" si="264"/>
        <v>0</v>
      </c>
    </row>
    <row r="1486" spans="1:18" s="4" customFormat="1" ht="15" hidden="1" customHeight="1" thickBot="1">
      <c r="A1486" s="64"/>
      <c r="B1486" s="7">
        <f t="shared" si="265"/>
        <v>260</v>
      </c>
      <c r="C1486" s="211"/>
      <c r="D1486" s="211"/>
      <c r="E1486" s="211"/>
      <c r="F1486" s="211"/>
      <c r="G1486" s="211"/>
      <c r="H1486" s="211"/>
      <c r="I1486" s="211"/>
      <c r="J1486" s="16"/>
      <c r="K1486" s="1"/>
      <c r="M1486" s="1"/>
      <c r="N1486" s="1"/>
      <c r="O1486" s="1"/>
      <c r="P1486" s="1"/>
      <c r="Q1486" s="95"/>
      <c r="R1486" s="5" t="b">
        <f t="shared" si="264"/>
        <v>0</v>
      </c>
    </row>
    <row r="1487" spans="1:18" s="4" customFormat="1" ht="15" hidden="1" customHeight="1" thickBot="1">
      <c r="A1487" s="64"/>
      <c r="B1487" s="7">
        <f t="shared" si="265"/>
        <v>261</v>
      </c>
      <c r="C1487" s="211"/>
      <c r="D1487" s="211"/>
      <c r="E1487" s="211"/>
      <c r="F1487" s="211"/>
      <c r="G1487" s="211"/>
      <c r="H1487" s="211"/>
      <c r="I1487" s="211"/>
      <c r="J1487" s="16"/>
      <c r="K1487" s="1"/>
      <c r="M1487" s="1"/>
      <c r="N1487" s="1"/>
      <c r="O1487" s="1"/>
      <c r="P1487" s="1"/>
      <c r="Q1487" s="95"/>
      <c r="R1487" s="5" t="b">
        <f t="shared" si="264"/>
        <v>0</v>
      </c>
    </row>
    <row r="1488" spans="1:18" s="4" customFormat="1" ht="15" hidden="1" customHeight="1" thickBot="1">
      <c r="A1488" s="64"/>
      <c r="B1488" s="7">
        <f t="shared" si="265"/>
        <v>262</v>
      </c>
      <c r="C1488" s="211"/>
      <c r="D1488" s="211"/>
      <c r="E1488" s="211"/>
      <c r="F1488" s="211"/>
      <c r="G1488" s="211"/>
      <c r="H1488" s="211"/>
      <c r="I1488" s="211"/>
      <c r="J1488" s="16"/>
      <c r="K1488" s="1"/>
      <c r="M1488" s="1"/>
      <c r="N1488" s="1"/>
      <c r="O1488" s="1"/>
      <c r="P1488" s="1"/>
      <c r="Q1488" s="95"/>
      <c r="R1488" s="5" t="b">
        <f t="shared" si="264"/>
        <v>0</v>
      </c>
    </row>
    <row r="1489" spans="1:18" s="4" customFormat="1" ht="15" hidden="1" customHeight="1" thickBot="1">
      <c r="A1489" s="64"/>
      <c r="B1489" s="7">
        <f t="shared" si="265"/>
        <v>263</v>
      </c>
      <c r="C1489" s="211"/>
      <c r="D1489" s="211"/>
      <c r="E1489" s="211"/>
      <c r="F1489" s="211"/>
      <c r="G1489" s="211"/>
      <c r="H1489" s="211"/>
      <c r="I1489" s="211"/>
      <c r="J1489" s="16"/>
      <c r="K1489" s="1"/>
      <c r="M1489" s="1"/>
      <c r="N1489" s="1"/>
      <c r="O1489" s="1"/>
      <c r="P1489" s="1"/>
      <c r="Q1489" s="95"/>
      <c r="R1489" s="5" t="b">
        <f t="shared" si="264"/>
        <v>0</v>
      </c>
    </row>
    <row r="1490" spans="1:18" s="4" customFormat="1" ht="15" hidden="1" customHeight="1" thickBot="1">
      <c r="A1490" s="64"/>
      <c r="B1490" s="7">
        <f t="shared" si="265"/>
        <v>264</v>
      </c>
      <c r="C1490" s="211"/>
      <c r="D1490" s="211"/>
      <c r="E1490" s="211"/>
      <c r="F1490" s="211"/>
      <c r="G1490" s="211"/>
      <c r="H1490" s="211"/>
      <c r="I1490" s="211"/>
      <c r="J1490" s="16"/>
      <c r="K1490" s="1"/>
      <c r="M1490" s="1"/>
      <c r="N1490" s="1"/>
      <c r="O1490" s="1"/>
      <c r="P1490" s="1"/>
      <c r="Q1490" s="95"/>
      <c r="R1490" s="5" t="b">
        <f t="shared" si="264"/>
        <v>0</v>
      </c>
    </row>
    <row r="1491" spans="1:18" s="4" customFormat="1" ht="15" hidden="1" customHeight="1" thickBot="1">
      <c r="A1491" s="64"/>
      <c r="B1491" s="7">
        <f t="shared" si="265"/>
        <v>265</v>
      </c>
      <c r="C1491" s="211"/>
      <c r="D1491" s="211"/>
      <c r="E1491" s="211"/>
      <c r="F1491" s="211"/>
      <c r="G1491" s="211"/>
      <c r="H1491" s="211"/>
      <c r="I1491" s="211"/>
      <c r="J1491" s="16"/>
      <c r="K1491" s="1"/>
      <c r="M1491" s="1"/>
      <c r="N1491" s="1"/>
      <c r="O1491" s="1"/>
      <c r="P1491" s="1"/>
      <c r="Q1491" s="95"/>
      <c r="R1491" s="5" t="b">
        <f t="shared" si="264"/>
        <v>0</v>
      </c>
    </row>
    <row r="1492" spans="1:18" s="4" customFormat="1" ht="15" hidden="1" customHeight="1" thickBot="1">
      <c r="A1492" s="64"/>
      <c r="B1492" s="7">
        <f t="shared" si="265"/>
        <v>266</v>
      </c>
      <c r="C1492" s="211"/>
      <c r="D1492" s="211"/>
      <c r="E1492" s="211"/>
      <c r="F1492" s="211"/>
      <c r="G1492" s="211"/>
      <c r="H1492" s="211"/>
      <c r="I1492" s="211"/>
      <c r="J1492" s="16"/>
      <c r="K1492" s="1"/>
      <c r="M1492" s="1"/>
      <c r="N1492" s="1"/>
      <c r="O1492" s="1"/>
      <c r="P1492" s="1"/>
      <c r="Q1492" s="95"/>
      <c r="R1492" s="5" t="b">
        <f t="shared" si="264"/>
        <v>0</v>
      </c>
    </row>
    <row r="1493" spans="1:18" s="4" customFormat="1" ht="15" hidden="1" customHeight="1" thickBot="1">
      <c r="A1493" s="64"/>
      <c r="B1493" s="7">
        <f t="shared" si="265"/>
        <v>267</v>
      </c>
      <c r="C1493" s="211"/>
      <c r="D1493" s="211"/>
      <c r="E1493" s="211"/>
      <c r="F1493" s="211"/>
      <c r="G1493" s="211"/>
      <c r="H1493" s="211"/>
      <c r="I1493" s="211"/>
      <c r="J1493" s="16"/>
      <c r="K1493" s="1"/>
      <c r="M1493" s="1"/>
      <c r="N1493" s="1"/>
      <c r="O1493" s="1"/>
      <c r="P1493" s="1"/>
      <c r="Q1493" s="95"/>
      <c r="R1493" s="5" t="b">
        <f t="shared" si="264"/>
        <v>0</v>
      </c>
    </row>
    <row r="1494" spans="1:18" s="4" customFormat="1" ht="15" hidden="1" customHeight="1" thickBot="1">
      <c r="A1494" s="64"/>
      <c r="B1494" s="7">
        <f t="shared" si="265"/>
        <v>268</v>
      </c>
      <c r="C1494" s="211"/>
      <c r="D1494" s="211"/>
      <c r="E1494" s="211"/>
      <c r="F1494" s="211"/>
      <c r="G1494" s="211"/>
      <c r="H1494" s="211"/>
      <c r="I1494" s="211"/>
      <c r="J1494" s="16"/>
      <c r="K1494" s="1"/>
      <c r="M1494" s="1"/>
      <c r="N1494" s="1"/>
      <c r="O1494" s="1"/>
      <c r="P1494" s="1"/>
      <c r="Q1494" s="95"/>
      <c r="R1494" s="5" t="b">
        <f t="shared" si="264"/>
        <v>0</v>
      </c>
    </row>
    <row r="1495" spans="1:18" s="4" customFormat="1" ht="15" hidden="1" customHeight="1" thickBot="1">
      <c r="A1495" s="64"/>
      <c r="B1495" s="7">
        <f t="shared" si="265"/>
        <v>269</v>
      </c>
      <c r="C1495" s="211"/>
      <c r="D1495" s="211"/>
      <c r="E1495" s="211"/>
      <c r="F1495" s="211"/>
      <c r="G1495" s="211"/>
      <c r="H1495" s="211"/>
      <c r="I1495" s="211"/>
      <c r="J1495" s="16"/>
      <c r="K1495" s="1"/>
      <c r="M1495" s="1"/>
      <c r="N1495" s="1"/>
      <c r="O1495" s="1"/>
      <c r="P1495" s="1"/>
      <c r="Q1495" s="95"/>
      <c r="R1495" s="5" t="b">
        <f t="shared" si="264"/>
        <v>0</v>
      </c>
    </row>
    <row r="1496" spans="1:18" s="4" customFormat="1" ht="15" hidden="1" customHeight="1" thickBot="1">
      <c r="A1496" s="64"/>
      <c r="B1496" s="7">
        <f t="shared" si="265"/>
        <v>270</v>
      </c>
      <c r="C1496" s="211"/>
      <c r="D1496" s="211"/>
      <c r="E1496" s="211"/>
      <c r="F1496" s="211"/>
      <c r="G1496" s="211"/>
      <c r="H1496" s="211"/>
      <c r="I1496" s="211"/>
      <c r="J1496" s="16"/>
      <c r="K1496" s="1"/>
      <c r="M1496" s="1"/>
      <c r="N1496" s="1"/>
      <c r="O1496" s="1"/>
      <c r="P1496" s="1"/>
      <c r="Q1496" s="95"/>
      <c r="R1496" s="5" t="b">
        <f t="shared" si="264"/>
        <v>0</v>
      </c>
    </row>
    <row r="1497" spans="1:18" s="4" customFormat="1" ht="15" hidden="1" customHeight="1" thickBot="1">
      <c r="A1497" s="64"/>
      <c r="B1497" s="7">
        <f t="shared" si="265"/>
        <v>271</v>
      </c>
      <c r="C1497" s="211"/>
      <c r="D1497" s="211"/>
      <c r="E1497" s="211"/>
      <c r="F1497" s="211"/>
      <c r="G1497" s="211"/>
      <c r="H1497" s="211"/>
      <c r="I1497" s="211"/>
      <c r="J1497" s="16"/>
      <c r="K1497" s="1"/>
      <c r="M1497" s="1"/>
      <c r="N1497" s="1"/>
      <c r="O1497" s="1"/>
      <c r="P1497" s="1"/>
      <c r="Q1497" s="95"/>
      <c r="R1497" s="5" t="b">
        <f t="shared" si="264"/>
        <v>0</v>
      </c>
    </row>
    <row r="1498" spans="1:18" s="4" customFormat="1" ht="15" hidden="1" customHeight="1" thickBot="1">
      <c r="A1498" s="64"/>
      <c r="B1498" s="7">
        <f t="shared" si="265"/>
        <v>272</v>
      </c>
      <c r="C1498" s="211"/>
      <c r="D1498" s="211"/>
      <c r="E1498" s="211"/>
      <c r="F1498" s="211"/>
      <c r="G1498" s="211"/>
      <c r="H1498" s="211"/>
      <c r="I1498" s="211"/>
      <c r="J1498" s="16"/>
      <c r="K1498" s="1"/>
      <c r="M1498" s="1"/>
      <c r="N1498" s="1"/>
      <c r="O1498" s="1"/>
      <c r="P1498" s="1"/>
      <c r="Q1498" s="95"/>
      <c r="R1498" s="5" t="b">
        <f t="shared" si="264"/>
        <v>0</v>
      </c>
    </row>
    <row r="1499" spans="1:18" s="4" customFormat="1" ht="15" hidden="1" customHeight="1" thickBot="1">
      <c r="A1499" s="64"/>
      <c r="B1499" s="7">
        <f t="shared" si="265"/>
        <v>273</v>
      </c>
      <c r="C1499" s="211"/>
      <c r="D1499" s="211"/>
      <c r="E1499" s="211"/>
      <c r="F1499" s="211"/>
      <c r="G1499" s="211"/>
      <c r="H1499" s="211"/>
      <c r="I1499" s="211"/>
      <c r="J1499" s="16"/>
      <c r="K1499" s="1"/>
      <c r="M1499" s="1"/>
      <c r="N1499" s="1"/>
      <c r="O1499" s="1"/>
      <c r="P1499" s="1"/>
      <c r="Q1499" s="95"/>
      <c r="R1499" s="5" t="b">
        <f t="shared" si="264"/>
        <v>0</v>
      </c>
    </row>
    <row r="1500" spans="1:18" s="4" customFormat="1" ht="15" hidden="1" customHeight="1" thickBot="1">
      <c r="A1500" s="64"/>
      <c r="B1500" s="7">
        <f t="shared" si="265"/>
        <v>274</v>
      </c>
      <c r="C1500" s="211"/>
      <c r="D1500" s="211"/>
      <c r="E1500" s="211"/>
      <c r="F1500" s="211"/>
      <c r="G1500" s="211"/>
      <c r="H1500" s="211"/>
      <c r="I1500" s="211"/>
      <c r="J1500" s="16"/>
      <c r="K1500" s="1"/>
      <c r="M1500" s="1"/>
      <c r="N1500" s="1"/>
      <c r="O1500" s="1"/>
      <c r="P1500" s="1"/>
      <c r="Q1500" s="95"/>
      <c r="R1500" s="5" t="b">
        <f t="shared" si="264"/>
        <v>0</v>
      </c>
    </row>
    <row r="1501" spans="1:18" s="4" customFormat="1" ht="15" hidden="1" customHeight="1" thickBot="1">
      <c r="A1501" s="64"/>
      <c r="B1501" s="7">
        <f t="shared" si="265"/>
        <v>275</v>
      </c>
      <c r="C1501" s="211"/>
      <c r="D1501" s="211"/>
      <c r="E1501" s="211"/>
      <c r="F1501" s="211"/>
      <c r="G1501" s="211"/>
      <c r="H1501" s="211"/>
      <c r="I1501" s="211"/>
      <c r="J1501" s="16"/>
      <c r="K1501" s="1"/>
      <c r="M1501" s="1"/>
      <c r="N1501" s="1"/>
      <c r="O1501" s="1"/>
      <c r="P1501" s="1"/>
      <c r="Q1501" s="95"/>
      <c r="R1501" s="5" t="b">
        <f t="shared" si="264"/>
        <v>0</v>
      </c>
    </row>
    <row r="1502" spans="1:18" s="4" customFormat="1" ht="15" hidden="1" customHeight="1" thickBot="1">
      <c r="A1502" s="64"/>
      <c r="B1502" s="7">
        <f t="shared" si="265"/>
        <v>276</v>
      </c>
      <c r="C1502" s="211"/>
      <c r="D1502" s="211"/>
      <c r="E1502" s="211"/>
      <c r="F1502" s="211"/>
      <c r="G1502" s="211"/>
      <c r="H1502" s="211"/>
      <c r="I1502" s="211"/>
      <c r="J1502" s="16"/>
      <c r="K1502" s="1"/>
      <c r="M1502" s="1"/>
      <c r="N1502" s="1"/>
      <c r="O1502" s="1"/>
      <c r="P1502" s="1"/>
      <c r="Q1502" s="95"/>
      <c r="R1502" s="5" t="b">
        <f t="shared" si="264"/>
        <v>0</v>
      </c>
    </row>
    <row r="1503" spans="1:18" s="4" customFormat="1" ht="15" hidden="1" customHeight="1" thickBot="1">
      <c r="A1503" s="64"/>
      <c r="B1503" s="7">
        <f t="shared" si="265"/>
        <v>277</v>
      </c>
      <c r="C1503" s="211"/>
      <c r="D1503" s="211"/>
      <c r="E1503" s="211"/>
      <c r="F1503" s="211"/>
      <c r="G1503" s="211"/>
      <c r="H1503" s="211"/>
      <c r="I1503" s="211"/>
      <c r="J1503" s="16"/>
      <c r="K1503" s="1"/>
      <c r="M1503" s="1"/>
      <c r="N1503" s="1"/>
      <c r="O1503" s="1"/>
      <c r="P1503" s="1"/>
      <c r="Q1503" s="95"/>
      <c r="R1503" s="5" t="b">
        <f t="shared" si="264"/>
        <v>0</v>
      </c>
    </row>
    <row r="1504" spans="1:18" s="4" customFormat="1" ht="15" hidden="1" customHeight="1" thickBot="1">
      <c r="A1504" s="64"/>
      <c r="B1504" s="7">
        <f t="shared" si="265"/>
        <v>278</v>
      </c>
      <c r="C1504" s="211"/>
      <c r="D1504" s="211"/>
      <c r="E1504" s="211"/>
      <c r="F1504" s="211"/>
      <c r="G1504" s="211"/>
      <c r="H1504" s="211"/>
      <c r="I1504" s="211"/>
      <c r="J1504" s="16"/>
      <c r="K1504" s="1"/>
      <c r="M1504" s="1"/>
      <c r="N1504" s="1"/>
      <c r="O1504" s="1"/>
      <c r="P1504" s="1"/>
      <c r="Q1504" s="95"/>
      <c r="R1504" s="5" t="b">
        <f t="shared" si="264"/>
        <v>0</v>
      </c>
    </row>
    <row r="1505" spans="1:18" s="4" customFormat="1" ht="15" hidden="1" customHeight="1" thickBot="1">
      <c r="A1505" s="64"/>
      <c r="B1505" s="7">
        <f t="shared" si="265"/>
        <v>279</v>
      </c>
      <c r="C1505" s="211"/>
      <c r="D1505" s="211"/>
      <c r="E1505" s="211"/>
      <c r="F1505" s="211"/>
      <c r="G1505" s="211"/>
      <c r="H1505" s="211"/>
      <c r="I1505" s="211"/>
      <c r="J1505" s="16"/>
      <c r="K1505" s="1"/>
      <c r="M1505" s="1"/>
      <c r="N1505" s="1"/>
      <c r="O1505" s="1"/>
      <c r="P1505" s="1"/>
      <c r="Q1505" s="95"/>
      <c r="R1505" s="5" t="b">
        <f t="shared" si="264"/>
        <v>0</v>
      </c>
    </row>
    <row r="1506" spans="1:18" s="4" customFormat="1" ht="15" hidden="1" customHeight="1" thickBot="1">
      <c r="A1506" s="64"/>
      <c r="B1506" s="7">
        <f t="shared" si="265"/>
        <v>280</v>
      </c>
      <c r="C1506" s="211"/>
      <c r="D1506" s="211"/>
      <c r="E1506" s="211"/>
      <c r="F1506" s="211"/>
      <c r="G1506" s="211"/>
      <c r="H1506" s="211"/>
      <c r="I1506" s="211"/>
      <c r="J1506" s="16"/>
      <c r="K1506" s="1"/>
      <c r="M1506" s="1"/>
      <c r="N1506" s="1"/>
      <c r="O1506" s="1"/>
      <c r="P1506" s="1"/>
      <c r="Q1506" s="95"/>
      <c r="R1506" s="5" t="b">
        <f t="shared" si="264"/>
        <v>0</v>
      </c>
    </row>
    <row r="1507" spans="1:18" s="4" customFormat="1" ht="15" hidden="1" customHeight="1" thickBot="1">
      <c r="A1507" s="64"/>
      <c r="B1507" s="7">
        <f t="shared" si="265"/>
        <v>281</v>
      </c>
      <c r="C1507" s="211"/>
      <c r="D1507" s="211"/>
      <c r="E1507" s="211"/>
      <c r="F1507" s="211"/>
      <c r="G1507" s="211"/>
      <c r="H1507" s="211"/>
      <c r="I1507" s="211"/>
      <c r="J1507" s="16"/>
      <c r="K1507" s="1"/>
      <c r="M1507" s="1"/>
      <c r="N1507" s="1"/>
      <c r="O1507" s="1"/>
      <c r="P1507" s="1"/>
      <c r="Q1507" s="95"/>
      <c r="R1507" s="5" t="b">
        <f t="shared" si="264"/>
        <v>0</v>
      </c>
    </row>
    <row r="1508" spans="1:18" s="4" customFormat="1" ht="15" hidden="1" customHeight="1" thickBot="1">
      <c r="A1508" s="64"/>
      <c r="B1508" s="7">
        <f t="shared" si="265"/>
        <v>282</v>
      </c>
      <c r="C1508" s="211"/>
      <c r="D1508" s="211"/>
      <c r="E1508" s="211"/>
      <c r="F1508" s="211"/>
      <c r="G1508" s="211"/>
      <c r="H1508" s="211"/>
      <c r="I1508" s="211"/>
      <c r="J1508" s="16"/>
      <c r="K1508" s="1"/>
      <c r="M1508" s="1"/>
      <c r="N1508" s="1"/>
      <c r="O1508" s="1"/>
      <c r="P1508" s="1"/>
      <c r="Q1508" s="95"/>
      <c r="R1508" s="5" t="b">
        <f t="shared" si="264"/>
        <v>0</v>
      </c>
    </row>
    <row r="1509" spans="1:18" s="4" customFormat="1" ht="15" hidden="1" customHeight="1" thickBot="1">
      <c r="A1509" s="64"/>
      <c r="B1509" s="7">
        <f t="shared" si="265"/>
        <v>283</v>
      </c>
      <c r="C1509" s="211"/>
      <c r="D1509" s="211"/>
      <c r="E1509" s="211"/>
      <c r="F1509" s="211"/>
      <c r="G1509" s="211"/>
      <c r="H1509" s="211"/>
      <c r="I1509" s="211"/>
      <c r="J1509" s="16"/>
      <c r="K1509" s="1"/>
      <c r="M1509" s="1"/>
      <c r="N1509" s="1"/>
      <c r="O1509" s="1"/>
      <c r="P1509" s="1"/>
      <c r="Q1509" s="95"/>
      <c r="R1509" s="5" t="b">
        <f t="shared" si="264"/>
        <v>0</v>
      </c>
    </row>
    <row r="1510" spans="1:18" s="4" customFormat="1" ht="15" hidden="1" customHeight="1" thickBot="1">
      <c r="A1510" s="64"/>
      <c r="B1510" s="7">
        <f t="shared" si="265"/>
        <v>284</v>
      </c>
      <c r="C1510" s="211"/>
      <c r="D1510" s="211"/>
      <c r="E1510" s="211"/>
      <c r="F1510" s="211"/>
      <c r="G1510" s="211"/>
      <c r="H1510" s="211"/>
      <c r="I1510" s="211"/>
      <c r="J1510" s="16"/>
      <c r="K1510" s="1"/>
      <c r="M1510" s="1"/>
      <c r="N1510" s="1"/>
      <c r="O1510" s="1"/>
      <c r="P1510" s="1"/>
      <c r="Q1510" s="95"/>
      <c r="R1510" s="5" t="b">
        <f t="shared" si="264"/>
        <v>0</v>
      </c>
    </row>
    <row r="1511" spans="1:18" s="4" customFormat="1" ht="15" hidden="1" customHeight="1" thickBot="1">
      <c r="A1511" s="64"/>
      <c r="B1511" s="7">
        <f t="shared" si="265"/>
        <v>285</v>
      </c>
      <c r="C1511" s="211"/>
      <c r="D1511" s="211"/>
      <c r="E1511" s="211"/>
      <c r="F1511" s="211"/>
      <c r="G1511" s="211"/>
      <c r="H1511" s="211"/>
      <c r="I1511" s="211"/>
      <c r="J1511" s="16"/>
      <c r="K1511" s="1"/>
      <c r="M1511" s="1"/>
      <c r="N1511" s="1"/>
      <c r="O1511" s="1"/>
      <c r="P1511" s="1"/>
      <c r="Q1511" s="95"/>
      <c r="R1511" s="5" t="b">
        <f t="shared" si="264"/>
        <v>0</v>
      </c>
    </row>
    <row r="1512" spans="1:18" s="4" customFormat="1" ht="15" hidden="1" customHeight="1" thickBot="1">
      <c r="A1512" s="64"/>
      <c r="B1512" s="7">
        <f t="shared" si="265"/>
        <v>286</v>
      </c>
      <c r="C1512" s="211"/>
      <c r="D1512" s="211"/>
      <c r="E1512" s="211"/>
      <c r="F1512" s="211"/>
      <c r="G1512" s="211"/>
      <c r="H1512" s="211"/>
      <c r="I1512" s="211"/>
      <c r="J1512" s="16"/>
      <c r="K1512" s="1"/>
      <c r="M1512" s="1"/>
      <c r="N1512" s="1"/>
      <c r="O1512" s="1"/>
      <c r="P1512" s="1"/>
      <c r="Q1512" s="95"/>
      <c r="R1512" s="5" t="b">
        <f t="shared" si="264"/>
        <v>0</v>
      </c>
    </row>
    <row r="1513" spans="1:18" s="4" customFormat="1" ht="15" hidden="1" customHeight="1" thickBot="1">
      <c r="A1513" s="64"/>
      <c r="B1513" s="7">
        <f t="shared" si="265"/>
        <v>287</v>
      </c>
      <c r="C1513" s="211"/>
      <c r="D1513" s="211"/>
      <c r="E1513" s="211"/>
      <c r="F1513" s="211"/>
      <c r="G1513" s="211"/>
      <c r="H1513" s="211"/>
      <c r="I1513" s="211"/>
      <c r="J1513" s="16"/>
      <c r="K1513" s="1"/>
      <c r="M1513" s="1"/>
      <c r="N1513" s="1"/>
      <c r="O1513" s="1"/>
      <c r="P1513" s="1"/>
      <c r="Q1513" s="95"/>
      <c r="R1513" s="5" t="b">
        <f t="shared" si="264"/>
        <v>0</v>
      </c>
    </row>
    <row r="1514" spans="1:18" s="4" customFormat="1" ht="15" hidden="1" customHeight="1" thickBot="1">
      <c r="A1514" s="64"/>
      <c r="B1514" s="7">
        <f t="shared" si="265"/>
        <v>288</v>
      </c>
      <c r="C1514" s="211"/>
      <c r="D1514" s="211"/>
      <c r="E1514" s="211"/>
      <c r="F1514" s="211"/>
      <c r="G1514" s="211"/>
      <c r="H1514" s="211"/>
      <c r="I1514" s="211"/>
      <c r="J1514" s="16"/>
      <c r="K1514" s="1"/>
      <c r="M1514" s="1"/>
      <c r="N1514" s="1"/>
      <c r="O1514" s="1"/>
      <c r="P1514" s="1"/>
      <c r="Q1514" s="95"/>
      <c r="R1514" s="5" t="b">
        <f t="shared" si="264"/>
        <v>0</v>
      </c>
    </row>
    <row r="1515" spans="1:18" s="4" customFormat="1" ht="15" hidden="1" customHeight="1" thickBot="1">
      <c r="A1515" s="64"/>
      <c r="B1515" s="7">
        <f t="shared" si="265"/>
        <v>289</v>
      </c>
      <c r="C1515" s="211"/>
      <c r="D1515" s="211"/>
      <c r="E1515" s="211"/>
      <c r="F1515" s="211"/>
      <c r="G1515" s="211"/>
      <c r="H1515" s="211"/>
      <c r="I1515" s="211"/>
      <c r="J1515" s="16"/>
      <c r="K1515" s="1"/>
      <c r="M1515" s="1"/>
      <c r="N1515" s="1"/>
      <c r="O1515" s="1"/>
      <c r="P1515" s="1"/>
      <c r="Q1515" s="95"/>
      <c r="R1515" s="5" t="b">
        <f t="shared" si="264"/>
        <v>0</v>
      </c>
    </row>
    <row r="1516" spans="1:18" s="4" customFormat="1" ht="15" hidden="1" customHeight="1" thickBot="1">
      <c r="A1516" s="64"/>
      <c r="B1516" s="7">
        <f t="shared" si="265"/>
        <v>290</v>
      </c>
      <c r="C1516" s="211"/>
      <c r="D1516" s="211"/>
      <c r="E1516" s="211"/>
      <c r="F1516" s="211"/>
      <c r="G1516" s="211"/>
      <c r="H1516" s="211"/>
      <c r="I1516" s="211"/>
      <c r="J1516" s="16"/>
      <c r="K1516" s="1"/>
      <c r="M1516" s="1"/>
      <c r="N1516" s="1"/>
      <c r="O1516" s="1"/>
      <c r="P1516" s="1"/>
      <c r="Q1516" s="95"/>
      <c r="R1516" s="5" t="b">
        <f t="shared" si="264"/>
        <v>0</v>
      </c>
    </row>
    <row r="1517" spans="1:18" s="4" customFormat="1" ht="15" hidden="1" customHeight="1" thickBot="1">
      <c r="A1517" s="64"/>
      <c r="B1517" s="7">
        <f t="shared" si="265"/>
        <v>291</v>
      </c>
      <c r="C1517" s="211"/>
      <c r="D1517" s="211"/>
      <c r="E1517" s="211"/>
      <c r="F1517" s="211"/>
      <c r="G1517" s="211"/>
      <c r="H1517" s="211"/>
      <c r="I1517" s="211"/>
      <c r="J1517" s="16"/>
      <c r="K1517" s="1"/>
      <c r="M1517" s="1"/>
      <c r="N1517" s="1"/>
      <c r="O1517" s="1"/>
      <c r="P1517" s="1"/>
      <c r="Q1517" s="95"/>
      <c r="R1517" s="5" t="b">
        <f t="shared" si="264"/>
        <v>0</v>
      </c>
    </row>
    <row r="1518" spans="1:18" s="4" customFormat="1" ht="15" hidden="1" customHeight="1" thickBot="1">
      <c r="A1518" s="64"/>
      <c r="B1518" s="7">
        <f t="shared" si="265"/>
        <v>292</v>
      </c>
      <c r="C1518" s="211"/>
      <c r="D1518" s="211"/>
      <c r="E1518" s="211"/>
      <c r="F1518" s="211"/>
      <c r="G1518" s="211"/>
      <c r="H1518" s="211"/>
      <c r="I1518" s="211"/>
      <c r="J1518" s="16"/>
      <c r="K1518" s="1"/>
      <c r="M1518" s="1"/>
      <c r="N1518" s="1"/>
      <c r="O1518" s="1"/>
      <c r="P1518" s="1"/>
      <c r="Q1518" s="95"/>
      <c r="R1518" s="5" t="b">
        <f t="shared" si="264"/>
        <v>0</v>
      </c>
    </row>
    <row r="1519" spans="1:18" s="4" customFormat="1" ht="15" hidden="1" customHeight="1" thickBot="1">
      <c r="A1519" s="64"/>
      <c r="B1519" s="7">
        <f t="shared" si="265"/>
        <v>293</v>
      </c>
      <c r="C1519" s="211"/>
      <c r="D1519" s="211"/>
      <c r="E1519" s="211"/>
      <c r="F1519" s="211"/>
      <c r="G1519" s="211"/>
      <c r="H1519" s="211"/>
      <c r="I1519" s="211"/>
      <c r="J1519" s="16"/>
      <c r="K1519" s="1"/>
      <c r="M1519" s="1"/>
      <c r="N1519" s="1"/>
      <c r="O1519" s="1"/>
      <c r="P1519" s="1"/>
      <c r="Q1519" s="95"/>
      <c r="R1519" s="5" t="b">
        <f t="shared" ref="R1519:R1582" si="266">IF(O1519&gt;89.9999999999999%,"PAMA")</f>
        <v>0</v>
      </c>
    </row>
    <row r="1520" spans="1:18" s="4" customFormat="1" ht="15" hidden="1" customHeight="1" thickBot="1">
      <c r="A1520" s="64"/>
      <c r="B1520" s="7">
        <f t="shared" si="265"/>
        <v>294</v>
      </c>
      <c r="C1520" s="211"/>
      <c r="D1520" s="211"/>
      <c r="E1520" s="211"/>
      <c r="F1520" s="211"/>
      <c r="G1520" s="211"/>
      <c r="H1520" s="211"/>
      <c r="I1520" s="211"/>
      <c r="J1520" s="16"/>
      <c r="K1520" s="1"/>
      <c r="M1520" s="1"/>
      <c r="N1520" s="1"/>
      <c r="O1520" s="1"/>
      <c r="P1520" s="1"/>
      <c r="Q1520" s="95"/>
      <c r="R1520" s="5" t="b">
        <f t="shared" si="266"/>
        <v>0</v>
      </c>
    </row>
    <row r="1521" spans="1:18" s="4" customFormat="1" ht="15" hidden="1" customHeight="1" thickBot="1">
      <c r="A1521" s="64"/>
      <c r="B1521" s="7">
        <f t="shared" si="265"/>
        <v>295</v>
      </c>
      <c r="C1521" s="211"/>
      <c r="D1521" s="211"/>
      <c r="E1521" s="211"/>
      <c r="F1521" s="211"/>
      <c r="G1521" s="211"/>
      <c r="H1521" s="211"/>
      <c r="I1521" s="211"/>
      <c r="J1521" s="16"/>
      <c r="K1521" s="1"/>
      <c r="M1521" s="1"/>
      <c r="N1521" s="1"/>
      <c r="O1521" s="1"/>
      <c r="P1521" s="1"/>
      <c r="Q1521" s="95"/>
      <c r="R1521" s="5" t="b">
        <f t="shared" si="266"/>
        <v>0</v>
      </c>
    </row>
    <row r="1522" spans="1:18" s="4" customFormat="1" ht="15" hidden="1" customHeight="1" thickBot="1">
      <c r="A1522" s="64"/>
      <c r="B1522" s="7">
        <f t="shared" si="265"/>
        <v>296</v>
      </c>
      <c r="C1522" s="211"/>
      <c r="D1522" s="211"/>
      <c r="E1522" s="211"/>
      <c r="F1522" s="211"/>
      <c r="G1522" s="211"/>
      <c r="H1522" s="211"/>
      <c r="I1522" s="211"/>
      <c r="J1522" s="16"/>
      <c r="K1522" s="1"/>
      <c r="M1522" s="1"/>
      <c r="N1522" s="1"/>
      <c r="O1522" s="1"/>
      <c r="P1522" s="1"/>
      <c r="Q1522" s="95"/>
      <c r="R1522" s="5" t="b">
        <f t="shared" si="266"/>
        <v>0</v>
      </c>
    </row>
    <row r="1523" spans="1:18" s="4" customFormat="1" ht="15" hidden="1" customHeight="1" thickBot="1">
      <c r="A1523" s="64"/>
      <c r="B1523" s="7">
        <f t="shared" si="265"/>
        <v>297</v>
      </c>
      <c r="C1523" s="211"/>
      <c r="D1523" s="211"/>
      <c r="E1523" s="211"/>
      <c r="F1523" s="211"/>
      <c r="G1523" s="211"/>
      <c r="H1523" s="211"/>
      <c r="I1523" s="211"/>
      <c r="J1523" s="16"/>
      <c r="K1523" s="1"/>
      <c r="M1523" s="1"/>
      <c r="N1523" s="1"/>
      <c r="O1523" s="1"/>
      <c r="P1523" s="1"/>
      <c r="Q1523" s="95"/>
      <c r="R1523" s="5" t="b">
        <f t="shared" si="266"/>
        <v>0</v>
      </c>
    </row>
    <row r="1524" spans="1:18" s="4" customFormat="1" ht="15" hidden="1" customHeight="1" thickBot="1">
      <c r="A1524" s="64"/>
      <c r="B1524" s="7">
        <f t="shared" si="265"/>
        <v>298</v>
      </c>
      <c r="C1524" s="211"/>
      <c r="D1524" s="211"/>
      <c r="E1524" s="211"/>
      <c r="F1524" s="211"/>
      <c r="G1524" s="211"/>
      <c r="H1524" s="211"/>
      <c r="I1524" s="211"/>
      <c r="J1524" s="16"/>
      <c r="K1524" s="1"/>
      <c r="M1524" s="1"/>
      <c r="N1524" s="1"/>
      <c r="O1524" s="1"/>
      <c r="P1524" s="1"/>
      <c r="Q1524" s="95"/>
      <c r="R1524" s="5" t="b">
        <f t="shared" si="266"/>
        <v>0</v>
      </c>
    </row>
    <row r="1525" spans="1:18" s="4" customFormat="1" ht="15" hidden="1" customHeight="1" thickBot="1">
      <c r="A1525" s="64"/>
      <c r="B1525" s="7">
        <f t="shared" si="265"/>
        <v>299</v>
      </c>
      <c r="C1525" s="211"/>
      <c r="D1525" s="211"/>
      <c r="E1525" s="211"/>
      <c r="F1525" s="211"/>
      <c r="G1525" s="211"/>
      <c r="H1525" s="211"/>
      <c r="I1525" s="211"/>
      <c r="J1525" s="16"/>
      <c r="K1525" s="1"/>
      <c r="M1525" s="1"/>
      <c r="N1525" s="1"/>
      <c r="O1525" s="1"/>
      <c r="P1525" s="1"/>
      <c r="Q1525" s="95"/>
      <c r="R1525" s="5" t="b">
        <f t="shared" si="266"/>
        <v>0</v>
      </c>
    </row>
    <row r="1526" spans="1:18" s="4" customFormat="1" ht="15" hidden="1" customHeight="1" thickBot="1">
      <c r="A1526" s="64"/>
      <c r="B1526" s="7">
        <f t="shared" si="265"/>
        <v>300</v>
      </c>
      <c r="C1526" s="211"/>
      <c r="D1526" s="211"/>
      <c r="E1526" s="211"/>
      <c r="F1526" s="211"/>
      <c r="G1526" s="211"/>
      <c r="H1526" s="211"/>
      <c r="I1526" s="211"/>
      <c r="J1526" s="16"/>
      <c r="K1526" s="1"/>
      <c r="M1526" s="1"/>
      <c r="N1526" s="1"/>
      <c r="O1526" s="1"/>
      <c r="P1526" s="1"/>
      <c r="Q1526" s="95"/>
      <c r="R1526" s="5" t="b">
        <f t="shared" si="266"/>
        <v>0</v>
      </c>
    </row>
    <row r="1527" spans="1:18" s="4" customFormat="1" ht="15" hidden="1" customHeight="1" thickBot="1">
      <c r="A1527" s="64"/>
      <c r="B1527" s="7">
        <f t="shared" si="265"/>
        <v>301</v>
      </c>
      <c r="C1527" s="211"/>
      <c r="D1527" s="211"/>
      <c r="E1527" s="211"/>
      <c r="F1527" s="211"/>
      <c r="G1527" s="211"/>
      <c r="H1527" s="211"/>
      <c r="I1527" s="211"/>
      <c r="J1527" s="16"/>
      <c r="K1527" s="1"/>
      <c r="M1527" s="1"/>
      <c r="N1527" s="1"/>
      <c r="O1527" s="1"/>
      <c r="P1527" s="1"/>
      <c r="Q1527" s="95"/>
      <c r="R1527" s="5" t="b">
        <f t="shared" si="266"/>
        <v>0</v>
      </c>
    </row>
    <row r="1528" spans="1:18" s="4" customFormat="1" ht="15" hidden="1" customHeight="1" thickBot="1">
      <c r="A1528" s="64"/>
      <c r="B1528" s="7">
        <f t="shared" si="265"/>
        <v>302</v>
      </c>
      <c r="C1528" s="211"/>
      <c r="D1528" s="211"/>
      <c r="E1528" s="211"/>
      <c r="F1528" s="211"/>
      <c r="G1528" s="211"/>
      <c r="H1528" s="211"/>
      <c r="I1528" s="211"/>
      <c r="J1528" s="16"/>
      <c r="K1528" s="1"/>
      <c r="M1528" s="1"/>
      <c r="N1528" s="1"/>
      <c r="O1528" s="1"/>
      <c r="P1528" s="1"/>
      <c r="Q1528" s="95"/>
      <c r="R1528" s="5" t="b">
        <f t="shared" si="266"/>
        <v>0</v>
      </c>
    </row>
    <row r="1529" spans="1:18" s="4" customFormat="1" ht="15" hidden="1" customHeight="1" thickBot="1">
      <c r="A1529" s="64"/>
      <c r="B1529" s="7">
        <f t="shared" si="265"/>
        <v>303</v>
      </c>
      <c r="C1529" s="211"/>
      <c r="D1529" s="211"/>
      <c r="E1529" s="211"/>
      <c r="F1529" s="211"/>
      <c r="G1529" s="211"/>
      <c r="H1529" s="211"/>
      <c r="I1529" s="211"/>
      <c r="J1529" s="16"/>
      <c r="K1529" s="1"/>
      <c r="M1529" s="1"/>
      <c r="N1529" s="1"/>
      <c r="O1529" s="1"/>
      <c r="P1529" s="1"/>
      <c r="Q1529" s="95"/>
      <c r="R1529" s="5" t="b">
        <f t="shared" si="266"/>
        <v>0</v>
      </c>
    </row>
    <row r="1530" spans="1:18" s="4" customFormat="1" ht="15" hidden="1" customHeight="1" thickBot="1">
      <c r="A1530" s="64"/>
      <c r="B1530" s="7">
        <f t="shared" si="265"/>
        <v>304</v>
      </c>
      <c r="C1530" s="211"/>
      <c r="D1530" s="211"/>
      <c r="E1530" s="211"/>
      <c r="F1530" s="211"/>
      <c r="G1530" s="211"/>
      <c r="H1530" s="211"/>
      <c r="I1530" s="211"/>
      <c r="J1530" s="16"/>
      <c r="K1530" s="1"/>
      <c r="M1530" s="1"/>
      <c r="N1530" s="1"/>
      <c r="O1530" s="1"/>
      <c r="P1530" s="1"/>
      <c r="Q1530" s="95"/>
      <c r="R1530" s="5" t="b">
        <f t="shared" si="266"/>
        <v>0</v>
      </c>
    </row>
    <row r="1531" spans="1:18" s="4" customFormat="1" ht="15" hidden="1" customHeight="1" thickBot="1">
      <c r="A1531" s="64"/>
      <c r="B1531" s="7">
        <f t="shared" si="265"/>
        <v>305</v>
      </c>
      <c r="C1531" s="211"/>
      <c r="D1531" s="211"/>
      <c r="E1531" s="211"/>
      <c r="F1531" s="211"/>
      <c r="G1531" s="211"/>
      <c r="H1531" s="211"/>
      <c r="I1531" s="211"/>
      <c r="J1531" s="16"/>
      <c r="K1531" s="1"/>
      <c r="M1531" s="1"/>
      <c r="N1531" s="1"/>
      <c r="O1531" s="1"/>
      <c r="P1531" s="1"/>
      <c r="Q1531" s="95"/>
      <c r="R1531" s="5" t="b">
        <f t="shared" si="266"/>
        <v>0</v>
      </c>
    </row>
    <row r="1532" spans="1:18" s="4" customFormat="1" ht="15" hidden="1" customHeight="1" thickBot="1">
      <c r="A1532" s="64"/>
      <c r="B1532" s="7">
        <f t="shared" si="265"/>
        <v>306</v>
      </c>
      <c r="C1532" s="211"/>
      <c r="D1532" s="211"/>
      <c r="E1532" s="211"/>
      <c r="F1532" s="211"/>
      <c r="G1532" s="211"/>
      <c r="H1532" s="211"/>
      <c r="I1532" s="211"/>
      <c r="J1532" s="16"/>
      <c r="K1532" s="1"/>
      <c r="M1532" s="1"/>
      <c r="N1532" s="1"/>
      <c r="O1532" s="1"/>
      <c r="P1532" s="1"/>
      <c r="Q1532" s="95"/>
      <c r="R1532" s="5" t="b">
        <f t="shared" si="266"/>
        <v>0</v>
      </c>
    </row>
    <row r="1533" spans="1:18" s="4" customFormat="1" ht="15" hidden="1" customHeight="1" thickBot="1">
      <c r="A1533" s="64"/>
      <c r="B1533" s="7">
        <f t="shared" si="265"/>
        <v>307</v>
      </c>
      <c r="C1533" s="211"/>
      <c r="D1533" s="211"/>
      <c r="E1533" s="211"/>
      <c r="F1533" s="211"/>
      <c r="G1533" s="211"/>
      <c r="H1533" s="211"/>
      <c r="I1533" s="211"/>
      <c r="J1533" s="16"/>
      <c r="K1533" s="1"/>
      <c r="M1533" s="1"/>
      <c r="N1533" s="1"/>
      <c r="O1533" s="1"/>
      <c r="P1533" s="1"/>
      <c r="Q1533" s="95"/>
      <c r="R1533" s="5" t="b">
        <f t="shared" si="266"/>
        <v>0</v>
      </c>
    </row>
    <row r="1534" spans="1:18" s="4" customFormat="1" ht="15" hidden="1" customHeight="1" thickBot="1">
      <c r="A1534" s="64"/>
      <c r="B1534" s="7">
        <f t="shared" si="265"/>
        <v>308</v>
      </c>
      <c r="C1534" s="211"/>
      <c r="D1534" s="211"/>
      <c r="E1534" s="211"/>
      <c r="F1534" s="211"/>
      <c r="G1534" s="211"/>
      <c r="H1534" s="211"/>
      <c r="I1534" s="211"/>
      <c r="J1534" s="16"/>
      <c r="K1534" s="1"/>
      <c r="M1534" s="1"/>
      <c r="N1534" s="1"/>
      <c r="O1534" s="1"/>
      <c r="P1534" s="1"/>
      <c r="Q1534" s="95"/>
      <c r="R1534" s="5" t="b">
        <f t="shared" si="266"/>
        <v>0</v>
      </c>
    </row>
    <row r="1535" spans="1:18" s="4" customFormat="1" ht="15" hidden="1" customHeight="1" thickBot="1">
      <c r="A1535" s="64"/>
      <c r="B1535" s="7">
        <f t="shared" si="265"/>
        <v>309</v>
      </c>
      <c r="C1535" s="211"/>
      <c r="D1535" s="211"/>
      <c r="E1535" s="211"/>
      <c r="F1535" s="211"/>
      <c r="G1535" s="211"/>
      <c r="H1535" s="211"/>
      <c r="I1535" s="211"/>
      <c r="J1535" s="16"/>
      <c r="K1535" s="1"/>
      <c r="M1535" s="1"/>
      <c r="N1535" s="1"/>
      <c r="O1535" s="1"/>
      <c r="P1535" s="1"/>
      <c r="Q1535" s="95"/>
      <c r="R1535" s="5" t="b">
        <f t="shared" si="266"/>
        <v>0</v>
      </c>
    </row>
    <row r="1536" spans="1:18" s="4" customFormat="1" ht="15" hidden="1" customHeight="1" thickBot="1">
      <c r="A1536" s="64"/>
      <c r="B1536" s="7">
        <f t="shared" si="265"/>
        <v>310</v>
      </c>
      <c r="C1536" s="211"/>
      <c r="D1536" s="211"/>
      <c r="E1536" s="211"/>
      <c r="F1536" s="211"/>
      <c r="G1536" s="211"/>
      <c r="H1536" s="211"/>
      <c r="I1536" s="211"/>
      <c r="J1536" s="16"/>
      <c r="K1536" s="1"/>
      <c r="M1536" s="1"/>
      <c r="N1536" s="1"/>
      <c r="O1536" s="1"/>
      <c r="P1536" s="1"/>
      <c r="Q1536" s="95"/>
      <c r="R1536" s="5" t="b">
        <f t="shared" si="266"/>
        <v>0</v>
      </c>
    </row>
    <row r="1537" spans="1:18" s="4" customFormat="1" ht="15" hidden="1" customHeight="1" thickBot="1">
      <c r="A1537" s="64"/>
      <c r="B1537" s="7">
        <f t="shared" si="265"/>
        <v>311</v>
      </c>
      <c r="C1537" s="211"/>
      <c r="D1537" s="211"/>
      <c r="E1537" s="211"/>
      <c r="F1537" s="211"/>
      <c r="G1537" s="211"/>
      <c r="H1537" s="211"/>
      <c r="I1537" s="211"/>
      <c r="J1537" s="16"/>
      <c r="M1537" s="1"/>
      <c r="N1537" s="1"/>
      <c r="O1537" s="1"/>
      <c r="P1537" s="1"/>
      <c r="Q1537" s="95"/>
      <c r="R1537" s="5" t="b">
        <f t="shared" si="266"/>
        <v>0</v>
      </c>
    </row>
    <row r="1538" spans="1:18" s="4" customFormat="1" ht="15" hidden="1" customHeight="1" thickBot="1">
      <c r="A1538" s="64"/>
      <c r="B1538" s="7">
        <f t="shared" si="265"/>
        <v>312</v>
      </c>
      <c r="C1538" s="211"/>
      <c r="D1538" s="211"/>
      <c r="E1538" s="211"/>
      <c r="F1538" s="211"/>
      <c r="G1538" s="211"/>
      <c r="H1538" s="211"/>
      <c r="I1538" s="211"/>
      <c r="J1538" s="16"/>
      <c r="K1538" s="1"/>
      <c r="M1538" s="1"/>
      <c r="N1538" s="1"/>
      <c r="O1538" s="1"/>
      <c r="P1538" s="1"/>
      <c r="Q1538" s="95"/>
      <c r="R1538" s="5" t="b">
        <f t="shared" si="266"/>
        <v>0</v>
      </c>
    </row>
    <row r="1539" spans="1:18" s="4" customFormat="1" ht="15" hidden="1" customHeight="1" thickBot="1">
      <c r="A1539" s="64"/>
      <c r="B1539" s="7">
        <f t="shared" si="265"/>
        <v>313</v>
      </c>
      <c r="C1539" s="211"/>
      <c r="D1539" s="211"/>
      <c r="E1539" s="211"/>
      <c r="F1539" s="211"/>
      <c r="G1539" s="211"/>
      <c r="H1539" s="211"/>
      <c r="I1539" s="211"/>
      <c r="J1539" s="16"/>
      <c r="K1539" s="1"/>
      <c r="M1539" s="1"/>
      <c r="N1539" s="1"/>
      <c r="O1539" s="1"/>
      <c r="P1539" s="1"/>
      <c r="Q1539" s="95"/>
      <c r="R1539" s="5" t="b">
        <f t="shared" si="266"/>
        <v>0</v>
      </c>
    </row>
    <row r="1540" spans="1:18" s="4" customFormat="1" ht="15" hidden="1" customHeight="1" thickBot="1">
      <c r="A1540" s="64"/>
      <c r="B1540" s="7">
        <f t="shared" si="265"/>
        <v>314</v>
      </c>
      <c r="C1540" s="211"/>
      <c r="D1540" s="211"/>
      <c r="E1540" s="211"/>
      <c r="F1540" s="211"/>
      <c r="G1540" s="211"/>
      <c r="H1540" s="211"/>
      <c r="I1540" s="211"/>
      <c r="J1540" s="16"/>
      <c r="K1540" s="1"/>
      <c r="M1540" s="1"/>
      <c r="N1540" s="1"/>
      <c r="O1540" s="1"/>
      <c r="P1540" s="1"/>
      <c r="Q1540" s="95"/>
      <c r="R1540" s="5" t="b">
        <f t="shared" si="266"/>
        <v>0</v>
      </c>
    </row>
    <row r="1541" spans="1:18" s="4" customFormat="1" ht="15" hidden="1" customHeight="1" thickBot="1">
      <c r="A1541" s="64"/>
      <c r="B1541" s="7">
        <f t="shared" si="265"/>
        <v>315</v>
      </c>
      <c r="C1541" s="211"/>
      <c r="D1541" s="211"/>
      <c r="E1541" s="211"/>
      <c r="F1541" s="211"/>
      <c r="G1541" s="211"/>
      <c r="H1541" s="211"/>
      <c r="I1541" s="211"/>
      <c r="J1541" s="16"/>
      <c r="K1541" s="1"/>
      <c r="M1541" s="1"/>
      <c r="N1541" s="1"/>
      <c r="O1541" s="1"/>
      <c r="P1541" s="1"/>
      <c r="Q1541" s="95"/>
      <c r="R1541" s="5" t="b">
        <f t="shared" si="266"/>
        <v>0</v>
      </c>
    </row>
    <row r="1542" spans="1:18" s="4" customFormat="1" ht="15" hidden="1" customHeight="1" thickBot="1">
      <c r="A1542" s="64"/>
      <c r="B1542" s="7">
        <f t="shared" si="265"/>
        <v>316</v>
      </c>
      <c r="C1542" s="211"/>
      <c r="D1542" s="211"/>
      <c r="E1542" s="211"/>
      <c r="F1542" s="211"/>
      <c r="G1542" s="211"/>
      <c r="H1542" s="211"/>
      <c r="I1542" s="211"/>
      <c r="J1542" s="16"/>
      <c r="K1542" s="1"/>
      <c r="M1542" s="1"/>
      <c r="N1542" s="1"/>
      <c r="O1542" s="1"/>
      <c r="P1542" s="1"/>
      <c r="Q1542" s="95"/>
      <c r="R1542" s="5" t="b">
        <f t="shared" si="266"/>
        <v>0</v>
      </c>
    </row>
    <row r="1543" spans="1:18" s="4" customFormat="1" ht="15" hidden="1" customHeight="1" thickBot="1">
      <c r="A1543" s="64"/>
      <c r="B1543" s="7">
        <f t="shared" si="265"/>
        <v>317</v>
      </c>
      <c r="C1543" s="211"/>
      <c r="D1543" s="211"/>
      <c r="E1543" s="211"/>
      <c r="F1543" s="211"/>
      <c r="G1543" s="211"/>
      <c r="H1543" s="211"/>
      <c r="I1543" s="211"/>
      <c r="J1543" s="16"/>
      <c r="K1543" s="1"/>
      <c r="M1543" s="1"/>
      <c r="N1543" s="1"/>
      <c r="O1543" s="1"/>
      <c r="P1543" s="1"/>
      <c r="Q1543" s="95"/>
      <c r="R1543" s="5" t="b">
        <f t="shared" si="266"/>
        <v>0</v>
      </c>
    </row>
    <row r="1544" spans="1:18" s="4" customFormat="1" ht="15" hidden="1" customHeight="1" thickBot="1">
      <c r="A1544" s="64"/>
      <c r="B1544" s="7">
        <f t="shared" si="265"/>
        <v>318</v>
      </c>
      <c r="C1544" s="211"/>
      <c r="D1544" s="211"/>
      <c r="E1544" s="211"/>
      <c r="F1544" s="211"/>
      <c r="G1544" s="211"/>
      <c r="H1544" s="211"/>
      <c r="I1544" s="211"/>
      <c r="J1544" s="16"/>
      <c r="K1544" s="1"/>
      <c r="M1544" s="1"/>
      <c r="N1544" s="1"/>
      <c r="O1544" s="1"/>
      <c r="P1544" s="1"/>
      <c r="Q1544" s="95"/>
      <c r="R1544" s="5" t="b">
        <f t="shared" si="266"/>
        <v>0</v>
      </c>
    </row>
    <row r="1545" spans="1:18" s="4" customFormat="1" ht="15" hidden="1" customHeight="1" thickBot="1">
      <c r="A1545" s="64"/>
      <c r="B1545" s="7">
        <f t="shared" si="265"/>
        <v>319</v>
      </c>
      <c r="C1545" s="211"/>
      <c r="D1545" s="211"/>
      <c r="E1545" s="211"/>
      <c r="F1545" s="211"/>
      <c r="G1545" s="211"/>
      <c r="H1545" s="211"/>
      <c r="I1545" s="211"/>
      <c r="J1545" s="16"/>
      <c r="K1545" s="1"/>
      <c r="M1545" s="1"/>
      <c r="N1545" s="1"/>
      <c r="O1545" s="1"/>
      <c r="P1545" s="1"/>
      <c r="Q1545" s="95"/>
      <c r="R1545" s="5" t="b">
        <f t="shared" si="266"/>
        <v>0</v>
      </c>
    </row>
    <row r="1546" spans="1:18" s="4" customFormat="1" ht="15" hidden="1" customHeight="1" thickBot="1">
      <c r="A1546" s="64"/>
      <c r="B1546" s="7">
        <f t="shared" si="265"/>
        <v>320</v>
      </c>
      <c r="C1546" s="211"/>
      <c r="D1546" s="211"/>
      <c r="E1546" s="211"/>
      <c r="F1546" s="211"/>
      <c r="G1546" s="211"/>
      <c r="H1546" s="211"/>
      <c r="I1546" s="211"/>
      <c r="J1546" s="16"/>
      <c r="K1546" s="1"/>
      <c r="M1546" s="1"/>
      <c r="N1546" s="1"/>
      <c r="O1546" s="1"/>
      <c r="P1546" s="1"/>
      <c r="Q1546" s="95"/>
      <c r="R1546" s="5" t="b">
        <f t="shared" si="266"/>
        <v>0</v>
      </c>
    </row>
    <row r="1547" spans="1:18" s="4" customFormat="1" ht="15" hidden="1" customHeight="1" thickBot="1">
      <c r="A1547" s="64"/>
      <c r="B1547" s="7">
        <f t="shared" si="265"/>
        <v>321</v>
      </c>
      <c r="C1547" s="211"/>
      <c r="D1547" s="211"/>
      <c r="E1547" s="211"/>
      <c r="F1547" s="211"/>
      <c r="G1547" s="211"/>
      <c r="H1547" s="211"/>
      <c r="I1547" s="211"/>
      <c r="J1547" s="16"/>
      <c r="K1547" s="1"/>
      <c r="M1547" s="1"/>
      <c r="N1547" s="1"/>
      <c r="O1547" s="1"/>
      <c r="P1547" s="1"/>
      <c r="Q1547" s="95"/>
      <c r="R1547" s="5" t="b">
        <f t="shared" si="266"/>
        <v>0</v>
      </c>
    </row>
    <row r="1548" spans="1:18" s="4" customFormat="1" ht="15" customHeight="1" thickBot="1">
      <c r="A1548" s="69"/>
      <c r="B1548" s="324" t="s">
        <v>22</v>
      </c>
      <c r="C1548" s="325"/>
      <c r="D1548" s="325"/>
      <c r="E1548" s="326"/>
      <c r="F1548" s="70">
        <f>COUNTA(F1227:F1547)</f>
        <v>9</v>
      </c>
      <c r="G1548" s="71"/>
      <c r="H1548" s="72"/>
      <c r="I1548" s="72"/>
      <c r="J1548" s="113"/>
      <c r="K1548" s="96"/>
      <c r="L1548" s="96"/>
      <c r="M1548" s="96"/>
      <c r="N1548" s="96"/>
      <c r="O1548" s="96"/>
      <c r="P1548" s="96"/>
      <c r="Q1548" s="97"/>
      <c r="R1548" s="5" t="b">
        <f t="shared" si="266"/>
        <v>0</v>
      </c>
    </row>
    <row r="1549" spans="1:18" s="4" customFormat="1" ht="15" customHeight="1">
      <c r="A1549" s="64"/>
      <c r="B1549" s="327" t="s">
        <v>572</v>
      </c>
      <c r="C1549" s="328"/>
      <c r="D1549" s="328"/>
      <c r="E1549" s="328"/>
      <c r="F1549" s="328"/>
      <c r="G1549" s="328"/>
      <c r="H1549" s="328"/>
      <c r="I1549" s="328"/>
      <c r="J1549" s="328"/>
      <c r="K1549" s="328"/>
      <c r="L1549" s="328"/>
      <c r="M1549" s="328"/>
      <c r="N1549" s="328"/>
      <c r="O1549" s="328"/>
      <c r="P1549" s="328"/>
      <c r="Q1549" s="329"/>
      <c r="R1549" s="5" t="b">
        <f t="shared" si="266"/>
        <v>0</v>
      </c>
    </row>
    <row r="1550" spans="1:18" s="4" customFormat="1" ht="15" customHeight="1">
      <c r="A1550" s="64"/>
      <c r="B1550" s="7">
        <v>1</v>
      </c>
      <c r="C1550" s="177" t="s">
        <v>10</v>
      </c>
      <c r="D1550" s="177" t="s">
        <v>110</v>
      </c>
      <c r="E1550" s="177" t="s">
        <v>104</v>
      </c>
      <c r="F1550" s="177" t="s">
        <v>109</v>
      </c>
      <c r="G1550" s="177">
        <v>2010</v>
      </c>
      <c r="H1550" s="177" t="s">
        <v>106</v>
      </c>
      <c r="I1550" s="177"/>
      <c r="J1550" s="115"/>
      <c r="K1550" s="116">
        <v>238.32</v>
      </c>
      <c r="L1550" s="116">
        <v>14.67</v>
      </c>
      <c r="M1550" s="116">
        <v>467.01000000000005</v>
      </c>
      <c r="N1550" s="129">
        <f t="shared" ref="N1550:N1559" si="267">+K1550/(K1550+L1550)</f>
        <v>0.94201351832088231</v>
      </c>
      <c r="O1550" s="129">
        <f t="shared" ref="O1550:O1559" si="268">+(K1550+M1550)/(K1550+L1550+M1550)</f>
        <v>0.97962500000000008</v>
      </c>
      <c r="P1550" s="129">
        <f t="shared" ref="P1550:P1559" si="269">+K1550/(K1550+M1550)</f>
        <v>0.33788439453872654</v>
      </c>
      <c r="Q1550" s="114"/>
      <c r="R1550" s="5" t="str">
        <f t="shared" si="266"/>
        <v>PAMA</v>
      </c>
    </row>
    <row r="1551" spans="1:18" s="4" customFormat="1" ht="15" customHeight="1">
      <c r="A1551" s="64"/>
      <c r="B1551" s="7">
        <f>B1550+1</f>
        <v>2</v>
      </c>
      <c r="C1551" s="177" t="s">
        <v>10</v>
      </c>
      <c r="D1551" s="177" t="s">
        <v>2136</v>
      </c>
      <c r="E1551" s="177" t="s">
        <v>15</v>
      </c>
      <c r="F1551" s="177" t="s">
        <v>131</v>
      </c>
      <c r="G1551" s="177">
        <v>2011</v>
      </c>
      <c r="H1551" s="177" t="s">
        <v>114</v>
      </c>
      <c r="I1551" s="177" t="s">
        <v>127</v>
      </c>
      <c r="J1551" s="115"/>
      <c r="K1551" s="116">
        <v>372</v>
      </c>
      <c r="L1551" s="116">
        <v>60.67</v>
      </c>
      <c r="M1551" s="116">
        <v>287.33000000000004</v>
      </c>
      <c r="N1551" s="129">
        <f t="shared" si="267"/>
        <v>0.85977765964823072</v>
      </c>
      <c r="O1551" s="129">
        <f t="shared" si="268"/>
        <v>0.9157361111111112</v>
      </c>
      <c r="P1551" s="129">
        <f t="shared" si="269"/>
        <v>0.5642091213807956</v>
      </c>
      <c r="Q1551" s="114"/>
      <c r="R1551" s="5" t="str">
        <f t="shared" si="266"/>
        <v>PAMA</v>
      </c>
    </row>
    <row r="1552" spans="1:18" s="4" customFormat="1" ht="15" customHeight="1">
      <c r="A1552" s="64"/>
      <c r="B1552" s="7">
        <f t="shared" ref="B1552:B1769" si="270">B1551+1</f>
        <v>3</v>
      </c>
      <c r="C1552" s="177" t="s">
        <v>10</v>
      </c>
      <c r="D1552" s="177" t="s">
        <v>2296</v>
      </c>
      <c r="E1552" s="177" t="s">
        <v>15</v>
      </c>
      <c r="F1552" s="177" t="s">
        <v>131</v>
      </c>
      <c r="G1552" s="177">
        <v>2011</v>
      </c>
      <c r="H1552" s="177" t="s">
        <v>114</v>
      </c>
      <c r="I1552" s="177" t="s">
        <v>127</v>
      </c>
      <c r="J1552" s="115"/>
      <c r="K1552" s="116">
        <v>340</v>
      </c>
      <c r="L1552" s="116">
        <v>9.48</v>
      </c>
      <c r="M1552" s="116">
        <v>370.52</v>
      </c>
      <c r="N1552" s="129">
        <f t="shared" si="267"/>
        <v>0.97287398420510462</v>
      </c>
      <c r="O1552" s="129">
        <f t="shared" si="268"/>
        <v>0.98683333333333334</v>
      </c>
      <c r="P1552" s="129">
        <f t="shared" si="269"/>
        <v>0.47852277205427013</v>
      </c>
      <c r="Q1552" s="114"/>
      <c r="R1552" s="5" t="str">
        <f t="shared" si="266"/>
        <v>PAMA</v>
      </c>
    </row>
    <row r="1553" spans="1:18" s="4" customFormat="1" ht="15" customHeight="1">
      <c r="A1553" s="64"/>
      <c r="B1553" s="7">
        <f t="shared" si="270"/>
        <v>4</v>
      </c>
      <c r="C1553" s="177" t="s">
        <v>10</v>
      </c>
      <c r="D1553" s="177" t="s">
        <v>2244</v>
      </c>
      <c r="E1553" s="177" t="s">
        <v>15</v>
      </c>
      <c r="F1553" s="177" t="s">
        <v>131</v>
      </c>
      <c r="G1553" s="177">
        <v>2023</v>
      </c>
      <c r="H1553" s="177" t="s">
        <v>114</v>
      </c>
      <c r="I1553" s="177" t="s">
        <v>127</v>
      </c>
      <c r="J1553" s="115"/>
      <c r="K1553" s="116">
        <v>375</v>
      </c>
      <c r="L1553" s="116">
        <v>12</v>
      </c>
      <c r="M1553" s="116">
        <v>333</v>
      </c>
      <c r="N1553" s="129">
        <f t="shared" si="267"/>
        <v>0.96899224806201545</v>
      </c>
      <c r="O1553" s="129">
        <f t="shared" si="268"/>
        <v>0.98333333333333328</v>
      </c>
      <c r="P1553" s="129">
        <f t="shared" si="269"/>
        <v>0.52966101694915257</v>
      </c>
      <c r="Q1553" s="114"/>
      <c r="R1553" s="5" t="str">
        <f t="shared" si="266"/>
        <v>PAMA</v>
      </c>
    </row>
    <row r="1554" spans="1:18" s="4" customFormat="1" ht="15" customHeight="1">
      <c r="A1554" s="64"/>
      <c r="B1554" s="7">
        <f t="shared" si="270"/>
        <v>5</v>
      </c>
      <c r="C1554" s="177" t="s">
        <v>10</v>
      </c>
      <c r="D1554" s="177" t="s">
        <v>520</v>
      </c>
      <c r="E1554" s="177" t="s">
        <v>15</v>
      </c>
      <c r="F1554" s="177" t="s">
        <v>116</v>
      </c>
      <c r="G1554" s="177">
        <v>2008</v>
      </c>
      <c r="H1554" s="177" t="s">
        <v>114</v>
      </c>
      <c r="I1554" s="177" t="s">
        <v>115</v>
      </c>
      <c r="J1554" s="115"/>
      <c r="K1554" s="116">
        <v>61</v>
      </c>
      <c r="L1554" s="116">
        <v>7.07</v>
      </c>
      <c r="M1554" s="116">
        <v>651.92999999999995</v>
      </c>
      <c r="N1554" s="129">
        <f t="shared" si="267"/>
        <v>0.89613633024827388</v>
      </c>
      <c r="O1554" s="129">
        <f t="shared" si="268"/>
        <v>0.99018055555555551</v>
      </c>
      <c r="P1554" s="129">
        <f t="shared" si="269"/>
        <v>8.5562397430322762E-2</v>
      </c>
      <c r="Q1554" s="114"/>
      <c r="R1554" s="5" t="str">
        <f t="shared" si="266"/>
        <v>PAMA</v>
      </c>
    </row>
    <row r="1555" spans="1:18" s="4" customFormat="1" ht="15" customHeight="1">
      <c r="A1555" s="64"/>
      <c r="B1555" s="7">
        <f t="shared" si="270"/>
        <v>6</v>
      </c>
      <c r="C1555" s="177" t="s">
        <v>10</v>
      </c>
      <c r="D1555" s="177" t="s">
        <v>118</v>
      </c>
      <c r="E1555" s="177" t="s">
        <v>15</v>
      </c>
      <c r="F1555" s="177" t="s">
        <v>116</v>
      </c>
      <c r="G1555" s="177">
        <v>2009</v>
      </c>
      <c r="H1555" s="177" t="s">
        <v>114</v>
      </c>
      <c r="I1555" s="177" t="s">
        <v>115</v>
      </c>
      <c r="J1555" s="115"/>
      <c r="K1555" s="116">
        <v>0</v>
      </c>
      <c r="L1555" s="116">
        <v>0</v>
      </c>
      <c r="M1555" s="116">
        <v>720</v>
      </c>
      <c r="N1555" s="129" t="e">
        <f t="shared" si="267"/>
        <v>#DIV/0!</v>
      </c>
      <c r="O1555" s="129">
        <f t="shared" si="268"/>
        <v>1</v>
      </c>
      <c r="P1555" s="129">
        <f t="shared" si="269"/>
        <v>0</v>
      </c>
      <c r="Q1555" s="114"/>
      <c r="R1555" s="5" t="str">
        <f t="shared" si="266"/>
        <v>PAMA</v>
      </c>
    </row>
    <row r="1556" spans="1:18" s="4" customFormat="1" ht="15" customHeight="1">
      <c r="A1556" s="64"/>
      <c r="B1556" s="7">
        <f t="shared" si="270"/>
        <v>7</v>
      </c>
      <c r="C1556" s="177" t="s">
        <v>10</v>
      </c>
      <c r="D1556" s="177" t="s">
        <v>119</v>
      </c>
      <c r="E1556" s="177" t="s">
        <v>15</v>
      </c>
      <c r="F1556" s="177" t="s">
        <v>116</v>
      </c>
      <c r="G1556" s="177">
        <v>2010</v>
      </c>
      <c r="H1556" s="177" t="s">
        <v>114</v>
      </c>
      <c r="I1556" s="177" t="s">
        <v>115</v>
      </c>
      <c r="J1556" s="115"/>
      <c r="K1556" s="116">
        <v>389</v>
      </c>
      <c r="L1556" s="116">
        <v>22.48</v>
      </c>
      <c r="M1556" s="116">
        <v>308.52</v>
      </c>
      <c r="N1556" s="129">
        <f t="shared" si="267"/>
        <v>0.94536794011859626</v>
      </c>
      <c r="O1556" s="129">
        <f t="shared" si="268"/>
        <v>0.96877777777777774</v>
      </c>
      <c r="P1556" s="129">
        <f t="shared" si="269"/>
        <v>0.55769010207592618</v>
      </c>
      <c r="Q1556" s="114"/>
      <c r="R1556" s="5" t="str">
        <f t="shared" si="266"/>
        <v>PAMA</v>
      </c>
    </row>
    <row r="1557" spans="1:18" s="4" customFormat="1" ht="15" customHeight="1">
      <c r="A1557" s="64"/>
      <c r="B1557" s="7">
        <f t="shared" si="270"/>
        <v>8</v>
      </c>
      <c r="C1557" s="177" t="s">
        <v>10</v>
      </c>
      <c r="D1557" s="177" t="s">
        <v>121</v>
      </c>
      <c r="E1557" s="177" t="s">
        <v>15</v>
      </c>
      <c r="F1557" s="177" t="s">
        <v>116</v>
      </c>
      <c r="G1557" s="177">
        <v>2010</v>
      </c>
      <c r="H1557" s="177" t="s">
        <v>114</v>
      </c>
      <c r="I1557" s="177" t="s">
        <v>115</v>
      </c>
      <c r="J1557" s="115"/>
      <c r="K1557" s="116">
        <v>388</v>
      </c>
      <c r="L1557" s="116">
        <v>12</v>
      </c>
      <c r="M1557" s="116">
        <v>320</v>
      </c>
      <c r="N1557" s="129">
        <f t="shared" si="267"/>
        <v>0.97</v>
      </c>
      <c r="O1557" s="129">
        <f t="shared" si="268"/>
        <v>0.98333333333333328</v>
      </c>
      <c r="P1557" s="129">
        <f t="shared" si="269"/>
        <v>0.54802259887005644</v>
      </c>
      <c r="Q1557" s="114"/>
      <c r="R1557" s="5" t="str">
        <f t="shared" si="266"/>
        <v>PAMA</v>
      </c>
    </row>
    <row r="1558" spans="1:18" s="4" customFormat="1" ht="15" customHeight="1">
      <c r="A1558" s="64"/>
      <c r="B1558" s="7">
        <f t="shared" si="270"/>
        <v>9</v>
      </c>
      <c r="C1558" s="177" t="s">
        <v>10</v>
      </c>
      <c r="D1558" s="177" t="s">
        <v>124</v>
      </c>
      <c r="E1558" s="177" t="s">
        <v>15</v>
      </c>
      <c r="F1558" s="177" t="s">
        <v>116</v>
      </c>
      <c r="G1558" s="177">
        <v>2011</v>
      </c>
      <c r="H1558" s="177" t="s">
        <v>114</v>
      </c>
      <c r="I1558" s="177" t="s">
        <v>115</v>
      </c>
      <c r="J1558" s="115"/>
      <c r="K1558" s="116">
        <v>382</v>
      </c>
      <c r="L1558" s="116">
        <v>34.33</v>
      </c>
      <c r="M1558" s="116">
        <v>303.66999999999996</v>
      </c>
      <c r="N1558" s="129">
        <f t="shared" si="267"/>
        <v>0.9175413734297313</v>
      </c>
      <c r="O1558" s="129">
        <f t="shared" si="268"/>
        <v>0.95231944444444439</v>
      </c>
      <c r="P1558" s="129">
        <f t="shared" si="269"/>
        <v>0.55711931395569303</v>
      </c>
      <c r="Q1558" s="114"/>
      <c r="R1558" s="5" t="str">
        <f t="shared" si="266"/>
        <v>PAMA</v>
      </c>
    </row>
    <row r="1559" spans="1:18" s="4" customFormat="1" ht="15" customHeight="1">
      <c r="A1559" s="64"/>
      <c r="B1559" s="7">
        <f t="shared" si="270"/>
        <v>10</v>
      </c>
      <c r="C1559" s="177" t="s">
        <v>10</v>
      </c>
      <c r="D1559" s="177" t="s">
        <v>310</v>
      </c>
      <c r="E1559" s="177" t="s">
        <v>15</v>
      </c>
      <c r="F1559" s="177" t="s">
        <v>116</v>
      </c>
      <c r="G1559" s="177">
        <v>2011</v>
      </c>
      <c r="H1559" s="177" t="s">
        <v>114</v>
      </c>
      <c r="I1559" s="177" t="s">
        <v>115</v>
      </c>
      <c r="J1559" s="115"/>
      <c r="K1559" s="116">
        <v>310</v>
      </c>
      <c r="L1559" s="116">
        <v>126.12</v>
      </c>
      <c r="M1559" s="116">
        <v>283.88</v>
      </c>
      <c r="N1559" s="129">
        <f t="shared" si="267"/>
        <v>0.7108135375584701</v>
      </c>
      <c r="O1559" s="129">
        <f t="shared" si="268"/>
        <v>0.82483333333333331</v>
      </c>
      <c r="P1559" s="129">
        <f t="shared" si="269"/>
        <v>0.52199097460766486</v>
      </c>
      <c r="Q1559" s="114"/>
      <c r="R1559" s="5" t="b">
        <f t="shared" si="266"/>
        <v>0</v>
      </c>
    </row>
    <row r="1560" spans="1:18" s="4" customFormat="1" ht="15" customHeight="1">
      <c r="A1560" s="64"/>
      <c r="B1560" s="7">
        <f t="shared" si="270"/>
        <v>11</v>
      </c>
      <c r="C1560" s="177" t="s">
        <v>10</v>
      </c>
      <c r="D1560" s="177" t="s">
        <v>143</v>
      </c>
      <c r="E1560" s="177" t="s">
        <v>15</v>
      </c>
      <c r="F1560" s="177" t="s">
        <v>136</v>
      </c>
      <c r="G1560" s="177">
        <v>2009</v>
      </c>
      <c r="H1560" s="177" t="s">
        <v>135</v>
      </c>
      <c r="I1560" s="177" t="s">
        <v>137</v>
      </c>
      <c r="J1560" s="115"/>
      <c r="K1560" s="116">
        <v>282.97000000000003</v>
      </c>
      <c r="L1560" s="116">
        <v>55.28</v>
      </c>
      <c r="M1560" s="116">
        <v>381.75</v>
      </c>
      <c r="N1560" s="129">
        <f t="shared" ref="N1560" si="271">+K1560/(K1560+L1560)</f>
        <v>0.83657058388765715</v>
      </c>
      <c r="O1560" s="129">
        <f t="shared" ref="O1560" si="272">+(K1560+M1560)/(K1560+L1560+M1560)</f>
        <v>0.92322222222222228</v>
      </c>
      <c r="P1560" s="129">
        <f t="shared" ref="P1560" si="273">+K1560/(K1560+M1560)</f>
        <v>0.42569803827175356</v>
      </c>
      <c r="Q1560" s="114"/>
      <c r="R1560" s="5" t="str">
        <f t="shared" si="266"/>
        <v>PAMA</v>
      </c>
    </row>
    <row r="1561" spans="1:18" s="4" customFormat="1" ht="15" customHeight="1">
      <c r="A1561" s="64"/>
      <c r="B1561" s="7">
        <f t="shared" si="270"/>
        <v>12</v>
      </c>
      <c r="C1561" s="177" t="s">
        <v>10</v>
      </c>
      <c r="D1561" s="177" t="s">
        <v>287</v>
      </c>
      <c r="E1561" s="177" t="s">
        <v>15</v>
      </c>
      <c r="F1561" s="177" t="s">
        <v>228</v>
      </c>
      <c r="G1561" s="177"/>
      <c r="H1561" s="177" t="s">
        <v>148</v>
      </c>
      <c r="I1561" s="177" t="s">
        <v>149</v>
      </c>
      <c r="J1561" s="115"/>
      <c r="K1561" s="116">
        <v>24.5</v>
      </c>
      <c r="L1561" s="116">
        <v>11.55</v>
      </c>
      <c r="M1561" s="116">
        <v>683.95</v>
      </c>
      <c r="N1561" s="129">
        <f t="shared" ref="N1561" si="274">+K1561/(K1561+L1561)</f>
        <v>0.67961165048543692</v>
      </c>
      <c r="O1561" s="129">
        <f t="shared" ref="O1561" si="275">+(K1561+M1561)/(K1561+L1561+M1561)</f>
        <v>0.98395833333333338</v>
      </c>
      <c r="P1561" s="129">
        <f t="shared" ref="P1561" si="276">+K1561/(K1561+M1561)</f>
        <v>3.4582539346460578E-2</v>
      </c>
      <c r="Q1561" s="114"/>
      <c r="R1561" s="5" t="str">
        <f t="shared" si="266"/>
        <v>PAMA</v>
      </c>
    </row>
    <row r="1562" spans="1:18" s="4" customFormat="1" ht="15" hidden="1" customHeight="1">
      <c r="A1562" s="64"/>
      <c r="B1562" s="7">
        <f t="shared" si="270"/>
        <v>13</v>
      </c>
      <c r="C1562" s="177"/>
      <c r="D1562" s="177"/>
      <c r="E1562" s="177"/>
      <c r="F1562" s="177"/>
      <c r="G1562" s="177"/>
      <c r="H1562" s="177"/>
      <c r="I1562" s="177"/>
      <c r="J1562" s="115"/>
      <c r="K1562" s="116"/>
      <c r="L1562" s="116"/>
      <c r="M1562" s="116"/>
      <c r="N1562" s="129" t="e">
        <f t="shared" ref="N1562" si="277">+K1562/(K1562+L1562)</f>
        <v>#DIV/0!</v>
      </c>
      <c r="O1562" s="129" t="e">
        <f t="shared" ref="O1562" si="278">+(K1562+M1562)/(K1562+L1562+M1562)</f>
        <v>#DIV/0!</v>
      </c>
      <c r="P1562" s="129" t="e">
        <f>+K1562/(K1562+M1562)</f>
        <v>#DIV/0!</v>
      </c>
      <c r="Q1562" s="114"/>
      <c r="R1562" s="5" t="e">
        <f t="shared" si="266"/>
        <v>#DIV/0!</v>
      </c>
    </row>
    <row r="1563" spans="1:18" s="4" customFormat="1" ht="15" hidden="1" customHeight="1">
      <c r="A1563" s="64"/>
      <c r="B1563" s="7">
        <f t="shared" si="270"/>
        <v>14</v>
      </c>
      <c r="C1563" s="177"/>
      <c r="D1563" s="177"/>
      <c r="E1563" s="177"/>
      <c r="F1563" s="177"/>
      <c r="G1563" s="177"/>
      <c r="H1563" s="177"/>
      <c r="I1563" s="177"/>
      <c r="J1563" s="115"/>
      <c r="K1563" s="116"/>
      <c r="L1563" s="116"/>
      <c r="M1563" s="116"/>
      <c r="N1563" s="129"/>
      <c r="O1563" s="129"/>
      <c r="P1563" s="129"/>
      <c r="Q1563" s="114"/>
      <c r="R1563" s="5" t="b">
        <f t="shared" si="266"/>
        <v>0</v>
      </c>
    </row>
    <row r="1564" spans="1:18" s="4" customFormat="1" ht="15" hidden="1" customHeight="1">
      <c r="A1564" s="64"/>
      <c r="B1564" s="7">
        <f t="shared" si="270"/>
        <v>15</v>
      </c>
      <c r="C1564" s="177"/>
      <c r="D1564" s="177"/>
      <c r="E1564" s="177"/>
      <c r="F1564" s="177"/>
      <c r="G1564" s="177"/>
      <c r="H1564" s="177"/>
      <c r="I1564" s="177"/>
      <c r="J1564" s="115"/>
      <c r="K1564" s="116"/>
      <c r="L1564" s="116"/>
      <c r="M1564" s="116"/>
      <c r="N1564" s="129" t="e">
        <f t="shared" ref="N1564:N1569" si="279">+K1564/(K1564+L1564)</f>
        <v>#DIV/0!</v>
      </c>
      <c r="O1564" s="129" t="e">
        <f t="shared" ref="O1564:O1569" si="280">+(K1564+M1564)/(K1564+L1564+M1564)</f>
        <v>#DIV/0!</v>
      </c>
      <c r="P1564" s="129" t="e">
        <f t="shared" ref="P1564:P1569" si="281">+K1564/(K1564+M1564)</f>
        <v>#DIV/0!</v>
      </c>
      <c r="Q1564" s="114"/>
      <c r="R1564" s="5" t="e">
        <f t="shared" si="266"/>
        <v>#DIV/0!</v>
      </c>
    </row>
    <row r="1565" spans="1:18" s="4" customFormat="1" ht="15" hidden="1" customHeight="1">
      <c r="A1565" s="64"/>
      <c r="B1565" s="7">
        <f t="shared" si="270"/>
        <v>16</v>
      </c>
      <c r="C1565" s="177"/>
      <c r="D1565" s="177"/>
      <c r="E1565" s="177"/>
      <c r="F1565" s="177"/>
      <c r="G1565" s="177"/>
      <c r="H1565" s="177"/>
      <c r="I1565" s="177"/>
      <c r="J1565" s="115"/>
      <c r="K1565" s="116"/>
      <c r="L1565" s="116"/>
      <c r="M1565" s="116"/>
      <c r="N1565" s="129" t="e">
        <f t="shared" si="279"/>
        <v>#DIV/0!</v>
      </c>
      <c r="O1565" s="129" t="e">
        <f t="shared" si="280"/>
        <v>#DIV/0!</v>
      </c>
      <c r="P1565" s="129" t="e">
        <f t="shared" si="281"/>
        <v>#DIV/0!</v>
      </c>
      <c r="Q1565" s="114"/>
      <c r="R1565" s="5" t="e">
        <f t="shared" si="266"/>
        <v>#DIV/0!</v>
      </c>
    </row>
    <row r="1566" spans="1:18" s="4" customFormat="1" ht="15" hidden="1" customHeight="1">
      <c r="A1566" s="64"/>
      <c r="B1566" s="7">
        <f t="shared" si="270"/>
        <v>17</v>
      </c>
      <c r="C1566" s="177"/>
      <c r="D1566" s="177"/>
      <c r="E1566" s="177"/>
      <c r="F1566" s="177"/>
      <c r="G1566" s="177"/>
      <c r="H1566" s="177"/>
      <c r="I1566" s="177"/>
      <c r="J1566" s="115"/>
      <c r="K1566" s="116"/>
      <c r="L1566" s="116"/>
      <c r="M1566" s="116"/>
      <c r="N1566" s="129" t="e">
        <f t="shared" si="279"/>
        <v>#DIV/0!</v>
      </c>
      <c r="O1566" s="129" t="e">
        <f t="shared" si="280"/>
        <v>#DIV/0!</v>
      </c>
      <c r="P1566" s="129" t="e">
        <f t="shared" si="281"/>
        <v>#DIV/0!</v>
      </c>
      <c r="Q1566" s="114"/>
      <c r="R1566" s="5" t="e">
        <f t="shared" si="266"/>
        <v>#DIV/0!</v>
      </c>
    </row>
    <row r="1567" spans="1:18" s="4" customFormat="1" ht="15" hidden="1" customHeight="1">
      <c r="A1567" s="64"/>
      <c r="B1567" s="7">
        <f t="shared" si="270"/>
        <v>18</v>
      </c>
      <c r="C1567" s="177"/>
      <c r="D1567" s="177"/>
      <c r="E1567" s="177"/>
      <c r="F1567" s="177"/>
      <c r="G1567" s="177"/>
      <c r="H1567" s="177"/>
      <c r="I1567" s="177"/>
      <c r="J1567" s="115"/>
      <c r="K1567" s="116"/>
      <c r="L1567" s="116"/>
      <c r="M1567" s="116"/>
      <c r="N1567" s="129" t="e">
        <f t="shared" si="279"/>
        <v>#DIV/0!</v>
      </c>
      <c r="O1567" s="129" t="e">
        <f t="shared" si="280"/>
        <v>#DIV/0!</v>
      </c>
      <c r="P1567" s="129" t="e">
        <f t="shared" si="281"/>
        <v>#DIV/0!</v>
      </c>
      <c r="Q1567" s="114"/>
      <c r="R1567" s="5" t="e">
        <f t="shared" si="266"/>
        <v>#DIV/0!</v>
      </c>
    </row>
    <row r="1568" spans="1:18" s="4" customFormat="1" ht="15" hidden="1" customHeight="1">
      <c r="A1568" s="64"/>
      <c r="B1568" s="7">
        <f t="shared" si="270"/>
        <v>19</v>
      </c>
      <c r="C1568" s="177"/>
      <c r="D1568" s="177"/>
      <c r="E1568" s="177"/>
      <c r="F1568" s="177"/>
      <c r="G1568" s="177"/>
      <c r="H1568" s="177"/>
      <c r="I1568" s="177"/>
      <c r="J1568" s="115"/>
      <c r="K1568" s="116"/>
      <c r="L1568" s="116"/>
      <c r="M1568" s="116"/>
      <c r="N1568" s="129" t="e">
        <f t="shared" si="279"/>
        <v>#DIV/0!</v>
      </c>
      <c r="O1568" s="129" t="e">
        <f t="shared" si="280"/>
        <v>#DIV/0!</v>
      </c>
      <c r="P1568" s="129" t="e">
        <f t="shared" si="281"/>
        <v>#DIV/0!</v>
      </c>
      <c r="Q1568" s="114"/>
      <c r="R1568" s="5" t="e">
        <f t="shared" si="266"/>
        <v>#DIV/0!</v>
      </c>
    </row>
    <row r="1569" spans="1:18" s="4" customFormat="1" ht="15" hidden="1" customHeight="1">
      <c r="A1569" s="64"/>
      <c r="B1569" s="7">
        <f t="shared" si="270"/>
        <v>20</v>
      </c>
      <c r="C1569" s="177"/>
      <c r="D1569" s="177"/>
      <c r="E1569" s="177"/>
      <c r="F1569" s="177"/>
      <c r="G1569" s="177"/>
      <c r="H1569" s="177"/>
      <c r="I1569" s="177"/>
      <c r="J1569" s="115"/>
      <c r="K1569" s="116"/>
      <c r="L1569" s="116"/>
      <c r="M1569" s="116"/>
      <c r="N1569" s="129" t="e">
        <f t="shared" si="279"/>
        <v>#DIV/0!</v>
      </c>
      <c r="O1569" s="129" t="e">
        <f t="shared" si="280"/>
        <v>#DIV/0!</v>
      </c>
      <c r="P1569" s="129" t="e">
        <f t="shared" si="281"/>
        <v>#DIV/0!</v>
      </c>
      <c r="Q1569" s="114"/>
      <c r="R1569" s="5" t="e">
        <f t="shared" si="266"/>
        <v>#DIV/0!</v>
      </c>
    </row>
    <row r="1570" spans="1:18" s="4" customFormat="1" ht="15" hidden="1" customHeight="1">
      <c r="A1570" s="64"/>
      <c r="B1570" s="7">
        <f t="shared" si="270"/>
        <v>21</v>
      </c>
      <c r="C1570" s="177"/>
      <c r="D1570" s="177"/>
      <c r="E1570" s="177"/>
      <c r="F1570" s="177"/>
      <c r="G1570" s="177"/>
      <c r="H1570" s="177"/>
      <c r="I1570" s="177"/>
      <c r="J1570" s="115"/>
      <c r="K1570" s="116"/>
      <c r="L1570" s="116"/>
      <c r="M1570" s="116"/>
      <c r="N1570" s="129"/>
      <c r="O1570" s="129"/>
      <c r="P1570" s="129"/>
      <c r="Q1570" s="114"/>
      <c r="R1570" s="5" t="b">
        <f t="shared" si="266"/>
        <v>0</v>
      </c>
    </row>
    <row r="1571" spans="1:18" s="4" customFormat="1" ht="15" hidden="1" customHeight="1">
      <c r="A1571" s="64"/>
      <c r="B1571" s="7">
        <f t="shared" si="270"/>
        <v>22</v>
      </c>
      <c r="C1571" s="177"/>
      <c r="D1571" s="177"/>
      <c r="E1571" s="177"/>
      <c r="F1571" s="177"/>
      <c r="G1571" s="177"/>
      <c r="H1571" s="177"/>
      <c r="I1571" s="177"/>
      <c r="J1571" s="115"/>
      <c r="K1571" s="116"/>
      <c r="L1571" s="116"/>
      <c r="M1571" s="116"/>
      <c r="N1571" s="129" t="e">
        <f t="shared" ref="N1571:N1605" si="282">+K1571/(K1571+L1571)</f>
        <v>#DIV/0!</v>
      </c>
      <c r="O1571" s="129" t="e">
        <f t="shared" ref="O1571:O1605" si="283">+(K1571+M1571)/(K1571+L1571+M1571)</f>
        <v>#DIV/0!</v>
      </c>
      <c r="P1571" s="129" t="e">
        <f t="shared" ref="P1571:P1605" si="284">+K1571/(K1571+M1571)</f>
        <v>#DIV/0!</v>
      </c>
      <c r="Q1571" s="114"/>
      <c r="R1571" s="5" t="e">
        <f t="shared" si="266"/>
        <v>#DIV/0!</v>
      </c>
    </row>
    <row r="1572" spans="1:18" s="4" customFormat="1" ht="15" hidden="1" customHeight="1">
      <c r="A1572" s="64"/>
      <c r="B1572" s="7">
        <f t="shared" si="270"/>
        <v>23</v>
      </c>
      <c r="C1572" s="177"/>
      <c r="D1572" s="177"/>
      <c r="E1572" s="177"/>
      <c r="F1572" s="177"/>
      <c r="G1572" s="177"/>
      <c r="H1572" s="177"/>
      <c r="I1572" s="177"/>
      <c r="J1572" s="115"/>
      <c r="K1572" s="116"/>
      <c r="L1572" s="116"/>
      <c r="M1572" s="116"/>
      <c r="N1572" s="129" t="e">
        <f t="shared" si="282"/>
        <v>#DIV/0!</v>
      </c>
      <c r="O1572" s="129" t="e">
        <f t="shared" si="283"/>
        <v>#DIV/0!</v>
      </c>
      <c r="P1572" s="129" t="e">
        <f t="shared" si="284"/>
        <v>#DIV/0!</v>
      </c>
      <c r="Q1572" s="114"/>
      <c r="R1572" s="5" t="e">
        <f t="shared" si="266"/>
        <v>#DIV/0!</v>
      </c>
    </row>
    <row r="1573" spans="1:18" s="4" customFormat="1" ht="15" hidden="1" customHeight="1">
      <c r="A1573" s="64"/>
      <c r="B1573" s="7">
        <f t="shared" si="270"/>
        <v>24</v>
      </c>
      <c r="C1573" s="177"/>
      <c r="D1573" s="177"/>
      <c r="E1573" s="177"/>
      <c r="F1573" s="177"/>
      <c r="G1573" s="177"/>
      <c r="H1573" s="177"/>
      <c r="I1573" s="177"/>
      <c r="J1573" s="115"/>
      <c r="K1573" s="116"/>
      <c r="L1573" s="116"/>
      <c r="M1573" s="116"/>
      <c r="N1573" s="129" t="e">
        <f t="shared" si="282"/>
        <v>#DIV/0!</v>
      </c>
      <c r="O1573" s="129" t="e">
        <f t="shared" si="283"/>
        <v>#DIV/0!</v>
      </c>
      <c r="P1573" s="129" t="e">
        <f t="shared" si="284"/>
        <v>#DIV/0!</v>
      </c>
      <c r="Q1573" s="114"/>
      <c r="R1573" s="5" t="e">
        <f t="shared" si="266"/>
        <v>#DIV/0!</v>
      </c>
    </row>
    <row r="1574" spans="1:18" s="4" customFormat="1" ht="15" hidden="1" customHeight="1">
      <c r="A1574" s="64"/>
      <c r="B1574" s="7">
        <f t="shared" si="270"/>
        <v>25</v>
      </c>
      <c r="C1574" s="177"/>
      <c r="D1574" s="177"/>
      <c r="E1574" s="177"/>
      <c r="F1574" s="177"/>
      <c r="G1574" s="177"/>
      <c r="H1574" s="177"/>
      <c r="I1574" s="177"/>
      <c r="J1574" s="115"/>
      <c r="K1574" s="116"/>
      <c r="L1574" s="116"/>
      <c r="M1574" s="116"/>
      <c r="N1574" s="129" t="e">
        <f t="shared" si="282"/>
        <v>#DIV/0!</v>
      </c>
      <c r="O1574" s="129" t="e">
        <f t="shared" si="283"/>
        <v>#DIV/0!</v>
      </c>
      <c r="P1574" s="129" t="e">
        <f t="shared" si="284"/>
        <v>#DIV/0!</v>
      </c>
      <c r="Q1574" s="114"/>
      <c r="R1574" s="5" t="e">
        <f t="shared" si="266"/>
        <v>#DIV/0!</v>
      </c>
    </row>
    <row r="1575" spans="1:18" s="4" customFormat="1" ht="15" hidden="1" customHeight="1">
      <c r="A1575" s="64"/>
      <c r="B1575" s="7">
        <f t="shared" si="270"/>
        <v>26</v>
      </c>
      <c r="C1575" s="177"/>
      <c r="D1575" s="177"/>
      <c r="E1575" s="177"/>
      <c r="F1575" s="177"/>
      <c r="G1575" s="177"/>
      <c r="H1575" s="177"/>
      <c r="I1575" s="177"/>
      <c r="J1575" s="115"/>
      <c r="K1575" s="116"/>
      <c r="L1575" s="116"/>
      <c r="M1575" s="116"/>
      <c r="N1575" s="129" t="e">
        <f t="shared" si="282"/>
        <v>#DIV/0!</v>
      </c>
      <c r="O1575" s="129" t="e">
        <f t="shared" si="283"/>
        <v>#DIV/0!</v>
      </c>
      <c r="P1575" s="129" t="e">
        <f t="shared" si="284"/>
        <v>#DIV/0!</v>
      </c>
      <c r="Q1575" s="114"/>
      <c r="R1575" s="5" t="e">
        <f t="shared" si="266"/>
        <v>#DIV/0!</v>
      </c>
    </row>
    <row r="1576" spans="1:18" s="4" customFormat="1" ht="15" hidden="1" customHeight="1">
      <c r="A1576" s="64"/>
      <c r="B1576" s="7">
        <f t="shared" si="270"/>
        <v>27</v>
      </c>
      <c r="C1576" s="177"/>
      <c r="D1576" s="177"/>
      <c r="E1576" s="177"/>
      <c r="F1576" s="177"/>
      <c r="G1576" s="177"/>
      <c r="H1576" s="177"/>
      <c r="I1576" s="177"/>
      <c r="J1576" s="115"/>
      <c r="K1576" s="116"/>
      <c r="L1576" s="116"/>
      <c r="M1576" s="116"/>
      <c r="N1576" s="129" t="e">
        <f t="shared" si="282"/>
        <v>#DIV/0!</v>
      </c>
      <c r="O1576" s="129" t="e">
        <f t="shared" si="283"/>
        <v>#DIV/0!</v>
      </c>
      <c r="P1576" s="129" t="e">
        <f t="shared" si="284"/>
        <v>#DIV/0!</v>
      </c>
      <c r="Q1576" s="114"/>
      <c r="R1576" s="5" t="e">
        <f t="shared" si="266"/>
        <v>#DIV/0!</v>
      </c>
    </row>
    <row r="1577" spans="1:18" s="4" customFormat="1" ht="15" hidden="1" customHeight="1">
      <c r="A1577" s="64"/>
      <c r="B1577" s="7">
        <f t="shared" si="270"/>
        <v>28</v>
      </c>
      <c r="C1577" s="177"/>
      <c r="D1577" s="177"/>
      <c r="E1577" s="177"/>
      <c r="F1577" s="177"/>
      <c r="G1577" s="177"/>
      <c r="H1577" s="177"/>
      <c r="I1577" s="177"/>
      <c r="J1577" s="115"/>
      <c r="K1577" s="116"/>
      <c r="L1577" s="116"/>
      <c r="M1577" s="116"/>
      <c r="N1577" s="129" t="e">
        <f t="shared" si="282"/>
        <v>#DIV/0!</v>
      </c>
      <c r="O1577" s="129" t="e">
        <f t="shared" si="283"/>
        <v>#DIV/0!</v>
      </c>
      <c r="P1577" s="129" t="e">
        <f t="shared" si="284"/>
        <v>#DIV/0!</v>
      </c>
      <c r="Q1577" s="114"/>
      <c r="R1577" s="5" t="e">
        <f t="shared" si="266"/>
        <v>#DIV/0!</v>
      </c>
    </row>
    <row r="1578" spans="1:18" s="4" customFormat="1" ht="15" hidden="1" customHeight="1">
      <c r="A1578" s="64"/>
      <c r="B1578" s="7">
        <f t="shared" si="270"/>
        <v>29</v>
      </c>
      <c r="C1578" s="177"/>
      <c r="D1578" s="177"/>
      <c r="E1578" s="177"/>
      <c r="F1578" s="177"/>
      <c r="G1578" s="177"/>
      <c r="H1578" s="177"/>
      <c r="I1578" s="177"/>
      <c r="J1578" s="115"/>
      <c r="K1578" s="116"/>
      <c r="L1578" s="116"/>
      <c r="M1578" s="116"/>
      <c r="N1578" s="129" t="e">
        <f t="shared" si="282"/>
        <v>#DIV/0!</v>
      </c>
      <c r="O1578" s="129" t="e">
        <f t="shared" si="283"/>
        <v>#DIV/0!</v>
      </c>
      <c r="P1578" s="129" t="e">
        <f t="shared" si="284"/>
        <v>#DIV/0!</v>
      </c>
      <c r="Q1578" s="114"/>
      <c r="R1578" s="5" t="e">
        <f t="shared" si="266"/>
        <v>#DIV/0!</v>
      </c>
    </row>
    <row r="1579" spans="1:18" s="4" customFormat="1" ht="15" hidden="1" customHeight="1">
      <c r="A1579" s="64"/>
      <c r="B1579" s="7">
        <f t="shared" si="270"/>
        <v>30</v>
      </c>
      <c r="C1579" s="177"/>
      <c r="D1579" s="177"/>
      <c r="E1579" s="177"/>
      <c r="F1579" s="177"/>
      <c r="G1579" s="177"/>
      <c r="H1579" s="177"/>
      <c r="I1579" s="177"/>
      <c r="J1579" s="115"/>
      <c r="K1579" s="116"/>
      <c r="L1579" s="116"/>
      <c r="M1579" s="116"/>
      <c r="N1579" s="129" t="e">
        <f t="shared" si="282"/>
        <v>#DIV/0!</v>
      </c>
      <c r="O1579" s="129" t="e">
        <f t="shared" si="283"/>
        <v>#DIV/0!</v>
      </c>
      <c r="P1579" s="129" t="e">
        <f t="shared" si="284"/>
        <v>#DIV/0!</v>
      </c>
      <c r="Q1579" s="114"/>
      <c r="R1579" s="5" t="e">
        <f t="shared" si="266"/>
        <v>#DIV/0!</v>
      </c>
    </row>
    <row r="1580" spans="1:18" s="4" customFormat="1" ht="15" hidden="1" customHeight="1">
      <c r="A1580" s="64"/>
      <c r="B1580" s="7">
        <f t="shared" si="270"/>
        <v>31</v>
      </c>
      <c r="C1580" s="177"/>
      <c r="D1580" s="177"/>
      <c r="E1580" s="177"/>
      <c r="F1580" s="177"/>
      <c r="G1580" s="177"/>
      <c r="H1580" s="177"/>
      <c r="I1580" s="177"/>
      <c r="J1580" s="115"/>
      <c r="K1580" s="116"/>
      <c r="L1580" s="116"/>
      <c r="M1580" s="116"/>
      <c r="N1580" s="129" t="e">
        <f t="shared" si="282"/>
        <v>#DIV/0!</v>
      </c>
      <c r="O1580" s="129" t="e">
        <f t="shared" si="283"/>
        <v>#DIV/0!</v>
      </c>
      <c r="P1580" s="129" t="e">
        <f t="shared" si="284"/>
        <v>#DIV/0!</v>
      </c>
      <c r="Q1580" s="114"/>
      <c r="R1580" s="5" t="e">
        <f t="shared" si="266"/>
        <v>#DIV/0!</v>
      </c>
    </row>
    <row r="1581" spans="1:18" s="4" customFormat="1" ht="15" hidden="1" customHeight="1">
      <c r="A1581" s="64"/>
      <c r="B1581" s="7">
        <f t="shared" si="270"/>
        <v>32</v>
      </c>
      <c r="C1581" s="177"/>
      <c r="D1581" s="177"/>
      <c r="E1581" s="177"/>
      <c r="F1581" s="177"/>
      <c r="G1581" s="177"/>
      <c r="H1581" s="177"/>
      <c r="I1581" s="177"/>
      <c r="J1581" s="115"/>
      <c r="K1581" s="116"/>
      <c r="L1581" s="116"/>
      <c r="M1581" s="116"/>
      <c r="N1581" s="129" t="e">
        <f t="shared" si="282"/>
        <v>#DIV/0!</v>
      </c>
      <c r="O1581" s="129" t="e">
        <f t="shared" si="283"/>
        <v>#DIV/0!</v>
      </c>
      <c r="P1581" s="129" t="e">
        <f t="shared" si="284"/>
        <v>#DIV/0!</v>
      </c>
      <c r="Q1581" s="114"/>
      <c r="R1581" s="5" t="e">
        <f t="shared" si="266"/>
        <v>#DIV/0!</v>
      </c>
    </row>
    <row r="1582" spans="1:18" s="4" customFormat="1" ht="15" hidden="1" customHeight="1">
      <c r="A1582" s="64"/>
      <c r="B1582" s="7">
        <f t="shared" si="270"/>
        <v>33</v>
      </c>
      <c r="C1582" s="177"/>
      <c r="D1582" s="177"/>
      <c r="E1582" s="177"/>
      <c r="F1582" s="177"/>
      <c r="G1582" s="177"/>
      <c r="H1582" s="177"/>
      <c r="I1582" s="177"/>
      <c r="J1582" s="115"/>
      <c r="K1582" s="116"/>
      <c r="L1582" s="116"/>
      <c r="M1582" s="116"/>
      <c r="N1582" s="129" t="e">
        <f t="shared" si="282"/>
        <v>#DIV/0!</v>
      </c>
      <c r="O1582" s="129" t="e">
        <f t="shared" si="283"/>
        <v>#DIV/0!</v>
      </c>
      <c r="P1582" s="129" t="e">
        <f t="shared" si="284"/>
        <v>#DIV/0!</v>
      </c>
      <c r="Q1582" s="114"/>
      <c r="R1582" s="5" t="e">
        <f t="shared" si="266"/>
        <v>#DIV/0!</v>
      </c>
    </row>
    <row r="1583" spans="1:18" s="4" customFormat="1" ht="15" hidden="1" customHeight="1">
      <c r="A1583" s="64"/>
      <c r="B1583" s="7">
        <f t="shared" si="270"/>
        <v>34</v>
      </c>
      <c r="C1583" s="177"/>
      <c r="D1583" s="177"/>
      <c r="E1583" s="177"/>
      <c r="F1583" s="177"/>
      <c r="G1583" s="177"/>
      <c r="H1583" s="177"/>
      <c r="I1583" s="177"/>
      <c r="J1583" s="115"/>
      <c r="K1583" s="116"/>
      <c r="L1583" s="116"/>
      <c r="M1583" s="116"/>
      <c r="N1583" s="129" t="e">
        <f t="shared" si="282"/>
        <v>#DIV/0!</v>
      </c>
      <c r="O1583" s="129" t="e">
        <f t="shared" si="283"/>
        <v>#DIV/0!</v>
      </c>
      <c r="P1583" s="129" t="e">
        <f t="shared" si="284"/>
        <v>#DIV/0!</v>
      </c>
      <c r="Q1583" s="114"/>
      <c r="R1583" s="5" t="e">
        <f t="shared" ref="R1583:R1605" si="285">IF(O1583&gt;89.9999999999999%,"PAMA")</f>
        <v>#DIV/0!</v>
      </c>
    </row>
    <row r="1584" spans="1:18" s="4" customFormat="1" ht="15" hidden="1" customHeight="1">
      <c r="A1584" s="64"/>
      <c r="B1584" s="7">
        <f t="shared" si="270"/>
        <v>35</v>
      </c>
      <c r="C1584" s="177"/>
      <c r="D1584" s="177"/>
      <c r="E1584" s="177"/>
      <c r="F1584" s="177"/>
      <c r="G1584" s="177"/>
      <c r="H1584" s="177"/>
      <c r="I1584" s="177"/>
      <c r="J1584" s="115"/>
      <c r="K1584" s="116"/>
      <c r="L1584" s="116"/>
      <c r="M1584" s="116"/>
      <c r="N1584" s="129" t="e">
        <f t="shared" si="282"/>
        <v>#DIV/0!</v>
      </c>
      <c r="O1584" s="129" t="e">
        <f t="shared" si="283"/>
        <v>#DIV/0!</v>
      </c>
      <c r="P1584" s="129" t="e">
        <f t="shared" si="284"/>
        <v>#DIV/0!</v>
      </c>
      <c r="Q1584" s="114"/>
      <c r="R1584" s="5" t="e">
        <f t="shared" si="285"/>
        <v>#DIV/0!</v>
      </c>
    </row>
    <row r="1585" spans="1:18" s="4" customFormat="1" ht="15" hidden="1" customHeight="1">
      <c r="A1585" s="64"/>
      <c r="B1585" s="7">
        <f t="shared" si="270"/>
        <v>36</v>
      </c>
      <c r="C1585" s="177"/>
      <c r="D1585" s="177"/>
      <c r="E1585" s="177"/>
      <c r="F1585" s="177"/>
      <c r="G1585" s="177"/>
      <c r="H1585" s="177"/>
      <c r="I1585" s="177"/>
      <c r="J1585" s="115"/>
      <c r="K1585" s="116"/>
      <c r="L1585" s="116"/>
      <c r="M1585" s="116"/>
      <c r="N1585" s="129" t="e">
        <f t="shared" si="282"/>
        <v>#DIV/0!</v>
      </c>
      <c r="O1585" s="129" t="e">
        <f t="shared" si="283"/>
        <v>#DIV/0!</v>
      </c>
      <c r="P1585" s="129" t="e">
        <f t="shared" si="284"/>
        <v>#DIV/0!</v>
      </c>
      <c r="Q1585" s="114"/>
      <c r="R1585" s="5" t="e">
        <f t="shared" si="285"/>
        <v>#DIV/0!</v>
      </c>
    </row>
    <row r="1586" spans="1:18" s="4" customFormat="1" ht="15" hidden="1" customHeight="1">
      <c r="A1586" s="64"/>
      <c r="B1586" s="7">
        <f t="shared" si="270"/>
        <v>37</v>
      </c>
      <c r="C1586" s="177"/>
      <c r="D1586" s="177"/>
      <c r="E1586" s="177"/>
      <c r="F1586" s="177"/>
      <c r="G1586" s="177"/>
      <c r="H1586" s="177"/>
      <c r="I1586" s="177"/>
      <c r="J1586" s="115"/>
      <c r="K1586" s="116"/>
      <c r="L1586" s="116"/>
      <c r="M1586" s="116"/>
      <c r="N1586" s="129" t="e">
        <f t="shared" si="282"/>
        <v>#DIV/0!</v>
      </c>
      <c r="O1586" s="129" t="e">
        <f t="shared" si="283"/>
        <v>#DIV/0!</v>
      </c>
      <c r="P1586" s="129" t="e">
        <f t="shared" si="284"/>
        <v>#DIV/0!</v>
      </c>
      <c r="Q1586" s="114"/>
      <c r="R1586" s="5" t="e">
        <f t="shared" si="285"/>
        <v>#DIV/0!</v>
      </c>
    </row>
    <row r="1587" spans="1:18" s="4" customFormat="1" ht="15" hidden="1" customHeight="1">
      <c r="A1587" s="64"/>
      <c r="B1587" s="7">
        <f t="shared" si="270"/>
        <v>38</v>
      </c>
      <c r="C1587" s="177"/>
      <c r="D1587" s="177"/>
      <c r="E1587" s="177"/>
      <c r="F1587" s="177"/>
      <c r="G1587" s="177"/>
      <c r="H1587" s="177"/>
      <c r="I1587" s="177"/>
      <c r="J1587" s="115"/>
      <c r="K1587" s="116"/>
      <c r="L1587" s="116"/>
      <c r="M1587" s="116"/>
      <c r="N1587" s="129" t="e">
        <f t="shared" si="282"/>
        <v>#DIV/0!</v>
      </c>
      <c r="O1587" s="129" t="e">
        <f t="shared" si="283"/>
        <v>#DIV/0!</v>
      </c>
      <c r="P1587" s="129" t="e">
        <f t="shared" si="284"/>
        <v>#DIV/0!</v>
      </c>
      <c r="Q1587" s="114"/>
      <c r="R1587" s="5" t="e">
        <f t="shared" si="285"/>
        <v>#DIV/0!</v>
      </c>
    </row>
    <row r="1588" spans="1:18" s="4" customFormat="1" ht="15" hidden="1" customHeight="1">
      <c r="A1588" s="64"/>
      <c r="B1588" s="7">
        <f t="shared" si="270"/>
        <v>39</v>
      </c>
      <c r="C1588" s="211"/>
      <c r="D1588" s="211"/>
      <c r="E1588" s="211"/>
      <c r="F1588" s="211"/>
      <c r="G1588" s="211"/>
      <c r="H1588" s="211"/>
      <c r="I1588" s="211"/>
      <c r="J1588" s="115"/>
      <c r="K1588" s="239"/>
      <c r="L1588" s="239"/>
      <c r="M1588" s="239"/>
      <c r="N1588" s="129" t="e">
        <f t="shared" si="282"/>
        <v>#DIV/0!</v>
      </c>
      <c r="O1588" s="129" t="e">
        <f t="shared" si="283"/>
        <v>#DIV/0!</v>
      </c>
      <c r="P1588" s="129" t="e">
        <f t="shared" si="284"/>
        <v>#DIV/0!</v>
      </c>
      <c r="Q1588" s="114"/>
      <c r="R1588" s="5" t="e">
        <f t="shared" si="285"/>
        <v>#DIV/0!</v>
      </c>
    </row>
    <row r="1589" spans="1:18" s="4" customFormat="1" ht="15" hidden="1" customHeight="1">
      <c r="A1589" s="64"/>
      <c r="B1589" s="7">
        <f t="shared" si="270"/>
        <v>40</v>
      </c>
      <c r="C1589" s="211"/>
      <c r="D1589" s="211"/>
      <c r="E1589" s="211"/>
      <c r="F1589" s="211"/>
      <c r="G1589" s="211"/>
      <c r="H1589" s="211"/>
      <c r="I1589" s="211"/>
      <c r="J1589" s="115"/>
      <c r="K1589" s="239"/>
      <c r="L1589" s="239"/>
      <c r="M1589" s="239"/>
      <c r="N1589" s="129" t="e">
        <f t="shared" si="282"/>
        <v>#DIV/0!</v>
      </c>
      <c r="O1589" s="129" t="e">
        <f t="shared" si="283"/>
        <v>#DIV/0!</v>
      </c>
      <c r="P1589" s="129" t="e">
        <f t="shared" si="284"/>
        <v>#DIV/0!</v>
      </c>
      <c r="Q1589" s="114"/>
      <c r="R1589" s="5" t="e">
        <f t="shared" si="285"/>
        <v>#DIV/0!</v>
      </c>
    </row>
    <row r="1590" spans="1:18" s="4" customFormat="1" ht="15" hidden="1" customHeight="1">
      <c r="A1590" s="64"/>
      <c r="B1590" s="7">
        <f t="shared" si="270"/>
        <v>41</v>
      </c>
      <c r="C1590" s="211"/>
      <c r="D1590" s="211"/>
      <c r="E1590" s="211"/>
      <c r="F1590" s="211"/>
      <c r="G1590" s="211"/>
      <c r="H1590" s="211"/>
      <c r="I1590" s="211"/>
      <c r="J1590" s="115"/>
      <c r="K1590" s="239"/>
      <c r="L1590" s="239"/>
      <c r="M1590" s="239"/>
      <c r="N1590" s="129" t="e">
        <f t="shared" si="282"/>
        <v>#DIV/0!</v>
      </c>
      <c r="O1590" s="129" t="e">
        <f t="shared" si="283"/>
        <v>#DIV/0!</v>
      </c>
      <c r="P1590" s="129" t="e">
        <f t="shared" si="284"/>
        <v>#DIV/0!</v>
      </c>
      <c r="Q1590" s="114"/>
      <c r="R1590" s="5" t="e">
        <f t="shared" si="285"/>
        <v>#DIV/0!</v>
      </c>
    </row>
    <row r="1591" spans="1:18" s="4" customFormat="1" ht="15" hidden="1" customHeight="1">
      <c r="A1591" s="64"/>
      <c r="B1591" s="7">
        <f t="shared" si="270"/>
        <v>42</v>
      </c>
      <c r="C1591" s="211"/>
      <c r="D1591" s="211"/>
      <c r="E1591" s="211"/>
      <c r="F1591" s="211"/>
      <c r="G1591" s="211"/>
      <c r="H1591" s="211"/>
      <c r="I1591" s="211"/>
      <c r="J1591" s="115"/>
      <c r="K1591" s="239"/>
      <c r="L1591" s="239"/>
      <c r="M1591" s="239"/>
      <c r="N1591" s="129" t="e">
        <f t="shared" si="282"/>
        <v>#DIV/0!</v>
      </c>
      <c r="O1591" s="129" t="e">
        <f t="shared" si="283"/>
        <v>#DIV/0!</v>
      </c>
      <c r="P1591" s="129" t="e">
        <f t="shared" si="284"/>
        <v>#DIV/0!</v>
      </c>
      <c r="Q1591" s="114"/>
      <c r="R1591" s="5" t="e">
        <f t="shared" si="285"/>
        <v>#DIV/0!</v>
      </c>
    </row>
    <row r="1592" spans="1:18" s="4" customFormat="1" ht="15" hidden="1" customHeight="1">
      <c r="A1592" s="64"/>
      <c r="B1592" s="7">
        <f t="shared" si="270"/>
        <v>43</v>
      </c>
      <c r="C1592" s="211"/>
      <c r="D1592" s="211"/>
      <c r="E1592" s="211"/>
      <c r="F1592" s="211"/>
      <c r="G1592" s="211"/>
      <c r="H1592" s="211"/>
      <c r="I1592" s="211"/>
      <c r="J1592" s="115"/>
      <c r="K1592" s="239"/>
      <c r="L1592" s="239"/>
      <c r="M1592" s="239"/>
      <c r="N1592" s="129" t="e">
        <f t="shared" si="282"/>
        <v>#DIV/0!</v>
      </c>
      <c r="O1592" s="129" t="e">
        <f t="shared" si="283"/>
        <v>#DIV/0!</v>
      </c>
      <c r="P1592" s="129" t="e">
        <f t="shared" si="284"/>
        <v>#DIV/0!</v>
      </c>
      <c r="Q1592" s="114"/>
      <c r="R1592" s="5" t="e">
        <f t="shared" si="285"/>
        <v>#DIV/0!</v>
      </c>
    </row>
    <row r="1593" spans="1:18" s="4" customFormat="1" ht="15" hidden="1" customHeight="1">
      <c r="A1593" s="64"/>
      <c r="B1593" s="7">
        <f t="shared" si="270"/>
        <v>44</v>
      </c>
      <c r="C1593" s="211"/>
      <c r="D1593" s="211"/>
      <c r="E1593" s="211"/>
      <c r="F1593" s="211"/>
      <c r="G1593" s="211"/>
      <c r="H1593" s="211"/>
      <c r="I1593" s="211"/>
      <c r="J1593" s="115"/>
      <c r="K1593" s="239"/>
      <c r="L1593" s="239"/>
      <c r="M1593" s="239"/>
      <c r="N1593" s="129" t="e">
        <f t="shared" si="282"/>
        <v>#DIV/0!</v>
      </c>
      <c r="O1593" s="129" t="e">
        <f t="shared" si="283"/>
        <v>#DIV/0!</v>
      </c>
      <c r="P1593" s="129" t="e">
        <f t="shared" si="284"/>
        <v>#DIV/0!</v>
      </c>
      <c r="Q1593" s="114"/>
      <c r="R1593" s="5" t="e">
        <f t="shared" si="285"/>
        <v>#DIV/0!</v>
      </c>
    </row>
    <row r="1594" spans="1:18" s="4" customFormat="1" ht="15" hidden="1" customHeight="1">
      <c r="A1594" s="64"/>
      <c r="B1594" s="7">
        <f t="shared" si="270"/>
        <v>45</v>
      </c>
      <c r="C1594" s="211"/>
      <c r="D1594" s="211"/>
      <c r="E1594" s="211"/>
      <c r="F1594" s="211"/>
      <c r="G1594" s="211"/>
      <c r="H1594" s="211"/>
      <c r="I1594" s="211"/>
      <c r="J1594" s="115"/>
      <c r="K1594" s="239"/>
      <c r="L1594" s="239"/>
      <c r="M1594" s="239"/>
      <c r="N1594" s="129" t="e">
        <f t="shared" si="282"/>
        <v>#DIV/0!</v>
      </c>
      <c r="O1594" s="129" t="e">
        <f t="shared" si="283"/>
        <v>#DIV/0!</v>
      </c>
      <c r="P1594" s="129" t="e">
        <f t="shared" si="284"/>
        <v>#DIV/0!</v>
      </c>
      <c r="Q1594" s="114"/>
      <c r="R1594" s="5" t="e">
        <f t="shared" si="285"/>
        <v>#DIV/0!</v>
      </c>
    </row>
    <row r="1595" spans="1:18" s="4" customFormat="1" ht="15" hidden="1" customHeight="1">
      <c r="A1595" s="64"/>
      <c r="B1595" s="7">
        <f t="shared" si="270"/>
        <v>46</v>
      </c>
      <c r="C1595" s="211"/>
      <c r="D1595" s="211"/>
      <c r="E1595" s="211"/>
      <c r="F1595" s="211"/>
      <c r="G1595" s="211"/>
      <c r="H1595" s="211"/>
      <c r="I1595" s="211"/>
      <c r="J1595" s="115"/>
      <c r="K1595" s="239"/>
      <c r="L1595" s="239"/>
      <c r="M1595" s="239"/>
      <c r="N1595" s="129" t="e">
        <f t="shared" si="282"/>
        <v>#DIV/0!</v>
      </c>
      <c r="O1595" s="129" t="e">
        <f t="shared" si="283"/>
        <v>#DIV/0!</v>
      </c>
      <c r="P1595" s="129" t="e">
        <f t="shared" si="284"/>
        <v>#DIV/0!</v>
      </c>
      <c r="Q1595" s="114"/>
      <c r="R1595" s="5" t="e">
        <f t="shared" si="285"/>
        <v>#DIV/0!</v>
      </c>
    </row>
    <row r="1596" spans="1:18" s="4" customFormat="1" ht="15" hidden="1" customHeight="1">
      <c r="A1596" s="64"/>
      <c r="B1596" s="7">
        <f t="shared" si="270"/>
        <v>47</v>
      </c>
      <c r="C1596" s="211"/>
      <c r="D1596" s="211"/>
      <c r="E1596" s="211"/>
      <c r="F1596" s="211"/>
      <c r="G1596" s="211"/>
      <c r="H1596" s="211"/>
      <c r="I1596" s="211"/>
      <c r="J1596" s="115"/>
      <c r="K1596" s="239"/>
      <c r="L1596" s="239"/>
      <c r="M1596" s="239"/>
      <c r="N1596" s="129" t="e">
        <f t="shared" si="282"/>
        <v>#DIV/0!</v>
      </c>
      <c r="O1596" s="129" t="e">
        <f t="shared" si="283"/>
        <v>#DIV/0!</v>
      </c>
      <c r="P1596" s="129" t="e">
        <f t="shared" si="284"/>
        <v>#DIV/0!</v>
      </c>
      <c r="Q1596" s="114"/>
      <c r="R1596" s="5" t="e">
        <f t="shared" si="285"/>
        <v>#DIV/0!</v>
      </c>
    </row>
    <row r="1597" spans="1:18" s="4" customFormat="1" ht="15" hidden="1" customHeight="1">
      <c r="A1597" s="64"/>
      <c r="B1597" s="7">
        <f t="shared" si="270"/>
        <v>48</v>
      </c>
      <c r="C1597" s="211"/>
      <c r="D1597" s="211"/>
      <c r="E1597" s="211"/>
      <c r="F1597" s="211"/>
      <c r="G1597" s="211"/>
      <c r="H1597" s="211"/>
      <c r="I1597" s="211"/>
      <c r="J1597" s="240"/>
      <c r="K1597" s="239"/>
      <c r="L1597" s="239"/>
      <c r="M1597" s="239"/>
      <c r="N1597" s="129" t="e">
        <f t="shared" si="282"/>
        <v>#DIV/0!</v>
      </c>
      <c r="O1597" s="129" t="e">
        <f t="shared" si="283"/>
        <v>#DIV/0!</v>
      </c>
      <c r="P1597" s="129" t="e">
        <f t="shared" si="284"/>
        <v>#DIV/0!</v>
      </c>
      <c r="Q1597" s="114"/>
      <c r="R1597" s="5" t="e">
        <f t="shared" si="285"/>
        <v>#DIV/0!</v>
      </c>
    </row>
    <row r="1598" spans="1:18" s="4" customFormat="1" ht="15" hidden="1" customHeight="1">
      <c r="A1598" s="64"/>
      <c r="B1598" s="7">
        <f t="shared" si="270"/>
        <v>49</v>
      </c>
      <c r="C1598" s="211"/>
      <c r="D1598" s="211"/>
      <c r="E1598" s="211"/>
      <c r="F1598" s="211"/>
      <c r="G1598" s="211"/>
      <c r="H1598" s="211"/>
      <c r="I1598" s="211"/>
      <c r="J1598" s="240"/>
      <c r="K1598" s="239"/>
      <c r="L1598" s="239"/>
      <c r="M1598" s="239"/>
      <c r="N1598" s="129" t="e">
        <f t="shared" si="282"/>
        <v>#DIV/0!</v>
      </c>
      <c r="O1598" s="129" t="e">
        <f t="shared" si="283"/>
        <v>#DIV/0!</v>
      </c>
      <c r="P1598" s="129" t="e">
        <f t="shared" si="284"/>
        <v>#DIV/0!</v>
      </c>
      <c r="Q1598" s="114"/>
      <c r="R1598" s="5" t="e">
        <f t="shared" si="285"/>
        <v>#DIV/0!</v>
      </c>
    </row>
    <row r="1599" spans="1:18" s="4" customFormat="1" ht="15" hidden="1" customHeight="1">
      <c r="A1599" s="64"/>
      <c r="B1599" s="7">
        <f t="shared" si="270"/>
        <v>50</v>
      </c>
      <c r="C1599" s="211"/>
      <c r="D1599" s="211"/>
      <c r="E1599" s="211"/>
      <c r="F1599" s="211"/>
      <c r="G1599" s="211"/>
      <c r="H1599" s="211"/>
      <c r="I1599" s="211"/>
      <c r="J1599" s="240"/>
      <c r="K1599" s="239"/>
      <c r="L1599" s="239"/>
      <c r="M1599" s="239"/>
      <c r="N1599" s="129" t="e">
        <f t="shared" si="282"/>
        <v>#DIV/0!</v>
      </c>
      <c r="O1599" s="129" t="e">
        <f t="shared" si="283"/>
        <v>#DIV/0!</v>
      </c>
      <c r="P1599" s="129" t="e">
        <f t="shared" si="284"/>
        <v>#DIV/0!</v>
      </c>
      <c r="Q1599" s="114"/>
      <c r="R1599" s="5" t="e">
        <f t="shared" si="285"/>
        <v>#DIV/0!</v>
      </c>
    </row>
    <row r="1600" spans="1:18" s="4" customFormat="1" ht="15" hidden="1" customHeight="1">
      <c r="A1600" s="64"/>
      <c r="B1600" s="7">
        <f t="shared" si="270"/>
        <v>51</v>
      </c>
      <c r="C1600" s="211"/>
      <c r="D1600" s="211"/>
      <c r="E1600" s="211"/>
      <c r="F1600" s="211"/>
      <c r="G1600" s="211"/>
      <c r="H1600" s="211"/>
      <c r="I1600" s="211"/>
      <c r="J1600" s="240"/>
      <c r="K1600" s="239"/>
      <c r="L1600" s="239"/>
      <c r="M1600" s="239"/>
      <c r="N1600" s="129" t="e">
        <f t="shared" si="282"/>
        <v>#DIV/0!</v>
      </c>
      <c r="O1600" s="129" t="e">
        <f t="shared" si="283"/>
        <v>#DIV/0!</v>
      </c>
      <c r="P1600" s="129" t="e">
        <f t="shared" si="284"/>
        <v>#DIV/0!</v>
      </c>
      <c r="Q1600" s="114"/>
      <c r="R1600" s="5" t="e">
        <f t="shared" si="285"/>
        <v>#DIV/0!</v>
      </c>
    </row>
    <row r="1601" spans="1:18" s="4" customFormat="1" ht="15" hidden="1" customHeight="1">
      <c r="A1601" s="64"/>
      <c r="B1601" s="7">
        <f t="shared" si="270"/>
        <v>52</v>
      </c>
      <c r="C1601" s="211"/>
      <c r="D1601" s="211"/>
      <c r="E1601" s="211"/>
      <c r="F1601" s="211"/>
      <c r="G1601" s="211"/>
      <c r="H1601" s="211"/>
      <c r="I1601" s="211"/>
      <c r="J1601" s="240"/>
      <c r="K1601" s="239"/>
      <c r="L1601" s="239"/>
      <c r="M1601" s="239"/>
      <c r="N1601" s="129" t="e">
        <f t="shared" si="282"/>
        <v>#DIV/0!</v>
      </c>
      <c r="O1601" s="129" t="e">
        <f t="shared" si="283"/>
        <v>#DIV/0!</v>
      </c>
      <c r="P1601" s="129" t="e">
        <f t="shared" si="284"/>
        <v>#DIV/0!</v>
      </c>
      <c r="Q1601" s="114"/>
      <c r="R1601" s="5" t="e">
        <f t="shared" si="285"/>
        <v>#DIV/0!</v>
      </c>
    </row>
    <row r="1602" spans="1:18" s="4" customFormat="1" ht="15" hidden="1" customHeight="1">
      <c r="A1602" s="64"/>
      <c r="B1602" s="7">
        <f t="shared" si="270"/>
        <v>53</v>
      </c>
      <c r="C1602" s="211"/>
      <c r="D1602" s="211"/>
      <c r="E1602" s="211"/>
      <c r="F1602" s="211"/>
      <c r="G1602" s="211"/>
      <c r="H1602" s="211"/>
      <c r="I1602" s="211"/>
      <c r="J1602" s="240"/>
      <c r="K1602" s="239"/>
      <c r="L1602" s="239"/>
      <c r="M1602" s="239"/>
      <c r="N1602" s="129" t="e">
        <f t="shared" si="282"/>
        <v>#DIV/0!</v>
      </c>
      <c r="O1602" s="129" t="e">
        <f t="shared" si="283"/>
        <v>#DIV/0!</v>
      </c>
      <c r="P1602" s="129" t="e">
        <f t="shared" si="284"/>
        <v>#DIV/0!</v>
      </c>
      <c r="Q1602" s="114"/>
      <c r="R1602" s="5" t="e">
        <f t="shared" si="285"/>
        <v>#DIV/0!</v>
      </c>
    </row>
    <row r="1603" spans="1:18" s="4" customFormat="1" ht="15" hidden="1" customHeight="1">
      <c r="A1603" s="64"/>
      <c r="B1603" s="7">
        <f t="shared" si="270"/>
        <v>54</v>
      </c>
      <c r="C1603" s="211"/>
      <c r="D1603" s="211"/>
      <c r="E1603" s="211"/>
      <c r="F1603" s="211"/>
      <c r="G1603" s="211"/>
      <c r="H1603" s="211"/>
      <c r="I1603" s="211"/>
      <c r="J1603" s="240"/>
      <c r="K1603" s="239"/>
      <c r="L1603" s="239"/>
      <c r="M1603" s="239"/>
      <c r="N1603" s="129" t="e">
        <f t="shared" si="282"/>
        <v>#DIV/0!</v>
      </c>
      <c r="O1603" s="129" t="e">
        <f t="shared" si="283"/>
        <v>#DIV/0!</v>
      </c>
      <c r="P1603" s="129" t="e">
        <f t="shared" si="284"/>
        <v>#DIV/0!</v>
      </c>
      <c r="Q1603" s="114"/>
      <c r="R1603" s="5" t="e">
        <f t="shared" si="285"/>
        <v>#DIV/0!</v>
      </c>
    </row>
    <row r="1604" spans="1:18" s="4" customFormat="1" ht="15" hidden="1" customHeight="1">
      <c r="A1604" s="64"/>
      <c r="B1604" s="7">
        <f t="shared" si="270"/>
        <v>55</v>
      </c>
      <c r="C1604" s="211"/>
      <c r="D1604" s="211"/>
      <c r="E1604" s="211"/>
      <c r="F1604" s="211"/>
      <c r="G1604" s="211"/>
      <c r="H1604" s="211"/>
      <c r="I1604" s="211"/>
      <c r="J1604" s="240"/>
      <c r="K1604" s="239"/>
      <c r="L1604" s="239"/>
      <c r="M1604" s="239"/>
      <c r="N1604" s="129" t="e">
        <f t="shared" si="282"/>
        <v>#DIV/0!</v>
      </c>
      <c r="O1604" s="129" t="e">
        <f t="shared" si="283"/>
        <v>#DIV/0!</v>
      </c>
      <c r="P1604" s="129" t="e">
        <f t="shared" si="284"/>
        <v>#DIV/0!</v>
      </c>
      <c r="Q1604" s="114"/>
      <c r="R1604" s="5" t="e">
        <f t="shared" si="285"/>
        <v>#DIV/0!</v>
      </c>
    </row>
    <row r="1605" spans="1:18" s="4" customFormat="1" ht="15" hidden="1" customHeight="1">
      <c r="A1605" s="64"/>
      <c r="B1605" s="7">
        <f t="shared" si="270"/>
        <v>56</v>
      </c>
      <c r="C1605" s="211"/>
      <c r="D1605" s="211"/>
      <c r="E1605" s="211"/>
      <c r="F1605" s="211"/>
      <c r="G1605" s="211"/>
      <c r="H1605" s="211"/>
      <c r="I1605" s="211"/>
      <c r="J1605" s="240"/>
      <c r="K1605" s="239"/>
      <c r="L1605" s="239"/>
      <c r="M1605" s="239"/>
      <c r="N1605" s="129" t="e">
        <f t="shared" si="282"/>
        <v>#DIV/0!</v>
      </c>
      <c r="O1605" s="129" t="e">
        <f t="shared" si="283"/>
        <v>#DIV/0!</v>
      </c>
      <c r="P1605" s="129" t="e">
        <f t="shared" si="284"/>
        <v>#DIV/0!</v>
      </c>
      <c r="Q1605" s="114"/>
      <c r="R1605" s="5" t="e">
        <f t="shared" si="285"/>
        <v>#DIV/0!</v>
      </c>
    </row>
    <row r="1606" spans="1:18" s="4" customFormat="1" ht="15" customHeight="1" thickBot="1">
      <c r="A1606" s="64"/>
      <c r="B1606" s="324" t="s">
        <v>22</v>
      </c>
      <c r="C1606" s="325"/>
      <c r="D1606" s="325"/>
      <c r="E1606" s="326"/>
      <c r="F1606" s="70">
        <f>COUNTA(F1550:F1605)</f>
        <v>12</v>
      </c>
      <c r="G1606" s="71"/>
      <c r="H1606" s="72"/>
      <c r="I1606" s="72"/>
      <c r="J1606" s="113"/>
      <c r="K1606" s="96"/>
      <c r="L1606" s="96"/>
      <c r="M1606" s="96"/>
      <c r="N1606" s="96"/>
      <c r="O1606" s="96"/>
      <c r="P1606" s="96"/>
      <c r="Q1606" s="97"/>
      <c r="R1606" s="5"/>
    </row>
    <row r="1607" spans="1:18" s="4" customFormat="1" ht="15" customHeight="1">
      <c r="A1607" s="64"/>
      <c r="B1607" s="327" t="s">
        <v>2216</v>
      </c>
      <c r="C1607" s="328"/>
      <c r="D1607" s="328"/>
      <c r="E1607" s="328"/>
      <c r="F1607" s="328"/>
      <c r="G1607" s="328"/>
      <c r="H1607" s="328"/>
      <c r="I1607" s="328"/>
      <c r="J1607" s="328"/>
      <c r="K1607" s="328"/>
      <c r="L1607" s="328"/>
      <c r="M1607" s="328"/>
      <c r="N1607" s="328"/>
      <c r="O1607" s="328"/>
      <c r="P1607" s="328"/>
      <c r="Q1607" s="329"/>
      <c r="R1607" s="5" t="b">
        <f t="shared" ref="R1607:R1663" si="286">IF(O1607&gt;89.9999999999999%,"PAMA")</f>
        <v>0</v>
      </c>
    </row>
    <row r="1608" spans="1:18" s="4" customFormat="1" ht="15" customHeight="1">
      <c r="A1608" s="64"/>
      <c r="B1608" s="7">
        <v>1</v>
      </c>
      <c r="C1608" s="177" t="s">
        <v>10</v>
      </c>
      <c r="D1608" s="177" t="s">
        <v>108</v>
      </c>
      <c r="E1608" s="177" t="s">
        <v>104</v>
      </c>
      <c r="F1608" s="177" t="s">
        <v>109</v>
      </c>
      <c r="G1608" s="177">
        <v>2009</v>
      </c>
      <c r="H1608" s="177" t="s">
        <v>106</v>
      </c>
      <c r="I1608" s="177"/>
      <c r="J1608" s="115"/>
      <c r="K1608" s="116">
        <v>112.91</v>
      </c>
      <c r="L1608" s="116">
        <v>62</v>
      </c>
      <c r="M1608" s="116">
        <v>545.09</v>
      </c>
      <c r="N1608" s="129">
        <f t="shared" ref="N1608:N1617" si="287">+K1608/(K1608+L1608)</f>
        <v>0.64553198787948085</v>
      </c>
      <c r="O1608" s="129">
        <f t="shared" ref="O1608:O1617" si="288">+(K1608+M1608)/(K1608+L1608+M1608)</f>
        <v>0.91388888888888886</v>
      </c>
      <c r="P1608" s="129">
        <f t="shared" ref="P1608:P1617" si="289">+K1608/(K1608+M1608)</f>
        <v>0.17159574468085106</v>
      </c>
      <c r="Q1608" s="114"/>
      <c r="R1608" s="5" t="str">
        <f t="shared" si="286"/>
        <v>PAMA</v>
      </c>
    </row>
    <row r="1609" spans="1:18" s="4" customFormat="1" ht="15" customHeight="1">
      <c r="A1609" s="64"/>
      <c r="B1609" s="7">
        <f>B1608+1</f>
        <v>2</v>
      </c>
      <c r="C1609" s="177" t="s">
        <v>10</v>
      </c>
      <c r="D1609" s="177" t="s">
        <v>2218</v>
      </c>
      <c r="E1609" s="177" t="s">
        <v>15</v>
      </c>
      <c r="F1609" s="177" t="s">
        <v>116</v>
      </c>
      <c r="G1609" s="177">
        <v>2022</v>
      </c>
      <c r="H1609" s="177" t="s">
        <v>114</v>
      </c>
      <c r="I1609" s="177" t="s">
        <v>115</v>
      </c>
      <c r="J1609" s="115"/>
      <c r="K1609" s="116">
        <v>383</v>
      </c>
      <c r="L1609" s="116">
        <v>17.05</v>
      </c>
      <c r="M1609" s="116">
        <v>319.95000000000005</v>
      </c>
      <c r="N1609" s="129">
        <f t="shared" si="287"/>
        <v>0.95738032745906754</v>
      </c>
      <c r="O1609" s="129">
        <f t="shared" si="288"/>
        <v>0.97631944444444452</v>
      </c>
      <c r="P1609" s="129">
        <f t="shared" si="289"/>
        <v>0.54484671740522084</v>
      </c>
      <c r="Q1609" s="114"/>
      <c r="R1609" s="5" t="str">
        <f t="shared" si="286"/>
        <v>PAMA</v>
      </c>
    </row>
    <row r="1610" spans="1:18" s="4" customFormat="1" ht="15" customHeight="1">
      <c r="A1610" s="64"/>
      <c r="B1610" s="7">
        <f t="shared" si="270"/>
        <v>3</v>
      </c>
      <c r="C1610" s="177" t="s">
        <v>10</v>
      </c>
      <c r="D1610" s="177" t="s">
        <v>2219</v>
      </c>
      <c r="E1610" s="177" t="s">
        <v>15</v>
      </c>
      <c r="F1610" s="177" t="s">
        <v>116</v>
      </c>
      <c r="G1610" s="177">
        <v>2022</v>
      </c>
      <c r="H1610" s="177" t="s">
        <v>114</v>
      </c>
      <c r="I1610" s="177" t="s">
        <v>115</v>
      </c>
      <c r="J1610" s="115"/>
      <c r="K1610" s="116">
        <v>362</v>
      </c>
      <c r="L1610" s="116">
        <v>13.25</v>
      </c>
      <c r="M1610" s="116">
        <v>344.75</v>
      </c>
      <c r="N1610" s="129">
        <f t="shared" si="287"/>
        <v>0.96469020652898063</v>
      </c>
      <c r="O1610" s="129">
        <f t="shared" si="288"/>
        <v>0.98159722222222223</v>
      </c>
      <c r="P1610" s="129">
        <f t="shared" si="289"/>
        <v>0.51220374955783521</v>
      </c>
      <c r="Q1610" s="114"/>
      <c r="R1610" s="5" t="str">
        <f t="shared" si="286"/>
        <v>PAMA</v>
      </c>
    </row>
    <row r="1611" spans="1:18" s="4" customFormat="1" ht="15" customHeight="1">
      <c r="A1611" s="64"/>
      <c r="B1611" s="7">
        <f t="shared" si="270"/>
        <v>4</v>
      </c>
      <c r="C1611" s="177" t="s">
        <v>10</v>
      </c>
      <c r="D1611" s="177" t="s">
        <v>2242</v>
      </c>
      <c r="E1611" s="177" t="s">
        <v>15</v>
      </c>
      <c r="F1611" s="177" t="s">
        <v>116</v>
      </c>
      <c r="G1611" s="177">
        <v>2023</v>
      </c>
      <c r="H1611" s="177" t="s">
        <v>114</v>
      </c>
      <c r="I1611" s="177" t="s">
        <v>115</v>
      </c>
      <c r="J1611" s="115"/>
      <c r="K1611" s="116">
        <v>323</v>
      </c>
      <c r="L1611" s="116">
        <v>6</v>
      </c>
      <c r="M1611" s="116">
        <v>391</v>
      </c>
      <c r="N1611" s="129">
        <f t="shared" si="287"/>
        <v>0.98176291793313075</v>
      </c>
      <c r="O1611" s="129">
        <f t="shared" si="288"/>
        <v>0.9916666666666667</v>
      </c>
      <c r="P1611" s="129">
        <f t="shared" si="289"/>
        <v>0.45238095238095238</v>
      </c>
      <c r="Q1611" s="114"/>
      <c r="R1611" s="5" t="str">
        <f t="shared" si="286"/>
        <v>PAMA</v>
      </c>
    </row>
    <row r="1612" spans="1:18" s="4" customFormat="1" ht="15" customHeight="1">
      <c r="A1612" s="64"/>
      <c r="B1612" s="7">
        <f t="shared" si="270"/>
        <v>5</v>
      </c>
      <c r="C1612" s="177" t="s">
        <v>10</v>
      </c>
      <c r="D1612" s="177" t="s">
        <v>2220</v>
      </c>
      <c r="E1612" s="177" t="s">
        <v>15</v>
      </c>
      <c r="F1612" s="177" t="s">
        <v>136</v>
      </c>
      <c r="G1612" s="177">
        <v>2022</v>
      </c>
      <c r="H1612" s="177" t="s">
        <v>114</v>
      </c>
      <c r="I1612" s="177" t="s">
        <v>137</v>
      </c>
      <c r="J1612" s="115"/>
      <c r="K1612" s="116">
        <v>339</v>
      </c>
      <c r="L1612" s="116">
        <v>22</v>
      </c>
      <c r="M1612" s="116">
        <v>359</v>
      </c>
      <c r="N1612" s="129">
        <f t="shared" si="287"/>
        <v>0.93905817174515238</v>
      </c>
      <c r="O1612" s="129">
        <f t="shared" si="288"/>
        <v>0.96944444444444444</v>
      </c>
      <c r="P1612" s="129">
        <f t="shared" si="289"/>
        <v>0.48567335243553006</v>
      </c>
      <c r="Q1612" s="114"/>
      <c r="R1612" s="5" t="str">
        <f t="shared" si="286"/>
        <v>PAMA</v>
      </c>
    </row>
    <row r="1613" spans="1:18" s="4" customFormat="1" ht="15" customHeight="1">
      <c r="A1613" s="64"/>
      <c r="B1613" s="7">
        <f t="shared" si="270"/>
        <v>6</v>
      </c>
      <c r="C1613" s="177" t="s">
        <v>10</v>
      </c>
      <c r="D1613" s="177" t="s">
        <v>2297</v>
      </c>
      <c r="E1613" s="177" t="s">
        <v>15</v>
      </c>
      <c r="F1613" s="177" t="s">
        <v>136</v>
      </c>
      <c r="G1613" s="177">
        <v>2023</v>
      </c>
      <c r="H1613" s="177" t="s">
        <v>114</v>
      </c>
      <c r="I1613" s="177" t="s">
        <v>137</v>
      </c>
      <c r="J1613" s="115"/>
      <c r="K1613" s="116">
        <v>248</v>
      </c>
      <c r="L1613" s="116">
        <v>0</v>
      </c>
      <c r="M1613" s="116">
        <v>472</v>
      </c>
      <c r="N1613" s="129">
        <f t="shared" si="287"/>
        <v>1</v>
      </c>
      <c r="O1613" s="129">
        <f t="shared" si="288"/>
        <v>1</v>
      </c>
      <c r="P1613" s="129">
        <f t="shared" si="289"/>
        <v>0.34444444444444444</v>
      </c>
      <c r="Q1613" s="114"/>
      <c r="R1613" s="5" t="str">
        <f t="shared" si="286"/>
        <v>PAMA</v>
      </c>
    </row>
    <row r="1614" spans="1:18" s="4" customFormat="1" ht="15" hidden="1" customHeight="1">
      <c r="A1614" s="64"/>
      <c r="B1614" s="7">
        <f t="shared" si="270"/>
        <v>7</v>
      </c>
      <c r="C1614" s="177"/>
      <c r="D1614" s="177"/>
      <c r="E1614" s="177"/>
      <c r="F1614" s="177"/>
      <c r="G1614" s="177"/>
      <c r="H1614" s="177"/>
      <c r="I1614" s="177"/>
      <c r="J1614" s="115"/>
      <c r="K1614" s="116"/>
      <c r="L1614" s="116"/>
      <c r="M1614" s="116"/>
      <c r="N1614" s="129" t="e">
        <f t="shared" si="287"/>
        <v>#DIV/0!</v>
      </c>
      <c r="O1614" s="129" t="e">
        <f t="shared" si="288"/>
        <v>#DIV/0!</v>
      </c>
      <c r="P1614" s="129" t="e">
        <f t="shared" si="289"/>
        <v>#DIV/0!</v>
      </c>
      <c r="Q1614" s="114"/>
      <c r="R1614" s="5" t="e">
        <f t="shared" si="286"/>
        <v>#DIV/0!</v>
      </c>
    </row>
    <row r="1615" spans="1:18" s="4" customFormat="1" ht="15" hidden="1" customHeight="1">
      <c r="A1615" s="64"/>
      <c r="B1615" s="7">
        <f t="shared" si="270"/>
        <v>8</v>
      </c>
      <c r="C1615" s="177"/>
      <c r="D1615" s="177"/>
      <c r="E1615" s="177"/>
      <c r="F1615" s="177"/>
      <c r="G1615" s="177"/>
      <c r="H1615" s="177"/>
      <c r="I1615" s="177"/>
      <c r="J1615" s="115"/>
      <c r="K1615" s="116"/>
      <c r="L1615" s="116"/>
      <c r="M1615" s="116"/>
      <c r="N1615" s="129" t="e">
        <f t="shared" si="287"/>
        <v>#DIV/0!</v>
      </c>
      <c r="O1615" s="129" t="e">
        <f t="shared" si="288"/>
        <v>#DIV/0!</v>
      </c>
      <c r="P1615" s="129" t="e">
        <f t="shared" si="289"/>
        <v>#DIV/0!</v>
      </c>
      <c r="Q1615" s="114"/>
      <c r="R1615" s="5" t="e">
        <f t="shared" si="286"/>
        <v>#DIV/0!</v>
      </c>
    </row>
    <row r="1616" spans="1:18" s="4" customFormat="1" ht="15" hidden="1" customHeight="1">
      <c r="A1616" s="64"/>
      <c r="B1616" s="7">
        <f t="shared" si="270"/>
        <v>9</v>
      </c>
      <c r="C1616" s="177"/>
      <c r="D1616" s="177"/>
      <c r="E1616" s="177"/>
      <c r="F1616" s="177"/>
      <c r="G1616" s="177"/>
      <c r="H1616" s="177"/>
      <c r="I1616" s="177"/>
      <c r="J1616" s="115"/>
      <c r="K1616" s="116"/>
      <c r="L1616" s="116"/>
      <c r="M1616" s="116"/>
      <c r="N1616" s="129" t="e">
        <f t="shared" si="287"/>
        <v>#DIV/0!</v>
      </c>
      <c r="O1616" s="129" t="e">
        <f t="shared" si="288"/>
        <v>#DIV/0!</v>
      </c>
      <c r="P1616" s="129" t="e">
        <f t="shared" si="289"/>
        <v>#DIV/0!</v>
      </c>
      <c r="Q1616" s="114"/>
      <c r="R1616" s="5" t="e">
        <f t="shared" si="286"/>
        <v>#DIV/0!</v>
      </c>
    </row>
    <row r="1617" spans="1:18" s="4" customFormat="1" ht="15" hidden="1" customHeight="1">
      <c r="A1617" s="64"/>
      <c r="B1617" s="7">
        <f t="shared" si="270"/>
        <v>10</v>
      </c>
      <c r="C1617" s="177"/>
      <c r="D1617" s="177"/>
      <c r="E1617" s="177"/>
      <c r="F1617" s="177"/>
      <c r="G1617" s="177"/>
      <c r="H1617" s="177"/>
      <c r="I1617" s="177"/>
      <c r="J1617" s="115"/>
      <c r="K1617" s="116"/>
      <c r="L1617" s="116"/>
      <c r="M1617" s="116"/>
      <c r="N1617" s="129" t="e">
        <f t="shared" si="287"/>
        <v>#DIV/0!</v>
      </c>
      <c r="O1617" s="129" t="e">
        <f t="shared" si="288"/>
        <v>#DIV/0!</v>
      </c>
      <c r="P1617" s="129" t="e">
        <f t="shared" si="289"/>
        <v>#DIV/0!</v>
      </c>
      <c r="Q1617" s="114"/>
      <c r="R1617" s="5" t="e">
        <f t="shared" si="286"/>
        <v>#DIV/0!</v>
      </c>
    </row>
    <row r="1618" spans="1:18" s="4" customFormat="1" ht="15" hidden="1" customHeight="1">
      <c r="A1618" s="64"/>
      <c r="B1618" s="7">
        <f t="shared" si="270"/>
        <v>11</v>
      </c>
      <c r="C1618" s="177"/>
      <c r="D1618" s="177"/>
      <c r="E1618" s="177"/>
      <c r="F1618" s="177"/>
      <c r="G1618" s="177"/>
      <c r="H1618" s="177"/>
      <c r="I1618" s="177"/>
      <c r="J1618" s="115"/>
      <c r="K1618" s="116"/>
      <c r="L1618" s="116"/>
      <c r="M1618" s="116"/>
      <c r="N1618" s="129"/>
      <c r="O1618" s="129"/>
      <c r="P1618" s="129"/>
      <c r="Q1618" s="114"/>
      <c r="R1618" s="5" t="b">
        <f t="shared" si="286"/>
        <v>0</v>
      </c>
    </row>
    <row r="1619" spans="1:18" s="4" customFormat="1" ht="15" hidden="1" customHeight="1">
      <c r="A1619" s="64"/>
      <c r="B1619" s="7">
        <f t="shared" si="270"/>
        <v>12</v>
      </c>
      <c r="C1619" s="177"/>
      <c r="D1619" s="177"/>
      <c r="E1619" s="177"/>
      <c r="F1619" s="177"/>
      <c r="G1619" s="177"/>
      <c r="H1619" s="177"/>
      <c r="I1619" s="177"/>
      <c r="J1619" s="115"/>
      <c r="K1619" s="116"/>
      <c r="L1619" s="116"/>
      <c r="M1619" s="116"/>
      <c r="N1619" s="129"/>
      <c r="O1619" s="129"/>
      <c r="P1619" s="129"/>
      <c r="Q1619" s="114"/>
      <c r="R1619" s="5" t="b">
        <f t="shared" si="286"/>
        <v>0</v>
      </c>
    </row>
    <row r="1620" spans="1:18" s="4" customFormat="1" ht="15" hidden="1" customHeight="1">
      <c r="A1620" s="64"/>
      <c r="B1620" s="7">
        <f t="shared" si="270"/>
        <v>13</v>
      </c>
      <c r="C1620" s="177"/>
      <c r="D1620" s="177"/>
      <c r="E1620" s="177"/>
      <c r="F1620" s="177"/>
      <c r="G1620" s="177"/>
      <c r="H1620" s="177"/>
      <c r="I1620" s="177"/>
      <c r="J1620" s="115"/>
      <c r="K1620" s="116"/>
      <c r="L1620" s="116"/>
      <c r="M1620" s="116"/>
      <c r="N1620" s="129" t="e">
        <f t="shared" ref="N1620" si="290">+K1620/(K1620+L1620)</f>
        <v>#DIV/0!</v>
      </c>
      <c r="O1620" s="129" t="e">
        <f t="shared" ref="O1620" si="291">+(K1620+M1620)/(K1620+L1620+M1620)</f>
        <v>#DIV/0!</v>
      </c>
      <c r="P1620" s="129" t="e">
        <f>+K1620/(K1620+M1620)</f>
        <v>#DIV/0!</v>
      </c>
      <c r="Q1620" s="114"/>
      <c r="R1620" s="5" t="e">
        <f t="shared" si="286"/>
        <v>#DIV/0!</v>
      </c>
    </row>
    <row r="1621" spans="1:18" s="4" customFormat="1" ht="15" hidden="1" customHeight="1">
      <c r="A1621" s="64"/>
      <c r="B1621" s="7">
        <f t="shared" si="270"/>
        <v>14</v>
      </c>
      <c r="C1621" s="177"/>
      <c r="D1621" s="177"/>
      <c r="E1621" s="177"/>
      <c r="F1621" s="177"/>
      <c r="G1621" s="177"/>
      <c r="H1621" s="177"/>
      <c r="I1621" s="177"/>
      <c r="J1621" s="115"/>
      <c r="K1621" s="116"/>
      <c r="L1621" s="116"/>
      <c r="M1621" s="116"/>
      <c r="N1621" s="129"/>
      <c r="O1621" s="129"/>
      <c r="P1621" s="129"/>
      <c r="Q1621" s="114"/>
      <c r="R1621" s="5" t="b">
        <f t="shared" si="286"/>
        <v>0</v>
      </c>
    </row>
    <row r="1622" spans="1:18" s="4" customFormat="1" ht="15" hidden="1" customHeight="1">
      <c r="A1622" s="64"/>
      <c r="B1622" s="7">
        <f t="shared" si="270"/>
        <v>15</v>
      </c>
      <c r="C1622" s="177"/>
      <c r="D1622" s="177"/>
      <c r="E1622" s="177"/>
      <c r="F1622" s="177"/>
      <c r="G1622" s="177"/>
      <c r="H1622" s="177"/>
      <c r="I1622" s="177"/>
      <c r="J1622" s="115"/>
      <c r="K1622" s="116"/>
      <c r="L1622" s="116"/>
      <c r="M1622" s="116"/>
      <c r="N1622" s="129" t="e">
        <f t="shared" ref="N1622:N1627" si="292">+K1622/(K1622+L1622)</f>
        <v>#DIV/0!</v>
      </c>
      <c r="O1622" s="129" t="e">
        <f t="shared" ref="O1622:O1627" si="293">+(K1622+M1622)/(K1622+L1622+M1622)</f>
        <v>#DIV/0!</v>
      </c>
      <c r="P1622" s="129" t="e">
        <f t="shared" ref="P1622:P1627" si="294">+K1622/(K1622+M1622)</f>
        <v>#DIV/0!</v>
      </c>
      <c r="Q1622" s="114"/>
      <c r="R1622" s="5" t="e">
        <f t="shared" si="286"/>
        <v>#DIV/0!</v>
      </c>
    </row>
    <row r="1623" spans="1:18" s="4" customFormat="1" ht="15" hidden="1" customHeight="1">
      <c r="A1623" s="64"/>
      <c r="B1623" s="7">
        <f t="shared" si="270"/>
        <v>16</v>
      </c>
      <c r="C1623" s="177"/>
      <c r="D1623" s="177"/>
      <c r="E1623" s="177"/>
      <c r="F1623" s="177"/>
      <c r="G1623" s="177"/>
      <c r="H1623" s="177"/>
      <c r="I1623" s="177"/>
      <c r="J1623" s="115"/>
      <c r="K1623" s="116"/>
      <c r="L1623" s="116"/>
      <c r="M1623" s="116"/>
      <c r="N1623" s="129" t="e">
        <f t="shared" si="292"/>
        <v>#DIV/0!</v>
      </c>
      <c r="O1623" s="129" t="e">
        <f t="shared" si="293"/>
        <v>#DIV/0!</v>
      </c>
      <c r="P1623" s="129" t="e">
        <f t="shared" si="294"/>
        <v>#DIV/0!</v>
      </c>
      <c r="Q1623" s="114"/>
      <c r="R1623" s="5" t="e">
        <f t="shared" si="286"/>
        <v>#DIV/0!</v>
      </c>
    </row>
    <row r="1624" spans="1:18" s="4" customFormat="1" ht="15" hidden="1" customHeight="1">
      <c r="A1624" s="64"/>
      <c r="B1624" s="7">
        <f t="shared" si="270"/>
        <v>17</v>
      </c>
      <c r="C1624" s="177"/>
      <c r="D1624" s="177"/>
      <c r="E1624" s="177"/>
      <c r="F1624" s="177"/>
      <c r="G1624" s="177"/>
      <c r="H1624" s="177"/>
      <c r="I1624" s="177"/>
      <c r="J1624" s="115"/>
      <c r="K1624" s="116"/>
      <c r="L1624" s="116"/>
      <c r="M1624" s="116"/>
      <c r="N1624" s="129" t="e">
        <f t="shared" si="292"/>
        <v>#DIV/0!</v>
      </c>
      <c r="O1624" s="129" t="e">
        <f t="shared" si="293"/>
        <v>#DIV/0!</v>
      </c>
      <c r="P1624" s="129" t="e">
        <f t="shared" si="294"/>
        <v>#DIV/0!</v>
      </c>
      <c r="Q1624" s="114"/>
      <c r="R1624" s="5" t="e">
        <f t="shared" si="286"/>
        <v>#DIV/0!</v>
      </c>
    </row>
    <row r="1625" spans="1:18" s="4" customFormat="1" ht="15" hidden="1" customHeight="1">
      <c r="A1625" s="64"/>
      <c r="B1625" s="7">
        <f t="shared" si="270"/>
        <v>18</v>
      </c>
      <c r="C1625" s="177"/>
      <c r="D1625" s="177"/>
      <c r="E1625" s="177"/>
      <c r="F1625" s="177"/>
      <c r="G1625" s="177"/>
      <c r="H1625" s="177"/>
      <c r="I1625" s="177"/>
      <c r="J1625" s="115"/>
      <c r="K1625" s="116"/>
      <c r="L1625" s="116"/>
      <c r="M1625" s="116"/>
      <c r="N1625" s="129" t="e">
        <f t="shared" si="292"/>
        <v>#DIV/0!</v>
      </c>
      <c r="O1625" s="129" t="e">
        <f t="shared" si="293"/>
        <v>#DIV/0!</v>
      </c>
      <c r="P1625" s="129" t="e">
        <f t="shared" si="294"/>
        <v>#DIV/0!</v>
      </c>
      <c r="Q1625" s="114"/>
      <c r="R1625" s="5" t="e">
        <f t="shared" si="286"/>
        <v>#DIV/0!</v>
      </c>
    </row>
    <row r="1626" spans="1:18" s="4" customFormat="1" ht="15" hidden="1" customHeight="1">
      <c r="A1626" s="64"/>
      <c r="B1626" s="7">
        <f t="shared" si="270"/>
        <v>19</v>
      </c>
      <c r="C1626" s="177"/>
      <c r="D1626" s="177"/>
      <c r="E1626" s="177"/>
      <c r="F1626" s="177"/>
      <c r="G1626" s="177"/>
      <c r="H1626" s="177"/>
      <c r="I1626" s="177"/>
      <c r="J1626" s="115"/>
      <c r="K1626" s="116"/>
      <c r="L1626" s="116"/>
      <c r="M1626" s="116"/>
      <c r="N1626" s="129" t="e">
        <f t="shared" si="292"/>
        <v>#DIV/0!</v>
      </c>
      <c r="O1626" s="129" t="e">
        <f t="shared" si="293"/>
        <v>#DIV/0!</v>
      </c>
      <c r="P1626" s="129" t="e">
        <f t="shared" si="294"/>
        <v>#DIV/0!</v>
      </c>
      <c r="Q1626" s="114"/>
      <c r="R1626" s="5" t="e">
        <f t="shared" si="286"/>
        <v>#DIV/0!</v>
      </c>
    </row>
    <row r="1627" spans="1:18" s="4" customFormat="1" ht="15" hidden="1" customHeight="1">
      <c r="A1627" s="64"/>
      <c r="B1627" s="7">
        <f t="shared" si="270"/>
        <v>20</v>
      </c>
      <c r="C1627" s="177"/>
      <c r="D1627" s="177"/>
      <c r="E1627" s="177"/>
      <c r="F1627" s="177"/>
      <c r="G1627" s="177"/>
      <c r="H1627" s="177"/>
      <c r="I1627" s="177"/>
      <c r="J1627" s="115"/>
      <c r="K1627" s="116"/>
      <c r="L1627" s="116"/>
      <c r="M1627" s="116"/>
      <c r="N1627" s="129" t="e">
        <f t="shared" si="292"/>
        <v>#DIV/0!</v>
      </c>
      <c r="O1627" s="129" t="e">
        <f t="shared" si="293"/>
        <v>#DIV/0!</v>
      </c>
      <c r="P1627" s="129" t="e">
        <f t="shared" si="294"/>
        <v>#DIV/0!</v>
      </c>
      <c r="Q1627" s="114"/>
      <c r="R1627" s="5" t="e">
        <f t="shared" si="286"/>
        <v>#DIV/0!</v>
      </c>
    </row>
    <row r="1628" spans="1:18" s="4" customFormat="1" ht="15" hidden="1" customHeight="1">
      <c r="A1628" s="64"/>
      <c r="B1628" s="7">
        <f t="shared" si="270"/>
        <v>21</v>
      </c>
      <c r="C1628" s="177"/>
      <c r="D1628" s="177"/>
      <c r="E1628" s="177"/>
      <c r="F1628" s="177"/>
      <c r="G1628" s="177"/>
      <c r="H1628" s="177"/>
      <c r="I1628" s="177"/>
      <c r="J1628" s="115"/>
      <c r="K1628" s="116"/>
      <c r="L1628" s="116"/>
      <c r="M1628" s="116"/>
      <c r="N1628" s="129"/>
      <c r="O1628" s="129"/>
      <c r="P1628" s="129"/>
      <c r="Q1628" s="114"/>
      <c r="R1628" s="5" t="b">
        <f t="shared" si="286"/>
        <v>0</v>
      </c>
    </row>
    <row r="1629" spans="1:18" s="4" customFormat="1" ht="15" hidden="1" customHeight="1">
      <c r="A1629" s="64"/>
      <c r="B1629" s="7">
        <f t="shared" si="270"/>
        <v>22</v>
      </c>
      <c r="C1629" s="177"/>
      <c r="D1629" s="177"/>
      <c r="E1629" s="177"/>
      <c r="F1629" s="177"/>
      <c r="G1629" s="177"/>
      <c r="H1629" s="177"/>
      <c r="I1629" s="177"/>
      <c r="J1629" s="115"/>
      <c r="K1629" s="116"/>
      <c r="L1629" s="116"/>
      <c r="M1629" s="116"/>
      <c r="N1629" s="129" t="e">
        <f t="shared" ref="N1629:N1663" si="295">+K1629/(K1629+L1629)</f>
        <v>#DIV/0!</v>
      </c>
      <c r="O1629" s="129" t="e">
        <f t="shared" ref="O1629:O1663" si="296">+(K1629+M1629)/(K1629+L1629+M1629)</f>
        <v>#DIV/0!</v>
      </c>
      <c r="P1629" s="129" t="e">
        <f t="shared" ref="P1629:P1663" si="297">+K1629/(K1629+M1629)</f>
        <v>#DIV/0!</v>
      </c>
      <c r="Q1629" s="114"/>
      <c r="R1629" s="5" t="e">
        <f t="shared" si="286"/>
        <v>#DIV/0!</v>
      </c>
    </row>
    <row r="1630" spans="1:18" s="4" customFormat="1" ht="15" hidden="1" customHeight="1">
      <c r="A1630" s="64"/>
      <c r="B1630" s="7">
        <f t="shared" si="270"/>
        <v>23</v>
      </c>
      <c r="C1630" s="177"/>
      <c r="D1630" s="177"/>
      <c r="E1630" s="177"/>
      <c r="F1630" s="177"/>
      <c r="G1630" s="177"/>
      <c r="H1630" s="177"/>
      <c r="I1630" s="177"/>
      <c r="J1630" s="115"/>
      <c r="K1630" s="116"/>
      <c r="L1630" s="116"/>
      <c r="M1630" s="116"/>
      <c r="N1630" s="129" t="e">
        <f t="shared" si="295"/>
        <v>#DIV/0!</v>
      </c>
      <c r="O1630" s="129" t="e">
        <f t="shared" si="296"/>
        <v>#DIV/0!</v>
      </c>
      <c r="P1630" s="129" t="e">
        <f t="shared" si="297"/>
        <v>#DIV/0!</v>
      </c>
      <c r="Q1630" s="114"/>
      <c r="R1630" s="5" t="e">
        <f t="shared" si="286"/>
        <v>#DIV/0!</v>
      </c>
    </row>
    <row r="1631" spans="1:18" s="4" customFormat="1" ht="15" hidden="1" customHeight="1">
      <c r="A1631" s="64"/>
      <c r="B1631" s="7">
        <f t="shared" si="270"/>
        <v>24</v>
      </c>
      <c r="C1631" s="177"/>
      <c r="D1631" s="177"/>
      <c r="E1631" s="177"/>
      <c r="F1631" s="177"/>
      <c r="G1631" s="177"/>
      <c r="H1631" s="177"/>
      <c r="I1631" s="177"/>
      <c r="J1631" s="115"/>
      <c r="K1631" s="116"/>
      <c r="L1631" s="116"/>
      <c r="M1631" s="116"/>
      <c r="N1631" s="129" t="e">
        <f t="shared" si="295"/>
        <v>#DIV/0!</v>
      </c>
      <c r="O1631" s="129" t="e">
        <f t="shared" si="296"/>
        <v>#DIV/0!</v>
      </c>
      <c r="P1631" s="129" t="e">
        <f t="shared" si="297"/>
        <v>#DIV/0!</v>
      </c>
      <c r="Q1631" s="114"/>
      <c r="R1631" s="5" t="e">
        <f t="shared" si="286"/>
        <v>#DIV/0!</v>
      </c>
    </row>
    <row r="1632" spans="1:18" s="4" customFormat="1" ht="15" hidden="1" customHeight="1">
      <c r="A1632" s="64"/>
      <c r="B1632" s="7">
        <f t="shared" si="270"/>
        <v>25</v>
      </c>
      <c r="C1632" s="177"/>
      <c r="D1632" s="177"/>
      <c r="E1632" s="177"/>
      <c r="F1632" s="177"/>
      <c r="G1632" s="177"/>
      <c r="H1632" s="177"/>
      <c r="I1632" s="177"/>
      <c r="J1632" s="115"/>
      <c r="K1632" s="116"/>
      <c r="L1632" s="116"/>
      <c r="M1632" s="116"/>
      <c r="N1632" s="129" t="e">
        <f t="shared" si="295"/>
        <v>#DIV/0!</v>
      </c>
      <c r="O1632" s="129" t="e">
        <f t="shared" si="296"/>
        <v>#DIV/0!</v>
      </c>
      <c r="P1632" s="129" t="e">
        <f t="shared" si="297"/>
        <v>#DIV/0!</v>
      </c>
      <c r="Q1632" s="114"/>
      <c r="R1632" s="5" t="e">
        <f t="shared" si="286"/>
        <v>#DIV/0!</v>
      </c>
    </row>
    <row r="1633" spans="1:18" s="4" customFormat="1" ht="15" hidden="1" customHeight="1">
      <c r="A1633" s="64"/>
      <c r="B1633" s="7">
        <f t="shared" si="270"/>
        <v>26</v>
      </c>
      <c r="C1633" s="177"/>
      <c r="D1633" s="177"/>
      <c r="E1633" s="177"/>
      <c r="F1633" s="177"/>
      <c r="G1633" s="177"/>
      <c r="H1633" s="177"/>
      <c r="I1633" s="177"/>
      <c r="J1633" s="115"/>
      <c r="K1633" s="116"/>
      <c r="L1633" s="116"/>
      <c r="M1633" s="116"/>
      <c r="N1633" s="129" t="e">
        <f t="shared" si="295"/>
        <v>#DIV/0!</v>
      </c>
      <c r="O1633" s="129" t="e">
        <f t="shared" si="296"/>
        <v>#DIV/0!</v>
      </c>
      <c r="P1633" s="129" t="e">
        <f t="shared" si="297"/>
        <v>#DIV/0!</v>
      </c>
      <c r="Q1633" s="114"/>
      <c r="R1633" s="5" t="e">
        <f t="shared" si="286"/>
        <v>#DIV/0!</v>
      </c>
    </row>
    <row r="1634" spans="1:18" s="4" customFormat="1" ht="15" hidden="1" customHeight="1">
      <c r="A1634" s="64"/>
      <c r="B1634" s="7">
        <f t="shared" si="270"/>
        <v>27</v>
      </c>
      <c r="C1634" s="177"/>
      <c r="D1634" s="177"/>
      <c r="E1634" s="177"/>
      <c r="F1634" s="177"/>
      <c r="G1634" s="177"/>
      <c r="H1634" s="177"/>
      <c r="I1634" s="177"/>
      <c r="J1634" s="115"/>
      <c r="K1634" s="116"/>
      <c r="L1634" s="116"/>
      <c r="M1634" s="116"/>
      <c r="N1634" s="129" t="e">
        <f t="shared" si="295"/>
        <v>#DIV/0!</v>
      </c>
      <c r="O1634" s="129" t="e">
        <f t="shared" si="296"/>
        <v>#DIV/0!</v>
      </c>
      <c r="P1634" s="129" t="e">
        <f t="shared" si="297"/>
        <v>#DIV/0!</v>
      </c>
      <c r="Q1634" s="114"/>
      <c r="R1634" s="5" t="e">
        <f t="shared" si="286"/>
        <v>#DIV/0!</v>
      </c>
    </row>
    <row r="1635" spans="1:18" s="4" customFormat="1" ht="15" hidden="1" customHeight="1">
      <c r="A1635" s="64"/>
      <c r="B1635" s="7">
        <f t="shared" si="270"/>
        <v>28</v>
      </c>
      <c r="C1635" s="177"/>
      <c r="D1635" s="177"/>
      <c r="E1635" s="177"/>
      <c r="F1635" s="177"/>
      <c r="G1635" s="177"/>
      <c r="H1635" s="177"/>
      <c r="I1635" s="177"/>
      <c r="J1635" s="115"/>
      <c r="K1635" s="116"/>
      <c r="L1635" s="116"/>
      <c r="M1635" s="116"/>
      <c r="N1635" s="129" t="e">
        <f t="shared" si="295"/>
        <v>#DIV/0!</v>
      </c>
      <c r="O1635" s="129" t="e">
        <f t="shared" si="296"/>
        <v>#DIV/0!</v>
      </c>
      <c r="P1635" s="129" t="e">
        <f t="shared" si="297"/>
        <v>#DIV/0!</v>
      </c>
      <c r="Q1635" s="114"/>
      <c r="R1635" s="5" t="e">
        <f t="shared" si="286"/>
        <v>#DIV/0!</v>
      </c>
    </row>
    <row r="1636" spans="1:18" s="4" customFormat="1" ht="15" hidden="1" customHeight="1">
      <c r="A1636" s="64"/>
      <c r="B1636" s="7">
        <f t="shared" si="270"/>
        <v>29</v>
      </c>
      <c r="C1636" s="177"/>
      <c r="D1636" s="177"/>
      <c r="E1636" s="177"/>
      <c r="F1636" s="177"/>
      <c r="G1636" s="177"/>
      <c r="H1636" s="177"/>
      <c r="I1636" s="177"/>
      <c r="J1636" s="115"/>
      <c r="K1636" s="116"/>
      <c r="L1636" s="116"/>
      <c r="M1636" s="116"/>
      <c r="N1636" s="129" t="e">
        <f t="shared" si="295"/>
        <v>#DIV/0!</v>
      </c>
      <c r="O1636" s="129" t="e">
        <f t="shared" si="296"/>
        <v>#DIV/0!</v>
      </c>
      <c r="P1636" s="129" t="e">
        <f t="shared" si="297"/>
        <v>#DIV/0!</v>
      </c>
      <c r="Q1636" s="114"/>
      <c r="R1636" s="5" t="e">
        <f t="shared" si="286"/>
        <v>#DIV/0!</v>
      </c>
    </row>
    <row r="1637" spans="1:18" s="4" customFormat="1" ht="15" hidden="1" customHeight="1">
      <c r="A1637" s="64"/>
      <c r="B1637" s="7">
        <f t="shared" si="270"/>
        <v>30</v>
      </c>
      <c r="C1637" s="177"/>
      <c r="D1637" s="177"/>
      <c r="E1637" s="177"/>
      <c r="F1637" s="177"/>
      <c r="G1637" s="177"/>
      <c r="H1637" s="177"/>
      <c r="I1637" s="177"/>
      <c r="J1637" s="115"/>
      <c r="K1637" s="116"/>
      <c r="L1637" s="116"/>
      <c r="M1637" s="116"/>
      <c r="N1637" s="129" t="e">
        <f t="shared" si="295"/>
        <v>#DIV/0!</v>
      </c>
      <c r="O1637" s="129" t="e">
        <f t="shared" si="296"/>
        <v>#DIV/0!</v>
      </c>
      <c r="P1637" s="129" t="e">
        <f t="shared" si="297"/>
        <v>#DIV/0!</v>
      </c>
      <c r="Q1637" s="114"/>
      <c r="R1637" s="5" t="e">
        <f t="shared" si="286"/>
        <v>#DIV/0!</v>
      </c>
    </row>
    <row r="1638" spans="1:18" s="4" customFormat="1" ht="15" hidden="1" customHeight="1">
      <c r="A1638" s="64"/>
      <c r="B1638" s="7">
        <f t="shared" si="270"/>
        <v>31</v>
      </c>
      <c r="C1638" s="177"/>
      <c r="D1638" s="177"/>
      <c r="E1638" s="177"/>
      <c r="F1638" s="177"/>
      <c r="G1638" s="177"/>
      <c r="H1638" s="177"/>
      <c r="I1638" s="177"/>
      <c r="J1638" s="115"/>
      <c r="K1638" s="116"/>
      <c r="L1638" s="116"/>
      <c r="M1638" s="116"/>
      <c r="N1638" s="129" t="e">
        <f t="shared" si="295"/>
        <v>#DIV/0!</v>
      </c>
      <c r="O1638" s="129" t="e">
        <f t="shared" si="296"/>
        <v>#DIV/0!</v>
      </c>
      <c r="P1638" s="129" t="e">
        <f t="shared" si="297"/>
        <v>#DIV/0!</v>
      </c>
      <c r="Q1638" s="114"/>
      <c r="R1638" s="5" t="e">
        <f t="shared" si="286"/>
        <v>#DIV/0!</v>
      </c>
    </row>
    <row r="1639" spans="1:18" s="4" customFormat="1" ht="15" hidden="1" customHeight="1">
      <c r="A1639" s="64"/>
      <c r="B1639" s="7">
        <f t="shared" si="270"/>
        <v>32</v>
      </c>
      <c r="C1639" s="177"/>
      <c r="D1639" s="177"/>
      <c r="E1639" s="177"/>
      <c r="F1639" s="177"/>
      <c r="G1639" s="177"/>
      <c r="H1639" s="177"/>
      <c r="I1639" s="177"/>
      <c r="J1639" s="115"/>
      <c r="K1639" s="116"/>
      <c r="L1639" s="116"/>
      <c r="M1639" s="116"/>
      <c r="N1639" s="129" t="e">
        <f t="shared" si="295"/>
        <v>#DIV/0!</v>
      </c>
      <c r="O1639" s="129" t="e">
        <f t="shared" si="296"/>
        <v>#DIV/0!</v>
      </c>
      <c r="P1639" s="129" t="e">
        <f t="shared" si="297"/>
        <v>#DIV/0!</v>
      </c>
      <c r="Q1639" s="114"/>
      <c r="R1639" s="5" t="e">
        <f t="shared" si="286"/>
        <v>#DIV/0!</v>
      </c>
    </row>
    <row r="1640" spans="1:18" s="4" customFormat="1" ht="15" hidden="1" customHeight="1">
      <c r="A1640" s="64"/>
      <c r="B1640" s="7">
        <f t="shared" si="270"/>
        <v>33</v>
      </c>
      <c r="C1640" s="177"/>
      <c r="D1640" s="177"/>
      <c r="E1640" s="177"/>
      <c r="F1640" s="177"/>
      <c r="G1640" s="177"/>
      <c r="H1640" s="177"/>
      <c r="I1640" s="177"/>
      <c r="J1640" s="115"/>
      <c r="K1640" s="116"/>
      <c r="L1640" s="116"/>
      <c r="M1640" s="116"/>
      <c r="N1640" s="129" t="e">
        <f t="shared" si="295"/>
        <v>#DIV/0!</v>
      </c>
      <c r="O1640" s="129" t="e">
        <f t="shared" si="296"/>
        <v>#DIV/0!</v>
      </c>
      <c r="P1640" s="129" t="e">
        <f t="shared" si="297"/>
        <v>#DIV/0!</v>
      </c>
      <c r="Q1640" s="114"/>
      <c r="R1640" s="5" t="e">
        <f t="shared" si="286"/>
        <v>#DIV/0!</v>
      </c>
    </row>
    <row r="1641" spans="1:18" s="4" customFormat="1" ht="15" hidden="1" customHeight="1">
      <c r="A1641" s="64"/>
      <c r="B1641" s="7">
        <f t="shared" si="270"/>
        <v>34</v>
      </c>
      <c r="C1641" s="177"/>
      <c r="D1641" s="177"/>
      <c r="E1641" s="177"/>
      <c r="F1641" s="177"/>
      <c r="G1641" s="177"/>
      <c r="H1641" s="177"/>
      <c r="I1641" s="177"/>
      <c r="J1641" s="115"/>
      <c r="K1641" s="116"/>
      <c r="L1641" s="116"/>
      <c r="M1641" s="116"/>
      <c r="N1641" s="129" t="e">
        <f t="shared" si="295"/>
        <v>#DIV/0!</v>
      </c>
      <c r="O1641" s="129" t="e">
        <f t="shared" si="296"/>
        <v>#DIV/0!</v>
      </c>
      <c r="P1641" s="129" t="e">
        <f t="shared" si="297"/>
        <v>#DIV/0!</v>
      </c>
      <c r="Q1641" s="114"/>
      <c r="R1641" s="5" t="e">
        <f t="shared" si="286"/>
        <v>#DIV/0!</v>
      </c>
    </row>
    <row r="1642" spans="1:18" s="4" customFormat="1" ht="15" hidden="1" customHeight="1">
      <c r="A1642" s="64"/>
      <c r="B1642" s="7">
        <f t="shared" si="270"/>
        <v>35</v>
      </c>
      <c r="C1642" s="177"/>
      <c r="D1642" s="177"/>
      <c r="E1642" s="177"/>
      <c r="F1642" s="177"/>
      <c r="G1642" s="177"/>
      <c r="H1642" s="177"/>
      <c r="I1642" s="177"/>
      <c r="J1642" s="115"/>
      <c r="K1642" s="116"/>
      <c r="L1642" s="116"/>
      <c r="M1642" s="116"/>
      <c r="N1642" s="129" t="e">
        <f t="shared" si="295"/>
        <v>#DIV/0!</v>
      </c>
      <c r="O1642" s="129" t="e">
        <f t="shared" si="296"/>
        <v>#DIV/0!</v>
      </c>
      <c r="P1642" s="129" t="e">
        <f t="shared" si="297"/>
        <v>#DIV/0!</v>
      </c>
      <c r="Q1642" s="114"/>
      <c r="R1642" s="5" t="e">
        <f t="shared" si="286"/>
        <v>#DIV/0!</v>
      </c>
    </row>
    <row r="1643" spans="1:18" s="4" customFormat="1" ht="15" hidden="1" customHeight="1">
      <c r="A1643" s="64"/>
      <c r="B1643" s="7">
        <f t="shared" si="270"/>
        <v>36</v>
      </c>
      <c r="C1643" s="177"/>
      <c r="D1643" s="177"/>
      <c r="E1643" s="177"/>
      <c r="F1643" s="177"/>
      <c r="G1643" s="177"/>
      <c r="H1643" s="177"/>
      <c r="I1643" s="177"/>
      <c r="J1643" s="115"/>
      <c r="K1643" s="116"/>
      <c r="L1643" s="116"/>
      <c r="M1643" s="116"/>
      <c r="N1643" s="129" t="e">
        <f t="shared" si="295"/>
        <v>#DIV/0!</v>
      </c>
      <c r="O1643" s="129" t="e">
        <f t="shared" si="296"/>
        <v>#DIV/0!</v>
      </c>
      <c r="P1643" s="129" t="e">
        <f t="shared" si="297"/>
        <v>#DIV/0!</v>
      </c>
      <c r="Q1643" s="114"/>
      <c r="R1643" s="5" t="e">
        <f t="shared" si="286"/>
        <v>#DIV/0!</v>
      </c>
    </row>
    <row r="1644" spans="1:18" s="4" customFormat="1" ht="15" hidden="1" customHeight="1">
      <c r="A1644" s="64"/>
      <c r="B1644" s="7">
        <f t="shared" si="270"/>
        <v>37</v>
      </c>
      <c r="C1644" s="177"/>
      <c r="D1644" s="177"/>
      <c r="E1644" s="177"/>
      <c r="F1644" s="177"/>
      <c r="G1644" s="177"/>
      <c r="H1644" s="177"/>
      <c r="I1644" s="177"/>
      <c r="J1644" s="115"/>
      <c r="K1644" s="116"/>
      <c r="L1644" s="116"/>
      <c r="M1644" s="116"/>
      <c r="N1644" s="129" t="e">
        <f t="shared" si="295"/>
        <v>#DIV/0!</v>
      </c>
      <c r="O1644" s="129" t="e">
        <f t="shared" si="296"/>
        <v>#DIV/0!</v>
      </c>
      <c r="P1644" s="129" t="e">
        <f t="shared" si="297"/>
        <v>#DIV/0!</v>
      </c>
      <c r="Q1644" s="114"/>
      <c r="R1644" s="5" t="e">
        <f t="shared" si="286"/>
        <v>#DIV/0!</v>
      </c>
    </row>
    <row r="1645" spans="1:18" s="4" customFormat="1" ht="15" hidden="1" customHeight="1">
      <c r="A1645" s="64"/>
      <c r="B1645" s="7">
        <f t="shared" si="270"/>
        <v>38</v>
      </c>
      <c r="C1645" s="177"/>
      <c r="D1645" s="177"/>
      <c r="E1645" s="177"/>
      <c r="F1645" s="177"/>
      <c r="G1645" s="177"/>
      <c r="H1645" s="177"/>
      <c r="I1645" s="177"/>
      <c r="J1645" s="115"/>
      <c r="K1645" s="116"/>
      <c r="L1645" s="116"/>
      <c r="M1645" s="116"/>
      <c r="N1645" s="129" t="e">
        <f t="shared" si="295"/>
        <v>#DIV/0!</v>
      </c>
      <c r="O1645" s="129" t="e">
        <f t="shared" si="296"/>
        <v>#DIV/0!</v>
      </c>
      <c r="P1645" s="129" t="e">
        <f t="shared" si="297"/>
        <v>#DIV/0!</v>
      </c>
      <c r="Q1645" s="114"/>
      <c r="R1645" s="5" t="e">
        <f t="shared" si="286"/>
        <v>#DIV/0!</v>
      </c>
    </row>
    <row r="1646" spans="1:18" s="4" customFormat="1" ht="15" hidden="1" customHeight="1">
      <c r="A1646" s="64"/>
      <c r="B1646" s="7">
        <f t="shared" si="270"/>
        <v>39</v>
      </c>
      <c r="C1646" s="211"/>
      <c r="D1646" s="211"/>
      <c r="E1646" s="211"/>
      <c r="F1646" s="211"/>
      <c r="G1646" s="211"/>
      <c r="H1646" s="211"/>
      <c r="I1646" s="211"/>
      <c r="J1646" s="115"/>
      <c r="K1646" s="239"/>
      <c r="L1646" s="239"/>
      <c r="M1646" s="239"/>
      <c r="N1646" s="129" t="e">
        <f t="shared" si="295"/>
        <v>#DIV/0!</v>
      </c>
      <c r="O1646" s="129" t="e">
        <f t="shared" si="296"/>
        <v>#DIV/0!</v>
      </c>
      <c r="P1646" s="129" t="e">
        <f t="shared" si="297"/>
        <v>#DIV/0!</v>
      </c>
      <c r="Q1646" s="114"/>
      <c r="R1646" s="5" t="e">
        <f t="shared" si="286"/>
        <v>#DIV/0!</v>
      </c>
    </row>
    <row r="1647" spans="1:18" s="4" customFormat="1" ht="15" hidden="1" customHeight="1">
      <c r="A1647" s="64"/>
      <c r="B1647" s="7">
        <f t="shared" si="270"/>
        <v>40</v>
      </c>
      <c r="C1647" s="211"/>
      <c r="D1647" s="211"/>
      <c r="E1647" s="211"/>
      <c r="F1647" s="211"/>
      <c r="G1647" s="211"/>
      <c r="H1647" s="211"/>
      <c r="I1647" s="211"/>
      <c r="J1647" s="115"/>
      <c r="K1647" s="239"/>
      <c r="L1647" s="239"/>
      <c r="M1647" s="239"/>
      <c r="N1647" s="129" t="e">
        <f t="shared" si="295"/>
        <v>#DIV/0!</v>
      </c>
      <c r="O1647" s="129" t="e">
        <f t="shared" si="296"/>
        <v>#DIV/0!</v>
      </c>
      <c r="P1647" s="129" t="e">
        <f t="shared" si="297"/>
        <v>#DIV/0!</v>
      </c>
      <c r="Q1647" s="114"/>
      <c r="R1647" s="5" t="e">
        <f t="shared" si="286"/>
        <v>#DIV/0!</v>
      </c>
    </row>
    <row r="1648" spans="1:18" s="4" customFormat="1" ht="15" hidden="1" customHeight="1">
      <c r="A1648" s="64"/>
      <c r="B1648" s="7">
        <f t="shared" si="270"/>
        <v>41</v>
      </c>
      <c r="C1648" s="211"/>
      <c r="D1648" s="211"/>
      <c r="E1648" s="211"/>
      <c r="F1648" s="211"/>
      <c r="G1648" s="211"/>
      <c r="H1648" s="211"/>
      <c r="I1648" s="211"/>
      <c r="J1648" s="115"/>
      <c r="K1648" s="239"/>
      <c r="L1648" s="239"/>
      <c r="M1648" s="239"/>
      <c r="N1648" s="129" t="e">
        <f t="shared" si="295"/>
        <v>#DIV/0!</v>
      </c>
      <c r="O1648" s="129" t="e">
        <f t="shared" si="296"/>
        <v>#DIV/0!</v>
      </c>
      <c r="P1648" s="129" t="e">
        <f t="shared" si="297"/>
        <v>#DIV/0!</v>
      </c>
      <c r="Q1648" s="114"/>
      <c r="R1648" s="5" t="e">
        <f t="shared" si="286"/>
        <v>#DIV/0!</v>
      </c>
    </row>
    <row r="1649" spans="1:18" s="4" customFormat="1" ht="15" hidden="1" customHeight="1">
      <c r="A1649" s="64"/>
      <c r="B1649" s="7">
        <f t="shared" si="270"/>
        <v>42</v>
      </c>
      <c r="C1649" s="211"/>
      <c r="D1649" s="211"/>
      <c r="E1649" s="211"/>
      <c r="F1649" s="211"/>
      <c r="G1649" s="211"/>
      <c r="H1649" s="211"/>
      <c r="I1649" s="211"/>
      <c r="J1649" s="115"/>
      <c r="K1649" s="239"/>
      <c r="L1649" s="239"/>
      <c r="M1649" s="239"/>
      <c r="N1649" s="129" t="e">
        <f t="shared" si="295"/>
        <v>#DIV/0!</v>
      </c>
      <c r="O1649" s="129" t="e">
        <f t="shared" si="296"/>
        <v>#DIV/0!</v>
      </c>
      <c r="P1649" s="129" t="e">
        <f t="shared" si="297"/>
        <v>#DIV/0!</v>
      </c>
      <c r="Q1649" s="114"/>
      <c r="R1649" s="5" t="e">
        <f t="shared" si="286"/>
        <v>#DIV/0!</v>
      </c>
    </row>
    <row r="1650" spans="1:18" s="4" customFormat="1" ht="15" hidden="1" customHeight="1">
      <c r="A1650" s="64"/>
      <c r="B1650" s="7">
        <f t="shared" si="270"/>
        <v>43</v>
      </c>
      <c r="C1650" s="211"/>
      <c r="D1650" s="211"/>
      <c r="E1650" s="211"/>
      <c r="F1650" s="211"/>
      <c r="G1650" s="211"/>
      <c r="H1650" s="211"/>
      <c r="I1650" s="211"/>
      <c r="J1650" s="115"/>
      <c r="K1650" s="239"/>
      <c r="L1650" s="239"/>
      <c r="M1650" s="239"/>
      <c r="N1650" s="129" t="e">
        <f t="shared" si="295"/>
        <v>#DIV/0!</v>
      </c>
      <c r="O1650" s="129" t="e">
        <f t="shared" si="296"/>
        <v>#DIV/0!</v>
      </c>
      <c r="P1650" s="129" t="e">
        <f t="shared" si="297"/>
        <v>#DIV/0!</v>
      </c>
      <c r="Q1650" s="114"/>
      <c r="R1650" s="5" t="e">
        <f t="shared" si="286"/>
        <v>#DIV/0!</v>
      </c>
    </row>
    <row r="1651" spans="1:18" s="4" customFormat="1" ht="15" hidden="1" customHeight="1">
      <c r="A1651" s="64"/>
      <c r="B1651" s="7">
        <f t="shared" si="270"/>
        <v>44</v>
      </c>
      <c r="C1651" s="211"/>
      <c r="D1651" s="211"/>
      <c r="E1651" s="211"/>
      <c r="F1651" s="211"/>
      <c r="G1651" s="211"/>
      <c r="H1651" s="211"/>
      <c r="I1651" s="211"/>
      <c r="J1651" s="115"/>
      <c r="K1651" s="239"/>
      <c r="L1651" s="239"/>
      <c r="M1651" s="239"/>
      <c r="N1651" s="129" t="e">
        <f t="shared" si="295"/>
        <v>#DIV/0!</v>
      </c>
      <c r="O1651" s="129" t="e">
        <f t="shared" si="296"/>
        <v>#DIV/0!</v>
      </c>
      <c r="P1651" s="129" t="e">
        <f t="shared" si="297"/>
        <v>#DIV/0!</v>
      </c>
      <c r="Q1651" s="114"/>
      <c r="R1651" s="5" t="e">
        <f t="shared" si="286"/>
        <v>#DIV/0!</v>
      </c>
    </row>
    <row r="1652" spans="1:18" s="4" customFormat="1" ht="15" hidden="1" customHeight="1">
      <c r="A1652" s="64"/>
      <c r="B1652" s="7">
        <f t="shared" si="270"/>
        <v>45</v>
      </c>
      <c r="C1652" s="211"/>
      <c r="D1652" s="211"/>
      <c r="E1652" s="211"/>
      <c r="F1652" s="211"/>
      <c r="G1652" s="211"/>
      <c r="H1652" s="211"/>
      <c r="I1652" s="211"/>
      <c r="J1652" s="115"/>
      <c r="K1652" s="239"/>
      <c r="L1652" s="239"/>
      <c r="M1652" s="239"/>
      <c r="N1652" s="129" t="e">
        <f t="shared" si="295"/>
        <v>#DIV/0!</v>
      </c>
      <c r="O1652" s="129" t="e">
        <f t="shared" si="296"/>
        <v>#DIV/0!</v>
      </c>
      <c r="P1652" s="129" t="e">
        <f t="shared" si="297"/>
        <v>#DIV/0!</v>
      </c>
      <c r="Q1652" s="114"/>
      <c r="R1652" s="5" t="e">
        <f t="shared" si="286"/>
        <v>#DIV/0!</v>
      </c>
    </row>
    <row r="1653" spans="1:18" s="4" customFormat="1" ht="15" hidden="1" customHeight="1">
      <c r="A1653" s="64"/>
      <c r="B1653" s="7">
        <f t="shared" si="270"/>
        <v>46</v>
      </c>
      <c r="C1653" s="211"/>
      <c r="D1653" s="211"/>
      <c r="E1653" s="211"/>
      <c r="F1653" s="211"/>
      <c r="G1653" s="211"/>
      <c r="H1653" s="211"/>
      <c r="I1653" s="211"/>
      <c r="J1653" s="115"/>
      <c r="K1653" s="239"/>
      <c r="L1653" s="239"/>
      <c r="M1653" s="239"/>
      <c r="N1653" s="129" t="e">
        <f t="shared" si="295"/>
        <v>#DIV/0!</v>
      </c>
      <c r="O1653" s="129" t="e">
        <f t="shared" si="296"/>
        <v>#DIV/0!</v>
      </c>
      <c r="P1653" s="129" t="e">
        <f t="shared" si="297"/>
        <v>#DIV/0!</v>
      </c>
      <c r="Q1653" s="114"/>
      <c r="R1653" s="5" t="e">
        <f t="shared" si="286"/>
        <v>#DIV/0!</v>
      </c>
    </row>
    <row r="1654" spans="1:18" s="4" customFormat="1" ht="15" hidden="1" customHeight="1">
      <c r="A1654" s="64"/>
      <c r="B1654" s="7">
        <f t="shared" si="270"/>
        <v>47</v>
      </c>
      <c r="C1654" s="211"/>
      <c r="D1654" s="211"/>
      <c r="E1654" s="211"/>
      <c r="F1654" s="211"/>
      <c r="G1654" s="211"/>
      <c r="H1654" s="211"/>
      <c r="I1654" s="211"/>
      <c r="J1654" s="115"/>
      <c r="K1654" s="239"/>
      <c r="L1654" s="239"/>
      <c r="M1654" s="239"/>
      <c r="N1654" s="129" t="e">
        <f t="shared" si="295"/>
        <v>#DIV/0!</v>
      </c>
      <c r="O1654" s="129" t="e">
        <f t="shared" si="296"/>
        <v>#DIV/0!</v>
      </c>
      <c r="P1654" s="129" t="e">
        <f t="shared" si="297"/>
        <v>#DIV/0!</v>
      </c>
      <c r="Q1654" s="114"/>
      <c r="R1654" s="5" t="e">
        <f t="shared" si="286"/>
        <v>#DIV/0!</v>
      </c>
    </row>
    <row r="1655" spans="1:18" s="4" customFormat="1" ht="15" hidden="1" customHeight="1">
      <c r="A1655" s="64"/>
      <c r="B1655" s="7">
        <f t="shared" si="270"/>
        <v>48</v>
      </c>
      <c r="C1655" s="211"/>
      <c r="D1655" s="211"/>
      <c r="E1655" s="211"/>
      <c r="F1655" s="211"/>
      <c r="G1655" s="211"/>
      <c r="H1655" s="211"/>
      <c r="I1655" s="211"/>
      <c r="J1655" s="240"/>
      <c r="K1655" s="239"/>
      <c r="L1655" s="239"/>
      <c r="M1655" s="239"/>
      <c r="N1655" s="129" t="e">
        <f t="shared" si="295"/>
        <v>#DIV/0!</v>
      </c>
      <c r="O1655" s="129" t="e">
        <f t="shared" si="296"/>
        <v>#DIV/0!</v>
      </c>
      <c r="P1655" s="129" t="e">
        <f t="shared" si="297"/>
        <v>#DIV/0!</v>
      </c>
      <c r="Q1655" s="114"/>
      <c r="R1655" s="5" t="e">
        <f t="shared" si="286"/>
        <v>#DIV/0!</v>
      </c>
    </row>
    <row r="1656" spans="1:18" s="4" customFormat="1" ht="15" hidden="1" customHeight="1">
      <c r="A1656" s="64"/>
      <c r="B1656" s="7">
        <f t="shared" si="270"/>
        <v>49</v>
      </c>
      <c r="C1656" s="211"/>
      <c r="D1656" s="211"/>
      <c r="E1656" s="211"/>
      <c r="F1656" s="211"/>
      <c r="G1656" s="211"/>
      <c r="H1656" s="211"/>
      <c r="I1656" s="211"/>
      <c r="J1656" s="240"/>
      <c r="K1656" s="239"/>
      <c r="L1656" s="239"/>
      <c r="M1656" s="239"/>
      <c r="N1656" s="129" t="e">
        <f t="shared" si="295"/>
        <v>#DIV/0!</v>
      </c>
      <c r="O1656" s="129" t="e">
        <f t="shared" si="296"/>
        <v>#DIV/0!</v>
      </c>
      <c r="P1656" s="129" t="e">
        <f t="shared" si="297"/>
        <v>#DIV/0!</v>
      </c>
      <c r="Q1656" s="114"/>
      <c r="R1656" s="5" t="e">
        <f t="shared" si="286"/>
        <v>#DIV/0!</v>
      </c>
    </row>
    <row r="1657" spans="1:18" s="4" customFormat="1" ht="15" hidden="1" customHeight="1">
      <c r="A1657" s="64"/>
      <c r="B1657" s="7">
        <f t="shared" si="270"/>
        <v>50</v>
      </c>
      <c r="C1657" s="211"/>
      <c r="D1657" s="211"/>
      <c r="E1657" s="211"/>
      <c r="F1657" s="211"/>
      <c r="G1657" s="211"/>
      <c r="H1657" s="211"/>
      <c r="I1657" s="211"/>
      <c r="J1657" s="240"/>
      <c r="K1657" s="239"/>
      <c r="L1657" s="239"/>
      <c r="M1657" s="239"/>
      <c r="N1657" s="129" t="e">
        <f t="shared" si="295"/>
        <v>#DIV/0!</v>
      </c>
      <c r="O1657" s="129" t="e">
        <f t="shared" si="296"/>
        <v>#DIV/0!</v>
      </c>
      <c r="P1657" s="129" t="e">
        <f t="shared" si="297"/>
        <v>#DIV/0!</v>
      </c>
      <c r="Q1657" s="114"/>
      <c r="R1657" s="5" t="e">
        <f t="shared" si="286"/>
        <v>#DIV/0!</v>
      </c>
    </row>
    <row r="1658" spans="1:18" s="4" customFormat="1" ht="15" hidden="1" customHeight="1">
      <c r="A1658" s="64"/>
      <c r="B1658" s="7">
        <f t="shared" si="270"/>
        <v>51</v>
      </c>
      <c r="C1658" s="211"/>
      <c r="D1658" s="211"/>
      <c r="E1658" s="211"/>
      <c r="F1658" s="211"/>
      <c r="G1658" s="211"/>
      <c r="H1658" s="211"/>
      <c r="I1658" s="211"/>
      <c r="J1658" s="240"/>
      <c r="K1658" s="239"/>
      <c r="L1658" s="239"/>
      <c r="M1658" s="239"/>
      <c r="N1658" s="129" t="e">
        <f t="shared" si="295"/>
        <v>#DIV/0!</v>
      </c>
      <c r="O1658" s="129" t="e">
        <f t="shared" si="296"/>
        <v>#DIV/0!</v>
      </c>
      <c r="P1658" s="129" t="e">
        <f t="shared" si="297"/>
        <v>#DIV/0!</v>
      </c>
      <c r="Q1658" s="114"/>
      <c r="R1658" s="5" t="e">
        <f t="shared" si="286"/>
        <v>#DIV/0!</v>
      </c>
    </row>
    <row r="1659" spans="1:18" s="4" customFormat="1" ht="15" hidden="1" customHeight="1">
      <c r="A1659" s="64"/>
      <c r="B1659" s="7">
        <f t="shared" si="270"/>
        <v>52</v>
      </c>
      <c r="C1659" s="211"/>
      <c r="D1659" s="211"/>
      <c r="E1659" s="211"/>
      <c r="F1659" s="211"/>
      <c r="G1659" s="211"/>
      <c r="H1659" s="211"/>
      <c r="I1659" s="211"/>
      <c r="J1659" s="240"/>
      <c r="K1659" s="239"/>
      <c r="L1659" s="239"/>
      <c r="M1659" s="239"/>
      <c r="N1659" s="129" t="e">
        <f t="shared" si="295"/>
        <v>#DIV/0!</v>
      </c>
      <c r="O1659" s="129" t="e">
        <f t="shared" si="296"/>
        <v>#DIV/0!</v>
      </c>
      <c r="P1659" s="129" t="e">
        <f t="shared" si="297"/>
        <v>#DIV/0!</v>
      </c>
      <c r="Q1659" s="114"/>
      <c r="R1659" s="5" t="e">
        <f t="shared" si="286"/>
        <v>#DIV/0!</v>
      </c>
    </row>
    <row r="1660" spans="1:18" s="4" customFormat="1" ht="15" hidden="1" customHeight="1">
      <c r="A1660" s="64"/>
      <c r="B1660" s="7">
        <f t="shared" si="270"/>
        <v>53</v>
      </c>
      <c r="C1660" s="211"/>
      <c r="D1660" s="211"/>
      <c r="E1660" s="211"/>
      <c r="F1660" s="211"/>
      <c r="G1660" s="211"/>
      <c r="H1660" s="211"/>
      <c r="I1660" s="211"/>
      <c r="J1660" s="240"/>
      <c r="K1660" s="239"/>
      <c r="L1660" s="239"/>
      <c r="M1660" s="239"/>
      <c r="N1660" s="129" t="e">
        <f t="shared" si="295"/>
        <v>#DIV/0!</v>
      </c>
      <c r="O1660" s="129" t="e">
        <f t="shared" si="296"/>
        <v>#DIV/0!</v>
      </c>
      <c r="P1660" s="129" t="e">
        <f t="shared" si="297"/>
        <v>#DIV/0!</v>
      </c>
      <c r="Q1660" s="114"/>
      <c r="R1660" s="5" t="e">
        <f t="shared" si="286"/>
        <v>#DIV/0!</v>
      </c>
    </row>
    <row r="1661" spans="1:18" s="4" customFormat="1" ht="15" hidden="1" customHeight="1">
      <c r="A1661" s="64"/>
      <c r="B1661" s="7">
        <f t="shared" si="270"/>
        <v>54</v>
      </c>
      <c r="C1661" s="211"/>
      <c r="D1661" s="211"/>
      <c r="E1661" s="211"/>
      <c r="F1661" s="211"/>
      <c r="G1661" s="211"/>
      <c r="H1661" s="211"/>
      <c r="I1661" s="211"/>
      <c r="J1661" s="240"/>
      <c r="K1661" s="239"/>
      <c r="L1661" s="239"/>
      <c r="M1661" s="239"/>
      <c r="N1661" s="129" t="e">
        <f t="shared" si="295"/>
        <v>#DIV/0!</v>
      </c>
      <c r="O1661" s="129" t="e">
        <f t="shared" si="296"/>
        <v>#DIV/0!</v>
      </c>
      <c r="P1661" s="129" t="e">
        <f t="shared" si="297"/>
        <v>#DIV/0!</v>
      </c>
      <c r="Q1661" s="114"/>
      <c r="R1661" s="5" t="e">
        <f t="shared" si="286"/>
        <v>#DIV/0!</v>
      </c>
    </row>
    <row r="1662" spans="1:18" s="4" customFormat="1" ht="15" hidden="1" customHeight="1">
      <c r="A1662" s="64"/>
      <c r="B1662" s="7">
        <f t="shared" si="270"/>
        <v>55</v>
      </c>
      <c r="C1662" s="211"/>
      <c r="D1662" s="211"/>
      <c r="E1662" s="211"/>
      <c r="F1662" s="211"/>
      <c r="G1662" s="211"/>
      <c r="H1662" s="211"/>
      <c r="I1662" s="211"/>
      <c r="J1662" s="240"/>
      <c r="K1662" s="239"/>
      <c r="L1662" s="239"/>
      <c r="M1662" s="239"/>
      <c r="N1662" s="129" t="e">
        <f t="shared" si="295"/>
        <v>#DIV/0!</v>
      </c>
      <c r="O1662" s="129" t="e">
        <f t="shared" si="296"/>
        <v>#DIV/0!</v>
      </c>
      <c r="P1662" s="129" t="e">
        <f t="shared" si="297"/>
        <v>#DIV/0!</v>
      </c>
      <c r="Q1662" s="114"/>
      <c r="R1662" s="5" t="e">
        <f t="shared" si="286"/>
        <v>#DIV/0!</v>
      </c>
    </row>
    <row r="1663" spans="1:18" s="4" customFormat="1" ht="15" hidden="1" customHeight="1">
      <c r="A1663" s="64"/>
      <c r="B1663" s="7">
        <f t="shared" si="270"/>
        <v>56</v>
      </c>
      <c r="C1663" s="211"/>
      <c r="D1663" s="211"/>
      <c r="E1663" s="211"/>
      <c r="F1663" s="211"/>
      <c r="G1663" s="211"/>
      <c r="H1663" s="211"/>
      <c r="I1663" s="211"/>
      <c r="J1663" s="240"/>
      <c r="K1663" s="239"/>
      <c r="L1663" s="239"/>
      <c r="M1663" s="239"/>
      <c r="N1663" s="129" t="e">
        <f t="shared" si="295"/>
        <v>#DIV/0!</v>
      </c>
      <c r="O1663" s="129" t="e">
        <f t="shared" si="296"/>
        <v>#DIV/0!</v>
      </c>
      <c r="P1663" s="129" t="e">
        <f t="shared" si="297"/>
        <v>#DIV/0!</v>
      </c>
      <c r="Q1663" s="114"/>
      <c r="R1663" s="5" t="e">
        <f t="shared" si="286"/>
        <v>#DIV/0!</v>
      </c>
    </row>
    <row r="1664" spans="1:18" s="4" customFormat="1" ht="15" customHeight="1" thickBot="1">
      <c r="A1664" s="64"/>
      <c r="B1664" s="324" t="s">
        <v>22</v>
      </c>
      <c r="C1664" s="325"/>
      <c r="D1664" s="325"/>
      <c r="E1664" s="326"/>
      <c r="F1664" s="70">
        <f>COUNTA(F1608:F1663)</f>
        <v>6</v>
      </c>
      <c r="G1664" s="71"/>
      <c r="H1664" s="72"/>
      <c r="I1664" s="72"/>
      <c r="J1664" s="113"/>
      <c r="K1664" s="96"/>
      <c r="L1664" s="96"/>
      <c r="M1664" s="96"/>
      <c r="N1664" s="96"/>
      <c r="O1664" s="96"/>
      <c r="P1664" s="96"/>
      <c r="Q1664" s="97"/>
      <c r="R1664" s="5"/>
    </row>
    <row r="1665" spans="1:18" s="4" customFormat="1" ht="15" customHeight="1">
      <c r="A1665" s="64"/>
      <c r="B1665" s="327" t="s">
        <v>340</v>
      </c>
      <c r="C1665" s="328"/>
      <c r="D1665" s="328"/>
      <c r="E1665" s="328"/>
      <c r="F1665" s="328"/>
      <c r="G1665" s="328"/>
      <c r="H1665" s="328"/>
      <c r="I1665" s="328"/>
      <c r="J1665" s="328"/>
      <c r="K1665" s="328"/>
      <c r="L1665" s="328"/>
      <c r="M1665" s="328"/>
      <c r="N1665" s="328"/>
      <c r="O1665" s="328"/>
      <c r="P1665" s="328"/>
      <c r="Q1665" s="329"/>
      <c r="R1665" s="5" t="b">
        <f t="shared" ref="R1665:R1721" si="298">IF(O1665&gt;89.9999999999999%,"PAMA")</f>
        <v>0</v>
      </c>
    </row>
    <row r="1666" spans="1:18" s="4" customFormat="1" ht="15" customHeight="1">
      <c r="A1666" s="64"/>
      <c r="B1666" s="7">
        <v>1</v>
      </c>
      <c r="C1666" s="177" t="s">
        <v>10</v>
      </c>
      <c r="D1666" s="177" t="s">
        <v>396</v>
      </c>
      <c r="E1666" s="177" t="s">
        <v>104</v>
      </c>
      <c r="F1666" s="177" t="s">
        <v>109</v>
      </c>
      <c r="G1666" s="177">
        <v>2011</v>
      </c>
      <c r="H1666" s="177" t="s">
        <v>106</v>
      </c>
      <c r="I1666" s="177"/>
      <c r="J1666" s="115"/>
      <c r="K1666" s="116">
        <v>139.28</v>
      </c>
      <c r="L1666" s="116">
        <v>36.299999999999997</v>
      </c>
      <c r="M1666" s="116">
        <v>544.42000000000007</v>
      </c>
      <c r="N1666" s="129">
        <f t="shared" ref="N1666:N1675" si="299">+K1666/(K1666+L1666)</f>
        <v>0.79325663515206746</v>
      </c>
      <c r="O1666" s="129">
        <f t="shared" ref="O1666:O1675" si="300">+(K1666+M1666)/(K1666+L1666+M1666)</f>
        <v>0.94958333333333345</v>
      </c>
      <c r="P1666" s="129">
        <f t="shared" ref="P1666:P1675" si="301">+K1666/(K1666+M1666)</f>
        <v>0.20371507971332456</v>
      </c>
      <c r="Q1666" s="114"/>
      <c r="R1666" s="5" t="str">
        <f t="shared" si="298"/>
        <v>PAMA</v>
      </c>
    </row>
    <row r="1667" spans="1:18" s="4" customFormat="1" ht="15" customHeight="1">
      <c r="A1667" s="64"/>
      <c r="B1667" s="7">
        <f>B1666+1</f>
        <v>2</v>
      </c>
      <c r="C1667" s="177" t="s">
        <v>10</v>
      </c>
      <c r="D1667" s="177" t="s">
        <v>430</v>
      </c>
      <c r="E1667" s="177" t="s">
        <v>15</v>
      </c>
      <c r="F1667" s="177" t="s">
        <v>123</v>
      </c>
      <c r="G1667" s="177">
        <v>2017</v>
      </c>
      <c r="H1667" s="177" t="s">
        <v>114</v>
      </c>
      <c r="I1667" s="177" t="s">
        <v>115</v>
      </c>
      <c r="J1667" s="115"/>
      <c r="K1667" s="116">
        <v>387</v>
      </c>
      <c r="L1667" s="116">
        <v>15.5</v>
      </c>
      <c r="M1667" s="116">
        <v>317.5</v>
      </c>
      <c r="N1667" s="129">
        <f t="shared" si="299"/>
        <v>0.96149068322981368</v>
      </c>
      <c r="O1667" s="129">
        <f t="shared" si="300"/>
        <v>0.97847222222222219</v>
      </c>
      <c r="P1667" s="129">
        <f t="shared" si="301"/>
        <v>0.5493257629524485</v>
      </c>
      <c r="Q1667" s="114"/>
      <c r="R1667" s="5" t="str">
        <f t="shared" si="298"/>
        <v>PAMA</v>
      </c>
    </row>
    <row r="1668" spans="1:18" s="4" customFormat="1" ht="15" customHeight="1">
      <c r="A1668" s="64"/>
      <c r="B1668" s="7">
        <f t="shared" si="270"/>
        <v>3</v>
      </c>
      <c r="C1668" s="177" t="s">
        <v>10</v>
      </c>
      <c r="D1668" s="177" t="s">
        <v>122</v>
      </c>
      <c r="E1668" s="177" t="s">
        <v>15</v>
      </c>
      <c r="F1668" s="177" t="s">
        <v>116</v>
      </c>
      <c r="G1668" s="177">
        <v>2011</v>
      </c>
      <c r="H1668" s="177" t="s">
        <v>114</v>
      </c>
      <c r="I1668" s="177" t="s">
        <v>115</v>
      </c>
      <c r="J1668" s="115"/>
      <c r="K1668" s="116">
        <v>425</v>
      </c>
      <c r="L1668" s="116">
        <v>6</v>
      </c>
      <c r="M1668" s="116">
        <v>289</v>
      </c>
      <c r="N1668" s="129">
        <f t="shared" si="299"/>
        <v>0.9860788863109049</v>
      </c>
      <c r="O1668" s="129">
        <f t="shared" si="300"/>
        <v>0.9916666666666667</v>
      </c>
      <c r="P1668" s="129">
        <f t="shared" si="301"/>
        <v>0.59523809523809523</v>
      </c>
      <c r="Q1668" s="114"/>
      <c r="R1668" s="5" t="str">
        <f t="shared" si="298"/>
        <v>PAMA</v>
      </c>
    </row>
    <row r="1669" spans="1:18" s="4" customFormat="1" ht="15" customHeight="1">
      <c r="A1669" s="64"/>
      <c r="B1669" s="7">
        <f t="shared" si="270"/>
        <v>4</v>
      </c>
      <c r="C1669" s="177" t="s">
        <v>10</v>
      </c>
      <c r="D1669" s="177" t="s">
        <v>2103</v>
      </c>
      <c r="E1669" s="177" t="s">
        <v>15</v>
      </c>
      <c r="F1669" s="177" t="s">
        <v>123</v>
      </c>
      <c r="G1669" s="177">
        <v>2022</v>
      </c>
      <c r="H1669" s="177" t="s">
        <v>114</v>
      </c>
      <c r="I1669" s="177" t="s">
        <v>115</v>
      </c>
      <c r="J1669" s="115"/>
      <c r="K1669" s="116">
        <v>407.97</v>
      </c>
      <c r="L1669" s="116">
        <v>15.05</v>
      </c>
      <c r="M1669" s="116">
        <v>296.98</v>
      </c>
      <c r="N1669" s="129">
        <f t="shared" si="299"/>
        <v>0.96442248593447111</v>
      </c>
      <c r="O1669" s="129">
        <f t="shared" si="300"/>
        <v>0.97909722222222229</v>
      </c>
      <c r="P1669" s="129">
        <f t="shared" si="301"/>
        <v>0.57872189516987016</v>
      </c>
      <c r="Q1669" s="114"/>
      <c r="R1669" s="5" t="str">
        <f t="shared" si="298"/>
        <v>PAMA</v>
      </c>
    </row>
    <row r="1670" spans="1:18" s="4" customFormat="1" ht="15" customHeight="1">
      <c r="A1670" s="64"/>
      <c r="B1670" s="7">
        <f t="shared" si="270"/>
        <v>5</v>
      </c>
      <c r="C1670" s="177" t="s">
        <v>10</v>
      </c>
      <c r="D1670" s="177" t="s">
        <v>139</v>
      </c>
      <c r="E1670" s="177" t="s">
        <v>15</v>
      </c>
      <c r="F1670" s="177" t="s">
        <v>136</v>
      </c>
      <c r="G1670" s="177">
        <v>2008</v>
      </c>
      <c r="H1670" s="177" t="s">
        <v>135</v>
      </c>
      <c r="I1670" s="177" t="s">
        <v>137</v>
      </c>
      <c r="J1670" s="115"/>
      <c r="K1670" s="116">
        <v>327.17</v>
      </c>
      <c r="L1670" s="116">
        <v>15.53</v>
      </c>
      <c r="M1670" s="116">
        <v>377.3</v>
      </c>
      <c r="N1670" s="129">
        <f t="shared" si="299"/>
        <v>0.95468339655675527</v>
      </c>
      <c r="O1670" s="129">
        <f t="shared" si="300"/>
        <v>0.97843055555555558</v>
      </c>
      <c r="P1670" s="129">
        <f t="shared" si="301"/>
        <v>0.46442006047099238</v>
      </c>
      <c r="Q1670" s="114"/>
      <c r="R1670" s="5" t="str">
        <f t="shared" si="298"/>
        <v>PAMA</v>
      </c>
    </row>
    <row r="1671" spans="1:18" s="4" customFormat="1" ht="15" customHeight="1">
      <c r="A1671" s="64"/>
      <c r="B1671" s="7">
        <f t="shared" si="270"/>
        <v>6</v>
      </c>
      <c r="C1671" s="177" t="s">
        <v>10</v>
      </c>
      <c r="D1671" s="177" t="s">
        <v>2298</v>
      </c>
      <c r="E1671" s="177" t="s">
        <v>15</v>
      </c>
      <c r="F1671" s="177" t="s">
        <v>136</v>
      </c>
      <c r="G1671" s="177">
        <v>2023</v>
      </c>
      <c r="H1671" s="177" t="s">
        <v>114</v>
      </c>
      <c r="I1671" s="177" t="s">
        <v>137</v>
      </c>
      <c r="J1671" s="115"/>
      <c r="K1671" s="116">
        <v>342.17</v>
      </c>
      <c r="L1671" s="116">
        <v>10.83</v>
      </c>
      <c r="M1671" s="116">
        <v>366.99999999999994</v>
      </c>
      <c r="N1671" s="129">
        <f t="shared" si="299"/>
        <v>0.96932011331444767</v>
      </c>
      <c r="O1671" s="129">
        <f t="shared" si="300"/>
        <v>0.98495833333333327</v>
      </c>
      <c r="P1671" s="129">
        <f t="shared" si="301"/>
        <v>0.48249361930143692</v>
      </c>
      <c r="Q1671" s="114"/>
      <c r="R1671" s="5" t="str">
        <f t="shared" si="298"/>
        <v>PAMA</v>
      </c>
    </row>
    <row r="1672" spans="1:18" s="4" customFormat="1" ht="15" hidden="1" customHeight="1">
      <c r="A1672" s="64"/>
      <c r="B1672" s="7">
        <f t="shared" si="270"/>
        <v>7</v>
      </c>
      <c r="C1672" s="177"/>
      <c r="D1672" s="177"/>
      <c r="E1672" s="177"/>
      <c r="F1672" s="177"/>
      <c r="G1672" s="177"/>
      <c r="H1672" s="177"/>
      <c r="I1672" s="177"/>
      <c r="J1672" s="115"/>
      <c r="K1672" s="116"/>
      <c r="L1672" s="116"/>
      <c r="M1672" s="116"/>
      <c r="N1672" s="129" t="e">
        <f t="shared" si="299"/>
        <v>#DIV/0!</v>
      </c>
      <c r="O1672" s="129" t="e">
        <f t="shared" si="300"/>
        <v>#DIV/0!</v>
      </c>
      <c r="P1672" s="129" t="e">
        <f t="shared" si="301"/>
        <v>#DIV/0!</v>
      </c>
      <c r="Q1672" s="114"/>
      <c r="R1672" s="5" t="e">
        <f t="shared" si="298"/>
        <v>#DIV/0!</v>
      </c>
    </row>
    <row r="1673" spans="1:18" s="4" customFormat="1" ht="15" hidden="1" customHeight="1">
      <c r="A1673" s="64"/>
      <c r="B1673" s="7">
        <f t="shared" si="270"/>
        <v>8</v>
      </c>
      <c r="C1673" s="177"/>
      <c r="D1673" s="177"/>
      <c r="E1673" s="177"/>
      <c r="F1673" s="177"/>
      <c r="G1673" s="177"/>
      <c r="H1673" s="177"/>
      <c r="I1673" s="177"/>
      <c r="J1673" s="115"/>
      <c r="K1673" s="116"/>
      <c r="L1673" s="116"/>
      <c r="M1673" s="116"/>
      <c r="N1673" s="129" t="e">
        <f t="shared" si="299"/>
        <v>#DIV/0!</v>
      </c>
      <c r="O1673" s="129" t="e">
        <f t="shared" si="300"/>
        <v>#DIV/0!</v>
      </c>
      <c r="P1673" s="129" t="e">
        <f t="shared" si="301"/>
        <v>#DIV/0!</v>
      </c>
      <c r="Q1673" s="114"/>
      <c r="R1673" s="5" t="e">
        <f t="shared" si="298"/>
        <v>#DIV/0!</v>
      </c>
    </row>
    <row r="1674" spans="1:18" s="4" customFormat="1" ht="15" hidden="1" customHeight="1">
      <c r="A1674" s="64"/>
      <c r="B1674" s="7">
        <f t="shared" si="270"/>
        <v>9</v>
      </c>
      <c r="C1674" s="177"/>
      <c r="D1674" s="177"/>
      <c r="E1674" s="177"/>
      <c r="F1674" s="177"/>
      <c r="G1674" s="177"/>
      <c r="H1674" s="177"/>
      <c r="I1674" s="177"/>
      <c r="J1674" s="115"/>
      <c r="K1674" s="116"/>
      <c r="L1674" s="116"/>
      <c r="M1674" s="116"/>
      <c r="N1674" s="129" t="e">
        <f t="shared" si="299"/>
        <v>#DIV/0!</v>
      </c>
      <c r="O1674" s="129" t="e">
        <f t="shared" si="300"/>
        <v>#DIV/0!</v>
      </c>
      <c r="P1674" s="129" t="e">
        <f t="shared" si="301"/>
        <v>#DIV/0!</v>
      </c>
      <c r="Q1674" s="114"/>
      <c r="R1674" s="5" t="e">
        <f t="shared" si="298"/>
        <v>#DIV/0!</v>
      </c>
    </row>
    <row r="1675" spans="1:18" s="4" customFormat="1" ht="15" hidden="1" customHeight="1">
      <c r="A1675" s="64"/>
      <c r="B1675" s="7">
        <f t="shared" si="270"/>
        <v>10</v>
      </c>
      <c r="C1675" s="177"/>
      <c r="D1675" s="177"/>
      <c r="E1675" s="177"/>
      <c r="F1675" s="177"/>
      <c r="G1675" s="177"/>
      <c r="H1675" s="177"/>
      <c r="I1675" s="177"/>
      <c r="J1675" s="115"/>
      <c r="K1675" s="116"/>
      <c r="L1675" s="116"/>
      <c r="M1675" s="116"/>
      <c r="N1675" s="129" t="e">
        <f t="shared" si="299"/>
        <v>#DIV/0!</v>
      </c>
      <c r="O1675" s="129" t="e">
        <f t="shared" si="300"/>
        <v>#DIV/0!</v>
      </c>
      <c r="P1675" s="129" t="e">
        <f t="shared" si="301"/>
        <v>#DIV/0!</v>
      </c>
      <c r="Q1675" s="114"/>
      <c r="R1675" s="5" t="e">
        <f t="shared" si="298"/>
        <v>#DIV/0!</v>
      </c>
    </row>
    <row r="1676" spans="1:18" s="4" customFormat="1" ht="15" hidden="1" customHeight="1">
      <c r="A1676" s="64"/>
      <c r="B1676" s="7">
        <f t="shared" si="270"/>
        <v>11</v>
      </c>
      <c r="C1676" s="177"/>
      <c r="D1676" s="177"/>
      <c r="E1676" s="177"/>
      <c r="F1676" s="177"/>
      <c r="G1676" s="177"/>
      <c r="H1676" s="177"/>
      <c r="I1676" s="177"/>
      <c r="J1676" s="115"/>
      <c r="K1676" s="116"/>
      <c r="L1676" s="116"/>
      <c r="M1676" s="116"/>
      <c r="N1676" s="129"/>
      <c r="O1676" s="129"/>
      <c r="P1676" s="129"/>
      <c r="Q1676" s="114"/>
      <c r="R1676" s="5" t="b">
        <f t="shared" si="298"/>
        <v>0</v>
      </c>
    </row>
    <row r="1677" spans="1:18" s="4" customFormat="1" ht="15" hidden="1" customHeight="1">
      <c r="A1677" s="64"/>
      <c r="B1677" s="7">
        <f t="shared" si="270"/>
        <v>12</v>
      </c>
      <c r="C1677" s="177"/>
      <c r="D1677" s="177"/>
      <c r="E1677" s="177"/>
      <c r="F1677" s="177"/>
      <c r="G1677" s="177"/>
      <c r="H1677" s="177"/>
      <c r="I1677" s="177"/>
      <c r="J1677" s="115"/>
      <c r="K1677" s="116"/>
      <c r="L1677" s="116"/>
      <c r="M1677" s="116"/>
      <c r="N1677" s="129"/>
      <c r="O1677" s="129"/>
      <c r="P1677" s="129"/>
      <c r="Q1677" s="114"/>
      <c r="R1677" s="5" t="b">
        <f t="shared" si="298"/>
        <v>0</v>
      </c>
    </row>
    <row r="1678" spans="1:18" s="4" customFormat="1" ht="15" hidden="1" customHeight="1">
      <c r="A1678" s="64"/>
      <c r="B1678" s="7">
        <f t="shared" si="270"/>
        <v>13</v>
      </c>
      <c r="C1678" s="177"/>
      <c r="D1678" s="177"/>
      <c r="E1678" s="177"/>
      <c r="F1678" s="177"/>
      <c r="G1678" s="177"/>
      <c r="H1678" s="177"/>
      <c r="I1678" s="177"/>
      <c r="J1678" s="115"/>
      <c r="K1678" s="116"/>
      <c r="L1678" s="116"/>
      <c r="M1678" s="116"/>
      <c r="N1678" s="129" t="e">
        <f t="shared" ref="N1678" si="302">+K1678/(K1678+L1678)</f>
        <v>#DIV/0!</v>
      </c>
      <c r="O1678" s="129" t="e">
        <f t="shared" ref="O1678" si="303">+(K1678+M1678)/(K1678+L1678+M1678)</f>
        <v>#DIV/0!</v>
      </c>
      <c r="P1678" s="129" t="e">
        <f>+K1678/(K1678+M1678)</f>
        <v>#DIV/0!</v>
      </c>
      <c r="Q1678" s="114"/>
      <c r="R1678" s="5" t="e">
        <f t="shared" si="298"/>
        <v>#DIV/0!</v>
      </c>
    </row>
    <row r="1679" spans="1:18" s="4" customFormat="1" ht="15" hidden="1" customHeight="1">
      <c r="A1679" s="64"/>
      <c r="B1679" s="7">
        <f t="shared" si="270"/>
        <v>14</v>
      </c>
      <c r="C1679" s="177"/>
      <c r="D1679" s="177"/>
      <c r="E1679" s="177"/>
      <c r="F1679" s="177"/>
      <c r="G1679" s="177"/>
      <c r="H1679" s="177"/>
      <c r="I1679" s="177"/>
      <c r="J1679" s="115"/>
      <c r="K1679" s="116"/>
      <c r="L1679" s="116"/>
      <c r="M1679" s="116"/>
      <c r="N1679" s="129"/>
      <c r="O1679" s="129"/>
      <c r="P1679" s="129"/>
      <c r="Q1679" s="114"/>
      <c r="R1679" s="5" t="b">
        <f t="shared" si="298"/>
        <v>0</v>
      </c>
    </row>
    <row r="1680" spans="1:18" s="4" customFormat="1" ht="15" hidden="1" customHeight="1">
      <c r="A1680" s="64"/>
      <c r="B1680" s="7">
        <f t="shared" si="270"/>
        <v>15</v>
      </c>
      <c r="C1680" s="177"/>
      <c r="D1680" s="177"/>
      <c r="E1680" s="177"/>
      <c r="F1680" s="177"/>
      <c r="G1680" s="177"/>
      <c r="H1680" s="177"/>
      <c r="I1680" s="177"/>
      <c r="J1680" s="115"/>
      <c r="K1680" s="116"/>
      <c r="L1680" s="116"/>
      <c r="M1680" s="116"/>
      <c r="N1680" s="129" t="e">
        <f t="shared" ref="N1680:N1685" si="304">+K1680/(K1680+L1680)</f>
        <v>#DIV/0!</v>
      </c>
      <c r="O1680" s="129" t="e">
        <f t="shared" ref="O1680:O1685" si="305">+(K1680+M1680)/(K1680+L1680+M1680)</f>
        <v>#DIV/0!</v>
      </c>
      <c r="P1680" s="129" t="e">
        <f t="shared" ref="P1680:P1685" si="306">+K1680/(K1680+M1680)</f>
        <v>#DIV/0!</v>
      </c>
      <c r="Q1680" s="114"/>
      <c r="R1680" s="5" t="e">
        <f t="shared" si="298"/>
        <v>#DIV/0!</v>
      </c>
    </row>
    <row r="1681" spans="1:18" s="4" customFormat="1" ht="15" hidden="1" customHeight="1">
      <c r="A1681" s="64"/>
      <c r="B1681" s="7">
        <f t="shared" si="270"/>
        <v>16</v>
      </c>
      <c r="C1681" s="177"/>
      <c r="D1681" s="177"/>
      <c r="E1681" s="177"/>
      <c r="F1681" s="177"/>
      <c r="G1681" s="177"/>
      <c r="H1681" s="177"/>
      <c r="I1681" s="177"/>
      <c r="J1681" s="115"/>
      <c r="K1681" s="116"/>
      <c r="L1681" s="116"/>
      <c r="M1681" s="116"/>
      <c r="N1681" s="129" t="e">
        <f t="shared" si="304"/>
        <v>#DIV/0!</v>
      </c>
      <c r="O1681" s="129" t="e">
        <f t="shared" si="305"/>
        <v>#DIV/0!</v>
      </c>
      <c r="P1681" s="129" t="e">
        <f t="shared" si="306"/>
        <v>#DIV/0!</v>
      </c>
      <c r="Q1681" s="114"/>
      <c r="R1681" s="5" t="e">
        <f t="shared" si="298"/>
        <v>#DIV/0!</v>
      </c>
    </row>
    <row r="1682" spans="1:18" s="4" customFormat="1" ht="15" hidden="1" customHeight="1">
      <c r="A1682" s="64"/>
      <c r="B1682" s="7">
        <f t="shared" si="270"/>
        <v>17</v>
      </c>
      <c r="C1682" s="177"/>
      <c r="D1682" s="177"/>
      <c r="E1682" s="177"/>
      <c r="F1682" s="177"/>
      <c r="G1682" s="177"/>
      <c r="H1682" s="177"/>
      <c r="I1682" s="177"/>
      <c r="J1682" s="115"/>
      <c r="K1682" s="116"/>
      <c r="L1682" s="116"/>
      <c r="M1682" s="116"/>
      <c r="N1682" s="129" t="e">
        <f t="shared" si="304"/>
        <v>#DIV/0!</v>
      </c>
      <c r="O1682" s="129" t="e">
        <f t="shared" si="305"/>
        <v>#DIV/0!</v>
      </c>
      <c r="P1682" s="129" t="e">
        <f t="shared" si="306"/>
        <v>#DIV/0!</v>
      </c>
      <c r="Q1682" s="114"/>
      <c r="R1682" s="5" t="e">
        <f t="shared" si="298"/>
        <v>#DIV/0!</v>
      </c>
    </row>
    <row r="1683" spans="1:18" s="4" customFormat="1" ht="15" hidden="1" customHeight="1">
      <c r="A1683" s="64"/>
      <c r="B1683" s="7">
        <f t="shared" si="270"/>
        <v>18</v>
      </c>
      <c r="C1683" s="177"/>
      <c r="D1683" s="177"/>
      <c r="E1683" s="177"/>
      <c r="F1683" s="177"/>
      <c r="G1683" s="177"/>
      <c r="H1683" s="177"/>
      <c r="I1683" s="177"/>
      <c r="J1683" s="115"/>
      <c r="K1683" s="116"/>
      <c r="L1683" s="116"/>
      <c r="M1683" s="116"/>
      <c r="N1683" s="129" t="e">
        <f t="shared" si="304"/>
        <v>#DIV/0!</v>
      </c>
      <c r="O1683" s="129" t="e">
        <f t="shared" si="305"/>
        <v>#DIV/0!</v>
      </c>
      <c r="P1683" s="129" t="e">
        <f t="shared" si="306"/>
        <v>#DIV/0!</v>
      </c>
      <c r="Q1683" s="114"/>
      <c r="R1683" s="5" t="e">
        <f t="shared" si="298"/>
        <v>#DIV/0!</v>
      </c>
    </row>
    <row r="1684" spans="1:18" s="4" customFormat="1" ht="15" hidden="1" customHeight="1">
      <c r="A1684" s="64"/>
      <c r="B1684" s="7">
        <f t="shared" si="270"/>
        <v>19</v>
      </c>
      <c r="C1684" s="177"/>
      <c r="D1684" s="177"/>
      <c r="E1684" s="177"/>
      <c r="F1684" s="177"/>
      <c r="G1684" s="177"/>
      <c r="H1684" s="177"/>
      <c r="I1684" s="177"/>
      <c r="J1684" s="115"/>
      <c r="K1684" s="116"/>
      <c r="L1684" s="116"/>
      <c r="M1684" s="116"/>
      <c r="N1684" s="129" t="e">
        <f t="shared" si="304"/>
        <v>#DIV/0!</v>
      </c>
      <c r="O1684" s="129" t="e">
        <f t="shared" si="305"/>
        <v>#DIV/0!</v>
      </c>
      <c r="P1684" s="129" t="e">
        <f t="shared" si="306"/>
        <v>#DIV/0!</v>
      </c>
      <c r="Q1684" s="114"/>
      <c r="R1684" s="5" t="e">
        <f t="shared" si="298"/>
        <v>#DIV/0!</v>
      </c>
    </row>
    <row r="1685" spans="1:18" s="4" customFormat="1" ht="15" hidden="1" customHeight="1">
      <c r="A1685" s="64"/>
      <c r="B1685" s="7">
        <f t="shared" si="270"/>
        <v>20</v>
      </c>
      <c r="C1685" s="177"/>
      <c r="D1685" s="177"/>
      <c r="E1685" s="177"/>
      <c r="F1685" s="177"/>
      <c r="G1685" s="177"/>
      <c r="H1685" s="177"/>
      <c r="I1685" s="177"/>
      <c r="J1685" s="115"/>
      <c r="K1685" s="116"/>
      <c r="L1685" s="116"/>
      <c r="M1685" s="116"/>
      <c r="N1685" s="129" t="e">
        <f t="shared" si="304"/>
        <v>#DIV/0!</v>
      </c>
      <c r="O1685" s="129" t="e">
        <f t="shared" si="305"/>
        <v>#DIV/0!</v>
      </c>
      <c r="P1685" s="129" t="e">
        <f t="shared" si="306"/>
        <v>#DIV/0!</v>
      </c>
      <c r="Q1685" s="114"/>
      <c r="R1685" s="5" t="e">
        <f t="shared" si="298"/>
        <v>#DIV/0!</v>
      </c>
    </row>
    <row r="1686" spans="1:18" s="4" customFormat="1" ht="15" hidden="1" customHeight="1">
      <c r="A1686" s="64"/>
      <c r="B1686" s="7">
        <f t="shared" si="270"/>
        <v>21</v>
      </c>
      <c r="C1686" s="177"/>
      <c r="D1686" s="177"/>
      <c r="E1686" s="177"/>
      <c r="F1686" s="177"/>
      <c r="G1686" s="177"/>
      <c r="H1686" s="177"/>
      <c r="I1686" s="177"/>
      <c r="J1686" s="115"/>
      <c r="K1686" s="116"/>
      <c r="L1686" s="116"/>
      <c r="M1686" s="116"/>
      <c r="N1686" s="129"/>
      <c r="O1686" s="129"/>
      <c r="P1686" s="129"/>
      <c r="Q1686" s="114"/>
      <c r="R1686" s="5" t="b">
        <f t="shared" si="298"/>
        <v>0</v>
      </c>
    </row>
    <row r="1687" spans="1:18" s="4" customFormat="1" ht="15" hidden="1" customHeight="1">
      <c r="A1687" s="64"/>
      <c r="B1687" s="7">
        <f t="shared" si="270"/>
        <v>22</v>
      </c>
      <c r="C1687" s="177"/>
      <c r="D1687" s="177"/>
      <c r="E1687" s="177"/>
      <c r="F1687" s="177"/>
      <c r="G1687" s="177"/>
      <c r="H1687" s="177"/>
      <c r="I1687" s="177"/>
      <c r="J1687" s="115"/>
      <c r="K1687" s="116"/>
      <c r="L1687" s="116"/>
      <c r="M1687" s="116"/>
      <c r="N1687" s="129" t="e">
        <f t="shared" ref="N1687:N1721" si="307">+K1687/(K1687+L1687)</f>
        <v>#DIV/0!</v>
      </c>
      <c r="O1687" s="129" t="e">
        <f t="shared" ref="O1687:O1721" si="308">+(K1687+M1687)/(K1687+L1687+M1687)</f>
        <v>#DIV/0!</v>
      </c>
      <c r="P1687" s="129" t="e">
        <f t="shared" ref="P1687:P1721" si="309">+K1687/(K1687+M1687)</f>
        <v>#DIV/0!</v>
      </c>
      <c r="Q1687" s="114"/>
      <c r="R1687" s="5" t="e">
        <f t="shared" si="298"/>
        <v>#DIV/0!</v>
      </c>
    </row>
    <row r="1688" spans="1:18" s="4" customFormat="1" ht="15" hidden="1" customHeight="1">
      <c r="A1688" s="64"/>
      <c r="B1688" s="7">
        <f t="shared" si="270"/>
        <v>23</v>
      </c>
      <c r="C1688" s="177"/>
      <c r="D1688" s="177"/>
      <c r="E1688" s="177"/>
      <c r="F1688" s="177"/>
      <c r="G1688" s="177"/>
      <c r="H1688" s="177"/>
      <c r="I1688" s="177"/>
      <c r="J1688" s="115"/>
      <c r="K1688" s="116"/>
      <c r="L1688" s="116"/>
      <c r="M1688" s="116"/>
      <c r="N1688" s="129" t="e">
        <f t="shared" si="307"/>
        <v>#DIV/0!</v>
      </c>
      <c r="O1688" s="129" t="e">
        <f t="shared" si="308"/>
        <v>#DIV/0!</v>
      </c>
      <c r="P1688" s="129" t="e">
        <f t="shared" si="309"/>
        <v>#DIV/0!</v>
      </c>
      <c r="Q1688" s="114"/>
      <c r="R1688" s="5" t="e">
        <f t="shared" si="298"/>
        <v>#DIV/0!</v>
      </c>
    </row>
    <row r="1689" spans="1:18" s="4" customFormat="1" ht="15" hidden="1" customHeight="1">
      <c r="A1689" s="64"/>
      <c r="B1689" s="7">
        <f t="shared" si="270"/>
        <v>24</v>
      </c>
      <c r="C1689" s="177"/>
      <c r="D1689" s="177"/>
      <c r="E1689" s="177"/>
      <c r="F1689" s="177"/>
      <c r="G1689" s="177"/>
      <c r="H1689" s="177"/>
      <c r="I1689" s="177"/>
      <c r="J1689" s="115"/>
      <c r="K1689" s="116"/>
      <c r="L1689" s="116"/>
      <c r="M1689" s="116"/>
      <c r="N1689" s="129" t="e">
        <f t="shared" si="307"/>
        <v>#DIV/0!</v>
      </c>
      <c r="O1689" s="129" t="e">
        <f t="shared" si="308"/>
        <v>#DIV/0!</v>
      </c>
      <c r="P1689" s="129" t="e">
        <f t="shared" si="309"/>
        <v>#DIV/0!</v>
      </c>
      <c r="Q1689" s="114"/>
      <c r="R1689" s="5" t="e">
        <f t="shared" si="298"/>
        <v>#DIV/0!</v>
      </c>
    </row>
    <row r="1690" spans="1:18" s="4" customFormat="1" ht="15" hidden="1" customHeight="1">
      <c r="A1690" s="64"/>
      <c r="B1690" s="7">
        <f t="shared" si="270"/>
        <v>25</v>
      </c>
      <c r="C1690" s="177"/>
      <c r="D1690" s="177"/>
      <c r="E1690" s="177"/>
      <c r="F1690" s="177"/>
      <c r="G1690" s="177"/>
      <c r="H1690" s="177"/>
      <c r="I1690" s="177"/>
      <c r="J1690" s="115"/>
      <c r="K1690" s="116"/>
      <c r="L1690" s="116"/>
      <c r="M1690" s="116"/>
      <c r="N1690" s="129" t="e">
        <f t="shared" si="307"/>
        <v>#DIV/0!</v>
      </c>
      <c r="O1690" s="129" t="e">
        <f t="shared" si="308"/>
        <v>#DIV/0!</v>
      </c>
      <c r="P1690" s="129" t="e">
        <f t="shared" si="309"/>
        <v>#DIV/0!</v>
      </c>
      <c r="Q1690" s="114"/>
      <c r="R1690" s="5" t="e">
        <f t="shared" si="298"/>
        <v>#DIV/0!</v>
      </c>
    </row>
    <row r="1691" spans="1:18" s="4" customFormat="1" ht="15" hidden="1" customHeight="1">
      <c r="A1691" s="64"/>
      <c r="B1691" s="7">
        <f t="shared" si="270"/>
        <v>26</v>
      </c>
      <c r="C1691" s="177"/>
      <c r="D1691" s="177"/>
      <c r="E1691" s="177"/>
      <c r="F1691" s="177"/>
      <c r="G1691" s="177"/>
      <c r="H1691" s="177"/>
      <c r="I1691" s="177"/>
      <c r="J1691" s="115"/>
      <c r="K1691" s="116"/>
      <c r="L1691" s="116"/>
      <c r="M1691" s="116"/>
      <c r="N1691" s="129" t="e">
        <f t="shared" si="307"/>
        <v>#DIV/0!</v>
      </c>
      <c r="O1691" s="129" t="e">
        <f t="shared" si="308"/>
        <v>#DIV/0!</v>
      </c>
      <c r="P1691" s="129" t="e">
        <f t="shared" si="309"/>
        <v>#DIV/0!</v>
      </c>
      <c r="Q1691" s="114"/>
      <c r="R1691" s="5" t="e">
        <f t="shared" si="298"/>
        <v>#DIV/0!</v>
      </c>
    </row>
    <row r="1692" spans="1:18" s="4" customFormat="1" ht="15" hidden="1" customHeight="1">
      <c r="A1692" s="64"/>
      <c r="B1692" s="7">
        <f t="shared" si="270"/>
        <v>27</v>
      </c>
      <c r="C1692" s="177"/>
      <c r="D1692" s="177"/>
      <c r="E1692" s="177"/>
      <c r="F1692" s="177"/>
      <c r="G1692" s="177"/>
      <c r="H1692" s="177"/>
      <c r="I1692" s="177"/>
      <c r="J1692" s="115"/>
      <c r="K1692" s="116"/>
      <c r="L1692" s="116"/>
      <c r="M1692" s="116"/>
      <c r="N1692" s="129" t="e">
        <f t="shared" si="307"/>
        <v>#DIV/0!</v>
      </c>
      <c r="O1692" s="129" t="e">
        <f t="shared" si="308"/>
        <v>#DIV/0!</v>
      </c>
      <c r="P1692" s="129" t="e">
        <f t="shared" si="309"/>
        <v>#DIV/0!</v>
      </c>
      <c r="Q1692" s="114"/>
      <c r="R1692" s="5" t="e">
        <f t="shared" si="298"/>
        <v>#DIV/0!</v>
      </c>
    </row>
    <row r="1693" spans="1:18" s="4" customFormat="1" ht="15" hidden="1" customHeight="1">
      <c r="A1693" s="64"/>
      <c r="B1693" s="7">
        <f t="shared" si="270"/>
        <v>28</v>
      </c>
      <c r="C1693" s="177"/>
      <c r="D1693" s="177"/>
      <c r="E1693" s="177"/>
      <c r="F1693" s="177"/>
      <c r="G1693" s="177"/>
      <c r="H1693" s="177"/>
      <c r="I1693" s="177"/>
      <c r="J1693" s="115"/>
      <c r="K1693" s="116"/>
      <c r="L1693" s="116"/>
      <c r="M1693" s="116"/>
      <c r="N1693" s="129" t="e">
        <f t="shared" si="307"/>
        <v>#DIV/0!</v>
      </c>
      <c r="O1693" s="129" t="e">
        <f t="shared" si="308"/>
        <v>#DIV/0!</v>
      </c>
      <c r="P1693" s="129" t="e">
        <f t="shared" si="309"/>
        <v>#DIV/0!</v>
      </c>
      <c r="Q1693" s="114"/>
      <c r="R1693" s="5" t="e">
        <f t="shared" si="298"/>
        <v>#DIV/0!</v>
      </c>
    </row>
    <row r="1694" spans="1:18" s="4" customFormat="1" ht="15" hidden="1" customHeight="1">
      <c r="A1694" s="64"/>
      <c r="B1694" s="7">
        <f t="shared" si="270"/>
        <v>29</v>
      </c>
      <c r="C1694" s="177"/>
      <c r="D1694" s="177"/>
      <c r="E1694" s="177"/>
      <c r="F1694" s="177"/>
      <c r="G1694" s="177"/>
      <c r="H1694" s="177"/>
      <c r="I1694" s="177"/>
      <c r="J1694" s="115"/>
      <c r="K1694" s="116"/>
      <c r="L1694" s="116"/>
      <c r="M1694" s="116"/>
      <c r="N1694" s="129" t="e">
        <f t="shared" si="307"/>
        <v>#DIV/0!</v>
      </c>
      <c r="O1694" s="129" t="e">
        <f t="shared" si="308"/>
        <v>#DIV/0!</v>
      </c>
      <c r="P1694" s="129" t="e">
        <f t="shared" si="309"/>
        <v>#DIV/0!</v>
      </c>
      <c r="Q1694" s="114"/>
      <c r="R1694" s="5" t="e">
        <f t="shared" si="298"/>
        <v>#DIV/0!</v>
      </c>
    </row>
    <row r="1695" spans="1:18" s="4" customFormat="1" ht="15" hidden="1" customHeight="1">
      <c r="A1695" s="64"/>
      <c r="B1695" s="7">
        <f t="shared" si="270"/>
        <v>30</v>
      </c>
      <c r="C1695" s="177"/>
      <c r="D1695" s="177"/>
      <c r="E1695" s="177"/>
      <c r="F1695" s="177"/>
      <c r="G1695" s="177"/>
      <c r="H1695" s="177"/>
      <c r="I1695" s="177"/>
      <c r="J1695" s="115"/>
      <c r="K1695" s="116"/>
      <c r="L1695" s="116"/>
      <c r="M1695" s="116"/>
      <c r="N1695" s="129" t="e">
        <f t="shared" si="307"/>
        <v>#DIV/0!</v>
      </c>
      <c r="O1695" s="129" t="e">
        <f t="shared" si="308"/>
        <v>#DIV/0!</v>
      </c>
      <c r="P1695" s="129" t="e">
        <f t="shared" si="309"/>
        <v>#DIV/0!</v>
      </c>
      <c r="Q1695" s="114"/>
      <c r="R1695" s="5" t="e">
        <f t="shared" si="298"/>
        <v>#DIV/0!</v>
      </c>
    </row>
    <row r="1696" spans="1:18" s="4" customFormat="1" ht="15" hidden="1" customHeight="1">
      <c r="A1696" s="64"/>
      <c r="B1696" s="7">
        <f t="shared" si="270"/>
        <v>31</v>
      </c>
      <c r="C1696" s="177"/>
      <c r="D1696" s="177"/>
      <c r="E1696" s="177"/>
      <c r="F1696" s="177"/>
      <c r="G1696" s="177"/>
      <c r="H1696" s="177"/>
      <c r="I1696" s="177"/>
      <c r="J1696" s="115"/>
      <c r="K1696" s="116"/>
      <c r="L1696" s="116"/>
      <c r="M1696" s="116"/>
      <c r="N1696" s="129" t="e">
        <f t="shared" si="307"/>
        <v>#DIV/0!</v>
      </c>
      <c r="O1696" s="129" t="e">
        <f t="shared" si="308"/>
        <v>#DIV/0!</v>
      </c>
      <c r="P1696" s="129" t="e">
        <f t="shared" si="309"/>
        <v>#DIV/0!</v>
      </c>
      <c r="Q1696" s="114"/>
      <c r="R1696" s="5" t="e">
        <f t="shared" si="298"/>
        <v>#DIV/0!</v>
      </c>
    </row>
    <row r="1697" spans="1:18" s="4" customFormat="1" ht="15" hidden="1" customHeight="1">
      <c r="A1697" s="64"/>
      <c r="B1697" s="7">
        <f t="shared" si="270"/>
        <v>32</v>
      </c>
      <c r="C1697" s="177"/>
      <c r="D1697" s="177"/>
      <c r="E1697" s="177"/>
      <c r="F1697" s="177"/>
      <c r="G1697" s="177"/>
      <c r="H1697" s="177"/>
      <c r="I1697" s="177"/>
      <c r="J1697" s="115"/>
      <c r="K1697" s="116"/>
      <c r="L1697" s="116"/>
      <c r="M1697" s="116"/>
      <c r="N1697" s="129" t="e">
        <f t="shared" si="307"/>
        <v>#DIV/0!</v>
      </c>
      <c r="O1697" s="129" t="e">
        <f t="shared" si="308"/>
        <v>#DIV/0!</v>
      </c>
      <c r="P1697" s="129" t="e">
        <f t="shared" si="309"/>
        <v>#DIV/0!</v>
      </c>
      <c r="Q1697" s="114"/>
      <c r="R1697" s="5" t="e">
        <f t="shared" si="298"/>
        <v>#DIV/0!</v>
      </c>
    </row>
    <row r="1698" spans="1:18" s="4" customFormat="1" ht="15" hidden="1" customHeight="1">
      <c r="A1698" s="64"/>
      <c r="B1698" s="7">
        <f t="shared" si="270"/>
        <v>33</v>
      </c>
      <c r="C1698" s="177"/>
      <c r="D1698" s="177"/>
      <c r="E1698" s="177"/>
      <c r="F1698" s="177"/>
      <c r="G1698" s="177"/>
      <c r="H1698" s="177"/>
      <c r="I1698" s="177"/>
      <c r="J1698" s="115"/>
      <c r="K1698" s="116"/>
      <c r="L1698" s="116"/>
      <c r="M1698" s="116"/>
      <c r="N1698" s="129" t="e">
        <f t="shared" si="307"/>
        <v>#DIV/0!</v>
      </c>
      <c r="O1698" s="129" t="e">
        <f t="shared" si="308"/>
        <v>#DIV/0!</v>
      </c>
      <c r="P1698" s="129" t="e">
        <f t="shared" si="309"/>
        <v>#DIV/0!</v>
      </c>
      <c r="Q1698" s="114"/>
      <c r="R1698" s="5" t="e">
        <f t="shared" si="298"/>
        <v>#DIV/0!</v>
      </c>
    </row>
    <row r="1699" spans="1:18" s="4" customFormat="1" ht="15" hidden="1" customHeight="1">
      <c r="A1699" s="64"/>
      <c r="B1699" s="7">
        <f t="shared" si="270"/>
        <v>34</v>
      </c>
      <c r="C1699" s="177"/>
      <c r="D1699" s="177"/>
      <c r="E1699" s="177"/>
      <c r="F1699" s="177"/>
      <c r="G1699" s="177"/>
      <c r="H1699" s="177"/>
      <c r="I1699" s="177"/>
      <c r="J1699" s="115"/>
      <c r="K1699" s="116"/>
      <c r="L1699" s="116"/>
      <c r="M1699" s="116"/>
      <c r="N1699" s="129" t="e">
        <f t="shared" si="307"/>
        <v>#DIV/0!</v>
      </c>
      <c r="O1699" s="129" t="e">
        <f t="shared" si="308"/>
        <v>#DIV/0!</v>
      </c>
      <c r="P1699" s="129" t="e">
        <f t="shared" si="309"/>
        <v>#DIV/0!</v>
      </c>
      <c r="Q1699" s="114"/>
      <c r="R1699" s="5" t="e">
        <f t="shared" si="298"/>
        <v>#DIV/0!</v>
      </c>
    </row>
    <row r="1700" spans="1:18" s="4" customFormat="1" ht="15" hidden="1" customHeight="1">
      <c r="A1700" s="64"/>
      <c r="B1700" s="7">
        <f t="shared" si="270"/>
        <v>35</v>
      </c>
      <c r="C1700" s="177"/>
      <c r="D1700" s="177"/>
      <c r="E1700" s="177"/>
      <c r="F1700" s="177"/>
      <c r="G1700" s="177"/>
      <c r="H1700" s="177"/>
      <c r="I1700" s="177"/>
      <c r="J1700" s="115"/>
      <c r="K1700" s="116"/>
      <c r="L1700" s="116"/>
      <c r="M1700" s="116"/>
      <c r="N1700" s="129" t="e">
        <f t="shared" si="307"/>
        <v>#DIV/0!</v>
      </c>
      <c r="O1700" s="129" t="e">
        <f t="shared" si="308"/>
        <v>#DIV/0!</v>
      </c>
      <c r="P1700" s="129" t="e">
        <f t="shared" si="309"/>
        <v>#DIV/0!</v>
      </c>
      <c r="Q1700" s="114"/>
      <c r="R1700" s="5" t="e">
        <f t="shared" si="298"/>
        <v>#DIV/0!</v>
      </c>
    </row>
    <row r="1701" spans="1:18" s="4" customFormat="1" ht="15" hidden="1" customHeight="1">
      <c r="A1701" s="64"/>
      <c r="B1701" s="7">
        <f t="shared" si="270"/>
        <v>36</v>
      </c>
      <c r="C1701" s="177"/>
      <c r="D1701" s="177"/>
      <c r="E1701" s="177"/>
      <c r="F1701" s="177"/>
      <c r="G1701" s="177"/>
      <c r="H1701" s="177"/>
      <c r="I1701" s="177"/>
      <c r="J1701" s="115"/>
      <c r="K1701" s="116"/>
      <c r="L1701" s="116"/>
      <c r="M1701" s="116"/>
      <c r="N1701" s="129" t="e">
        <f t="shared" si="307"/>
        <v>#DIV/0!</v>
      </c>
      <c r="O1701" s="129" t="e">
        <f t="shared" si="308"/>
        <v>#DIV/0!</v>
      </c>
      <c r="P1701" s="129" t="e">
        <f t="shared" si="309"/>
        <v>#DIV/0!</v>
      </c>
      <c r="Q1701" s="114"/>
      <c r="R1701" s="5" t="e">
        <f t="shared" si="298"/>
        <v>#DIV/0!</v>
      </c>
    </row>
    <row r="1702" spans="1:18" s="4" customFormat="1" ht="15" hidden="1" customHeight="1">
      <c r="A1702" s="64"/>
      <c r="B1702" s="7">
        <f t="shared" si="270"/>
        <v>37</v>
      </c>
      <c r="C1702" s="177"/>
      <c r="D1702" s="177"/>
      <c r="E1702" s="177"/>
      <c r="F1702" s="177"/>
      <c r="G1702" s="177"/>
      <c r="H1702" s="177"/>
      <c r="I1702" s="177"/>
      <c r="J1702" s="115"/>
      <c r="K1702" s="116"/>
      <c r="L1702" s="116"/>
      <c r="M1702" s="116"/>
      <c r="N1702" s="129" t="e">
        <f t="shared" si="307"/>
        <v>#DIV/0!</v>
      </c>
      <c r="O1702" s="129" t="e">
        <f t="shared" si="308"/>
        <v>#DIV/0!</v>
      </c>
      <c r="P1702" s="129" t="e">
        <f t="shared" si="309"/>
        <v>#DIV/0!</v>
      </c>
      <c r="Q1702" s="114"/>
      <c r="R1702" s="5" t="e">
        <f t="shared" si="298"/>
        <v>#DIV/0!</v>
      </c>
    </row>
    <row r="1703" spans="1:18" s="4" customFormat="1" ht="15" hidden="1" customHeight="1">
      <c r="A1703" s="64"/>
      <c r="B1703" s="7">
        <f t="shared" si="270"/>
        <v>38</v>
      </c>
      <c r="C1703" s="177"/>
      <c r="D1703" s="177"/>
      <c r="E1703" s="177"/>
      <c r="F1703" s="177"/>
      <c r="G1703" s="177"/>
      <c r="H1703" s="177"/>
      <c r="I1703" s="177"/>
      <c r="J1703" s="115"/>
      <c r="K1703" s="116"/>
      <c r="L1703" s="116"/>
      <c r="M1703" s="116"/>
      <c r="N1703" s="129" t="e">
        <f t="shared" si="307"/>
        <v>#DIV/0!</v>
      </c>
      <c r="O1703" s="129" t="e">
        <f t="shared" si="308"/>
        <v>#DIV/0!</v>
      </c>
      <c r="P1703" s="129" t="e">
        <f t="shared" si="309"/>
        <v>#DIV/0!</v>
      </c>
      <c r="Q1703" s="114"/>
      <c r="R1703" s="5" t="e">
        <f t="shared" si="298"/>
        <v>#DIV/0!</v>
      </c>
    </row>
    <row r="1704" spans="1:18" s="4" customFormat="1" ht="15" hidden="1" customHeight="1">
      <c r="A1704" s="64"/>
      <c r="B1704" s="7">
        <f t="shared" si="270"/>
        <v>39</v>
      </c>
      <c r="C1704" s="211"/>
      <c r="D1704" s="211"/>
      <c r="E1704" s="211"/>
      <c r="F1704" s="211"/>
      <c r="G1704" s="211"/>
      <c r="H1704" s="211"/>
      <c r="I1704" s="211"/>
      <c r="J1704" s="115"/>
      <c r="K1704" s="239"/>
      <c r="L1704" s="239"/>
      <c r="M1704" s="239"/>
      <c r="N1704" s="129" t="e">
        <f t="shared" si="307"/>
        <v>#DIV/0!</v>
      </c>
      <c r="O1704" s="129" t="e">
        <f t="shared" si="308"/>
        <v>#DIV/0!</v>
      </c>
      <c r="P1704" s="129" t="e">
        <f t="shared" si="309"/>
        <v>#DIV/0!</v>
      </c>
      <c r="Q1704" s="114"/>
      <c r="R1704" s="5" t="e">
        <f t="shared" si="298"/>
        <v>#DIV/0!</v>
      </c>
    </row>
    <row r="1705" spans="1:18" s="4" customFormat="1" ht="15" hidden="1" customHeight="1">
      <c r="A1705" s="64"/>
      <c r="B1705" s="7">
        <f t="shared" si="270"/>
        <v>40</v>
      </c>
      <c r="C1705" s="211"/>
      <c r="D1705" s="211"/>
      <c r="E1705" s="211"/>
      <c r="F1705" s="211"/>
      <c r="G1705" s="211"/>
      <c r="H1705" s="211"/>
      <c r="I1705" s="211"/>
      <c r="J1705" s="115"/>
      <c r="K1705" s="239"/>
      <c r="L1705" s="239"/>
      <c r="M1705" s="239"/>
      <c r="N1705" s="129" t="e">
        <f t="shared" si="307"/>
        <v>#DIV/0!</v>
      </c>
      <c r="O1705" s="129" t="e">
        <f t="shared" si="308"/>
        <v>#DIV/0!</v>
      </c>
      <c r="P1705" s="129" t="e">
        <f t="shared" si="309"/>
        <v>#DIV/0!</v>
      </c>
      <c r="Q1705" s="114"/>
      <c r="R1705" s="5" t="e">
        <f t="shared" si="298"/>
        <v>#DIV/0!</v>
      </c>
    </row>
    <row r="1706" spans="1:18" s="4" customFormat="1" ht="15" hidden="1" customHeight="1">
      <c r="A1706" s="64"/>
      <c r="B1706" s="7">
        <f t="shared" si="270"/>
        <v>41</v>
      </c>
      <c r="C1706" s="211"/>
      <c r="D1706" s="211"/>
      <c r="E1706" s="211"/>
      <c r="F1706" s="211"/>
      <c r="G1706" s="211"/>
      <c r="H1706" s="211"/>
      <c r="I1706" s="211"/>
      <c r="J1706" s="115"/>
      <c r="K1706" s="239"/>
      <c r="L1706" s="239"/>
      <c r="M1706" s="239"/>
      <c r="N1706" s="129" t="e">
        <f t="shared" si="307"/>
        <v>#DIV/0!</v>
      </c>
      <c r="O1706" s="129" t="e">
        <f t="shared" si="308"/>
        <v>#DIV/0!</v>
      </c>
      <c r="P1706" s="129" t="e">
        <f t="shared" si="309"/>
        <v>#DIV/0!</v>
      </c>
      <c r="Q1706" s="114"/>
      <c r="R1706" s="5" t="e">
        <f t="shared" si="298"/>
        <v>#DIV/0!</v>
      </c>
    </row>
    <row r="1707" spans="1:18" s="4" customFormat="1" ht="15" hidden="1" customHeight="1">
      <c r="A1707" s="64"/>
      <c r="B1707" s="7">
        <f t="shared" si="270"/>
        <v>42</v>
      </c>
      <c r="C1707" s="211"/>
      <c r="D1707" s="211"/>
      <c r="E1707" s="211"/>
      <c r="F1707" s="211"/>
      <c r="G1707" s="211"/>
      <c r="H1707" s="211"/>
      <c r="I1707" s="211"/>
      <c r="J1707" s="115"/>
      <c r="K1707" s="239"/>
      <c r="L1707" s="239"/>
      <c r="M1707" s="239"/>
      <c r="N1707" s="129" t="e">
        <f t="shared" si="307"/>
        <v>#DIV/0!</v>
      </c>
      <c r="O1707" s="129" t="e">
        <f t="shared" si="308"/>
        <v>#DIV/0!</v>
      </c>
      <c r="P1707" s="129" t="e">
        <f t="shared" si="309"/>
        <v>#DIV/0!</v>
      </c>
      <c r="Q1707" s="114"/>
      <c r="R1707" s="5" t="e">
        <f t="shared" si="298"/>
        <v>#DIV/0!</v>
      </c>
    </row>
    <row r="1708" spans="1:18" s="4" customFormat="1" ht="15" hidden="1" customHeight="1">
      <c r="A1708" s="64"/>
      <c r="B1708" s="7">
        <f t="shared" si="270"/>
        <v>43</v>
      </c>
      <c r="C1708" s="211"/>
      <c r="D1708" s="211"/>
      <c r="E1708" s="211"/>
      <c r="F1708" s="211"/>
      <c r="G1708" s="211"/>
      <c r="H1708" s="211"/>
      <c r="I1708" s="211"/>
      <c r="J1708" s="115"/>
      <c r="K1708" s="239"/>
      <c r="L1708" s="239"/>
      <c r="M1708" s="239"/>
      <c r="N1708" s="129" t="e">
        <f t="shared" si="307"/>
        <v>#DIV/0!</v>
      </c>
      <c r="O1708" s="129" t="e">
        <f t="shared" si="308"/>
        <v>#DIV/0!</v>
      </c>
      <c r="P1708" s="129" t="e">
        <f t="shared" si="309"/>
        <v>#DIV/0!</v>
      </c>
      <c r="Q1708" s="114"/>
      <c r="R1708" s="5" t="e">
        <f t="shared" si="298"/>
        <v>#DIV/0!</v>
      </c>
    </row>
    <row r="1709" spans="1:18" s="4" customFormat="1" ht="15" hidden="1" customHeight="1">
      <c r="A1709" s="64"/>
      <c r="B1709" s="7">
        <f t="shared" si="270"/>
        <v>44</v>
      </c>
      <c r="C1709" s="211"/>
      <c r="D1709" s="211"/>
      <c r="E1709" s="211"/>
      <c r="F1709" s="211"/>
      <c r="G1709" s="211"/>
      <c r="H1709" s="211"/>
      <c r="I1709" s="211"/>
      <c r="J1709" s="115"/>
      <c r="K1709" s="239"/>
      <c r="L1709" s="239"/>
      <c r="M1709" s="239"/>
      <c r="N1709" s="129" t="e">
        <f t="shared" si="307"/>
        <v>#DIV/0!</v>
      </c>
      <c r="O1709" s="129" t="e">
        <f t="shared" si="308"/>
        <v>#DIV/0!</v>
      </c>
      <c r="P1709" s="129" t="e">
        <f t="shared" si="309"/>
        <v>#DIV/0!</v>
      </c>
      <c r="Q1709" s="114"/>
      <c r="R1709" s="5" t="e">
        <f t="shared" si="298"/>
        <v>#DIV/0!</v>
      </c>
    </row>
    <row r="1710" spans="1:18" s="4" customFormat="1" ht="15" hidden="1" customHeight="1">
      <c r="A1710" s="64"/>
      <c r="B1710" s="7">
        <f t="shared" si="270"/>
        <v>45</v>
      </c>
      <c r="C1710" s="211"/>
      <c r="D1710" s="211"/>
      <c r="E1710" s="211"/>
      <c r="F1710" s="211"/>
      <c r="G1710" s="211"/>
      <c r="H1710" s="211"/>
      <c r="I1710" s="211"/>
      <c r="J1710" s="115"/>
      <c r="K1710" s="239"/>
      <c r="L1710" s="239"/>
      <c r="M1710" s="239"/>
      <c r="N1710" s="129" t="e">
        <f t="shared" si="307"/>
        <v>#DIV/0!</v>
      </c>
      <c r="O1710" s="129" t="e">
        <f t="shared" si="308"/>
        <v>#DIV/0!</v>
      </c>
      <c r="P1710" s="129" t="e">
        <f t="shared" si="309"/>
        <v>#DIV/0!</v>
      </c>
      <c r="Q1710" s="114"/>
      <c r="R1710" s="5" t="e">
        <f t="shared" si="298"/>
        <v>#DIV/0!</v>
      </c>
    </row>
    <row r="1711" spans="1:18" s="4" customFormat="1" ht="15" hidden="1" customHeight="1">
      <c r="A1711" s="64"/>
      <c r="B1711" s="7">
        <f t="shared" si="270"/>
        <v>46</v>
      </c>
      <c r="C1711" s="211"/>
      <c r="D1711" s="211"/>
      <c r="E1711" s="211"/>
      <c r="F1711" s="211"/>
      <c r="G1711" s="211"/>
      <c r="H1711" s="211"/>
      <c r="I1711" s="211"/>
      <c r="J1711" s="115"/>
      <c r="K1711" s="239"/>
      <c r="L1711" s="239"/>
      <c r="M1711" s="239"/>
      <c r="N1711" s="129" t="e">
        <f t="shared" si="307"/>
        <v>#DIV/0!</v>
      </c>
      <c r="O1711" s="129" t="e">
        <f t="shared" si="308"/>
        <v>#DIV/0!</v>
      </c>
      <c r="P1711" s="129" t="e">
        <f t="shared" si="309"/>
        <v>#DIV/0!</v>
      </c>
      <c r="Q1711" s="114"/>
      <c r="R1711" s="5" t="e">
        <f t="shared" si="298"/>
        <v>#DIV/0!</v>
      </c>
    </row>
    <row r="1712" spans="1:18" s="4" customFormat="1" ht="15" hidden="1" customHeight="1">
      <c r="A1712" s="64"/>
      <c r="B1712" s="7">
        <f t="shared" si="270"/>
        <v>47</v>
      </c>
      <c r="C1712" s="211"/>
      <c r="D1712" s="211"/>
      <c r="E1712" s="211"/>
      <c r="F1712" s="211"/>
      <c r="G1712" s="211"/>
      <c r="H1712" s="211"/>
      <c r="I1712" s="211"/>
      <c r="J1712" s="115"/>
      <c r="K1712" s="239"/>
      <c r="L1712" s="239"/>
      <c r="M1712" s="239"/>
      <c r="N1712" s="129" t="e">
        <f t="shared" si="307"/>
        <v>#DIV/0!</v>
      </c>
      <c r="O1712" s="129" t="e">
        <f t="shared" si="308"/>
        <v>#DIV/0!</v>
      </c>
      <c r="P1712" s="129" t="e">
        <f t="shared" si="309"/>
        <v>#DIV/0!</v>
      </c>
      <c r="Q1712" s="114"/>
      <c r="R1712" s="5" t="e">
        <f t="shared" si="298"/>
        <v>#DIV/0!</v>
      </c>
    </row>
    <row r="1713" spans="1:18" s="4" customFormat="1" ht="15" hidden="1" customHeight="1">
      <c r="A1713" s="64"/>
      <c r="B1713" s="7">
        <f t="shared" si="270"/>
        <v>48</v>
      </c>
      <c r="C1713" s="211"/>
      <c r="D1713" s="211"/>
      <c r="E1713" s="211"/>
      <c r="F1713" s="211"/>
      <c r="G1713" s="211"/>
      <c r="H1713" s="211"/>
      <c r="I1713" s="211"/>
      <c r="J1713" s="240"/>
      <c r="K1713" s="239"/>
      <c r="L1713" s="239"/>
      <c r="M1713" s="239"/>
      <c r="N1713" s="129" t="e">
        <f t="shared" si="307"/>
        <v>#DIV/0!</v>
      </c>
      <c r="O1713" s="129" t="e">
        <f t="shared" si="308"/>
        <v>#DIV/0!</v>
      </c>
      <c r="P1713" s="129" t="e">
        <f t="shared" si="309"/>
        <v>#DIV/0!</v>
      </c>
      <c r="Q1713" s="114"/>
      <c r="R1713" s="5" t="e">
        <f t="shared" si="298"/>
        <v>#DIV/0!</v>
      </c>
    </row>
    <row r="1714" spans="1:18" s="4" customFormat="1" ht="15" hidden="1" customHeight="1">
      <c r="A1714" s="64"/>
      <c r="B1714" s="7">
        <f t="shared" si="270"/>
        <v>49</v>
      </c>
      <c r="C1714" s="211"/>
      <c r="D1714" s="211"/>
      <c r="E1714" s="211"/>
      <c r="F1714" s="211"/>
      <c r="G1714" s="211"/>
      <c r="H1714" s="211"/>
      <c r="I1714" s="211"/>
      <c r="J1714" s="240"/>
      <c r="K1714" s="239"/>
      <c r="L1714" s="239"/>
      <c r="M1714" s="239"/>
      <c r="N1714" s="129" t="e">
        <f t="shared" si="307"/>
        <v>#DIV/0!</v>
      </c>
      <c r="O1714" s="129" t="e">
        <f t="shared" si="308"/>
        <v>#DIV/0!</v>
      </c>
      <c r="P1714" s="129" t="e">
        <f t="shared" si="309"/>
        <v>#DIV/0!</v>
      </c>
      <c r="Q1714" s="114"/>
      <c r="R1714" s="5" t="e">
        <f t="shared" si="298"/>
        <v>#DIV/0!</v>
      </c>
    </row>
    <row r="1715" spans="1:18" s="4" customFormat="1" ht="15" hidden="1" customHeight="1">
      <c r="A1715" s="64"/>
      <c r="B1715" s="7">
        <f t="shared" si="270"/>
        <v>50</v>
      </c>
      <c r="C1715" s="211"/>
      <c r="D1715" s="211"/>
      <c r="E1715" s="211"/>
      <c r="F1715" s="211"/>
      <c r="G1715" s="211"/>
      <c r="H1715" s="211"/>
      <c r="I1715" s="211"/>
      <c r="J1715" s="240"/>
      <c r="K1715" s="239"/>
      <c r="L1715" s="239"/>
      <c r="M1715" s="239"/>
      <c r="N1715" s="129" t="e">
        <f t="shared" si="307"/>
        <v>#DIV/0!</v>
      </c>
      <c r="O1715" s="129" t="e">
        <f t="shared" si="308"/>
        <v>#DIV/0!</v>
      </c>
      <c r="P1715" s="129" t="e">
        <f t="shared" si="309"/>
        <v>#DIV/0!</v>
      </c>
      <c r="Q1715" s="114"/>
      <c r="R1715" s="5" t="e">
        <f t="shared" si="298"/>
        <v>#DIV/0!</v>
      </c>
    </row>
    <row r="1716" spans="1:18" s="4" customFormat="1" ht="15" hidden="1" customHeight="1">
      <c r="A1716" s="64"/>
      <c r="B1716" s="7">
        <f t="shared" si="270"/>
        <v>51</v>
      </c>
      <c r="C1716" s="211"/>
      <c r="D1716" s="211"/>
      <c r="E1716" s="211"/>
      <c r="F1716" s="211"/>
      <c r="G1716" s="211"/>
      <c r="H1716" s="211"/>
      <c r="I1716" s="211"/>
      <c r="J1716" s="240"/>
      <c r="K1716" s="239"/>
      <c r="L1716" s="239"/>
      <c r="M1716" s="239"/>
      <c r="N1716" s="129" t="e">
        <f t="shared" si="307"/>
        <v>#DIV/0!</v>
      </c>
      <c r="O1716" s="129" t="e">
        <f t="shared" si="308"/>
        <v>#DIV/0!</v>
      </c>
      <c r="P1716" s="129" t="e">
        <f t="shared" si="309"/>
        <v>#DIV/0!</v>
      </c>
      <c r="Q1716" s="114"/>
      <c r="R1716" s="5" t="e">
        <f t="shared" si="298"/>
        <v>#DIV/0!</v>
      </c>
    </row>
    <row r="1717" spans="1:18" s="4" customFormat="1" ht="15" hidden="1" customHeight="1">
      <c r="A1717" s="64"/>
      <c r="B1717" s="7">
        <f t="shared" si="270"/>
        <v>52</v>
      </c>
      <c r="C1717" s="211"/>
      <c r="D1717" s="211"/>
      <c r="E1717" s="211"/>
      <c r="F1717" s="211"/>
      <c r="G1717" s="211"/>
      <c r="H1717" s="211"/>
      <c r="I1717" s="211"/>
      <c r="J1717" s="240"/>
      <c r="K1717" s="239"/>
      <c r="L1717" s="239"/>
      <c r="M1717" s="239"/>
      <c r="N1717" s="129" t="e">
        <f t="shared" si="307"/>
        <v>#DIV/0!</v>
      </c>
      <c r="O1717" s="129" t="e">
        <f t="shared" si="308"/>
        <v>#DIV/0!</v>
      </c>
      <c r="P1717" s="129" t="e">
        <f t="shared" si="309"/>
        <v>#DIV/0!</v>
      </c>
      <c r="Q1717" s="114"/>
      <c r="R1717" s="5" t="e">
        <f t="shared" si="298"/>
        <v>#DIV/0!</v>
      </c>
    </row>
    <row r="1718" spans="1:18" s="4" customFormat="1" ht="15" hidden="1" customHeight="1">
      <c r="A1718" s="64"/>
      <c r="B1718" s="7">
        <f t="shared" si="270"/>
        <v>53</v>
      </c>
      <c r="C1718" s="211"/>
      <c r="D1718" s="211"/>
      <c r="E1718" s="211"/>
      <c r="F1718" s="211"/>
      <c r="G1718" s="211"/>
      <c r="H1718" s="211"/>
      <c r="I1718" s="211"/>
      <c r="J1718" s="240"/>
      <c r="K1718" s="239"/>
      <c r="L1718" s="239"/>
      <c r="M1718" s="239"/>
      <c r="N1718" s="129" t="e">
        <f t="shared" si="307"/>
        <v>#DIV/0!</v>
      </c>
      <c r="O1718" s="129" t="e">
        <f t="shared" si="308"/>
        <v>#DIV/0!</v>
      </c>
      <c r="P1718" s="129" t="e">
        <f t="shared" si="309"/>
        <v>#DIV/0!</v>
      </c>
      <c r="Q1718" s="114"/>
      <c r="R1718" s="5" t="e">
        <f t="shared" si="298"/>
        <v>#DIV/0!</v>
      </c>
    </row>
    <row r="1719" spans="1:18" s="4" customFormat="1" ht="15" hidden="1" customHeight="1">
      <c r="A1719" s="64"/>
      <c r="B1719" s="7">
        <f t="shared" si="270"/>
        <v>54</v>
      </c>
      <c r="C1719" s="211"/>
      <c r="D1719" s="211"/>
      <c r="E1719" s="211"/>
      <c r="F1719" s="211"/>
      <c r="G1719" s="211"/>
      <c r="H1719" s="211"/>
      <c r="I1719" s="211"/>
      <c r="J1719" s="240"/>
      <c r="K1719" s="239"/>
      <c r="L1719" s="239"/>
      <c r="M1719" s="239"/>
      <c r="N1719" s="129" t="e">
        <f t="shared" si="307"/>
        <v>#DIV/0!</v>
      </c>
      <c r="O1719" s="129" t="e">
        <f t="shared" si="308"/>
        <v>#DIV/0!</v>
      </c>
      <c r="P1719" s="129" t="e">
        <f t="shared" si="309"/>
        <v>#DIV/0!</v>
      </c>
      <c r="Q1719" s="114"/>
      <c r="R1719" s="5" t="e">
        <f t="shared" si="298"/>
        <v>#DIV/0!</v>
      </c>
    </row>
    <row r="1720" spans="1:18" s="4" customFormat="1" ht="15" hidden="1" customHeight="1">
      <c r="A1720" s="64"/>
      <c r="B1720" s="7">
        <f t="shared" si="270"/>
        <v>55</v>
      </c>
      <c r="C1720" s="211"/>
      <c r="D1720" s="211"/>
      <c r="E1720" s="211"/>
      <c r="F1720" s="211"/>
      <c r="G1720" s="211"/>
      <c r="H1720" s="211"/>
      <c r="I1720" s="211"/>
      <c r="J1720" s="240"/>
      <c r="K1720" s="239"/>
      <c r="L1720" s="239"/>
      <c r="M1720" s="239"/>
      <c r="N1720" s="129" t="e">
        <f t="shared" si="307"/>
        <v>#DIV/0!</v>
      </c>
      <c r="O1720" s="129" t="e">
        <f t="shared" si="308"/>
        <v>#DIV/0!</v>
      </c>
      <c r="P1720" s="129" t="e">
        <f t="shared" si="309"/>
        <v>#DIV/0!</v>
      </c>
      <c r="Q1720" s="114"/>
      <c r="R1720" s="5" t="e">
        <f t="shared" si="298"/>
        <v>#DIV/0!</v>
      </c>
    </row>
    <row r="1721" spans="1:18" s="4" customFormat="1" ht="15" hidden="1" customHeight="1">
      <c r="A1721" s="64"/>
      <c r="B1721" s="7">
        <f t="shared" si="270"/>
        <v>56</v>
      </c>
      <c r="C1721" s="211"/>
      <c r="D1721" s="211"/>
      <c r="E1721" s="211"/>
      <c r="F1721" s="211"/>
      <c r="G1721" s="211"/>
      <c r="H1721" s="211"/>
      <c r="I1721" s="211"/>
      <c r="J1721" s="240"/>
      <c r="K1721" s="239"/>
      <c r="L1721" s="239"/>
      <c r="M1721" s="239"/>
      <c r="N1721" s="129" t="e">
        <f t="shared" si="307"/>
        <v>#DIV/0!</v>
      </c>
      <c r="O1721" s="129" t="e">
        <f t="shared" si="308"/>
        <v>#DIV/0!</v>
      </c>
      <c r="P1721" s="129" t="e">
        <f t="shared" si="309"/>
        <v>#DIV/0!</v>
      </c>
      <c r="Q1721" s="114"/>
      <c r="R1721" s="5" t="e">
        <f t="shared" si="298"/>
        <v>#DIV/0!</v>
      </c>
    </row>
    <row r="1722" spans="1:18" s="4" customFormat="1" ht="15" customHeight="1" thickBot="1">
      <c r="A1722" s="64"/>
      <c r="B1722" s="324" t="s">
        <v>22</v>
      </c>
      <c r="C1722" s="325"/>
      <c r="D1722" s="325"/>
      <c r="E1722" s="326"/>
      <c r="F1722" s="70">
        <f>COUNTA(F1666:F1721)</f>
        <v>6</v>
      </c>
      <c r="G1722" s="71"/>
      <c r="H1722" s="72"/>
      <c r="I1722" s="72"/>
      <c r="J1722" s="113"/>
      <c r="K1722" s="96"/>
      <c r="L1722" s="96"/>
      <c r="M1722" s="96"/>
      <c r="N1722" s="96"/>
      <c r="O1722" s="96"/>
      <c r="P1722" s="96"/>
      <c r="Q1722" s="97"/>
      <c r="R1722" s="5"/>
    </row>
    <row r="1723" spans="1:18" s="4" customFormat="1" ht="15" customHeight="1">
      <c r="A1723" s="273"/>
      <c r="B1723" s="66" t="s">
        <v>2137</v>
      </c>
      <c r="F1723" s="16"/>
    </row>
    <row r="1724" spans="1:18" s="4" customFormat="1" ht="15" customHeight="1">
      <c r="A1724" s="273"/>
      <c r="B1724" s="275" t="s">
        <v>2</v>
      </c>
      <c r="C1724" s="275" t="s">
        <v>3</v>
      </c>
      <c r="D1724" s="275" t="s">
        <v>4</v>
      </c>
      <c r="E1724" s="275" t="s">
        <v>5</v>
      </c>
      <c r="F1724" s="275" t="s">
        <v>6</v>
      </c>
      <c r="G1724" s="275" t="s">
        <v>7</v>
      </c>
      <c r="H1724" s="275" t="s">
        <v>8</v>
      </c>
      <c r="I1724" s="275" t="s">
        <v>9</v>
      </c>
      <c r="J1724" s="275" t="s">
        <v>2138</v>
      </c>
      <c r="K1724" s="275" t="s">
        <v>262</v>
      </c>
      <c r="L1724" s="275" t="s">
        <v>268</v>
      </c>
      <c r="M1724" s="275" t="s">
        <v>269</v>
      </c>
      <c r="N1724" s="275" t="s">
        <v>263</v>
      </c>
      <c r="O1724" s="275" t="s">
        <v>264</v>
      </c>
      <c r="P1724" s="275" t="s">
        <v>265</v>
      </c>
      <c r="Q1724" s="276" t="s">
        <v>2199</v>
      </c>
      <c r="R1724" s="278" t="s">
        <v>266</v>
      </c>
    </row>
    <row r="1725" spans="1:18" s="4" customFormat="1" ht="15" customHeight="1">
      <c r="A1725" s="273" t="s">
        <v>2139</v>
      </c>
      <c r="B1725" s="263">
        <v>1</v>
      </c>
      <c r="C1725" s="263" t="s">
        <v>2140</v>
      </c>
      <c r="D1725" s="263" t="s">
        <v>2141</v>
      </c>
      <c r="E1725" s="263" t="s">
        <v>15</v>
      </c>
      <c r="F1725" s="263" t="s">
        <v>2142</v>
      </c>
      <c r="G1725" s="263">
        <v>2020</v>
      </c>
      <c r="H1725" s="263"/>
      <c r="I1725" s="210"/>
      <c r="J1725" s="272">
        <v>0</v>
      </c>
      <c r="K1725" s="271">
        <v>301.66999999999996</v>
      </c>
      <c r="L1725" s="271">
        <v>173</v>
      </c>
      <c r="M1725" s="270">
        <v>245.33000000000004</v>
      </c>
      <c r="N1725" s="129">
        <f t="shared" ref="N1725" si="310">+K1725/(K1725+L1725)</f>
        <v>0.6355362673014936</v>
      </c>
      <c r="O1725" s="129">
        <f t="shared" ref="O1725" si="311">+(K1725+M1725)/(K1725+L1725+M1725)</f>
        <v>0.75972222222222219</v>
      </c>
      <c r="P1725" s="129">
        <f>+K1725/(K1725+M1725)</f>
        <v>0.5514990859232175</v>
      </c>
      <c r="Q1725" s="269"/>
      <c r="R1725" s="268"/>
    </row>
    <row r="1726" spans="1:18" s="4" customFormat="1" ht="15" customHeight="1">
      <c r="A1726" s="273" t="s">
        <v>2143</v>
      </c>
      <c r="B1726" s="263">
        <v>2</v>
      </c>
      <c r="C1726" s="263" t="s">
        <v>2140</v>
      </c>
      <c r="D1726" s="263" t="s">
        <v>2144</v>
      </c>
      <c r="E1726" s="263" t="s">
        <v>159</v>
      </c>
      <c r="F1726" s="263" t="s">
        <v>2145</v>
      </c>
      <c r="G1726" s="263">
        <v>2015</v>
      </c>
      <c r="H1726" s="263"/>
      <c r="I1726" s="210"/>
      <c r="J1726" s="272">
        <v>0</v>
      </c>
      <c r="K1726" s="271">
        <v>177.1</v>
      </c>
      <c r="L1726" s="271">
        <v>153</v>
      </c>
      <c r="M1726" s="270">
        <v>389.9</v>
      </c>
      <c r="N1726" s="129">
        <f t="shared" ref="N1726:N1751" si="312">+K1726/(K1726+L1726)</f>
        <v>0.53650408966979701</v>
      </c>
      <c r="O1726" s="129">
        <f t="shared" ref="O1726:O1751" si="313">+(K1726+M1726)/(K1726+L1726+M1726)</f>
        <v>0.78749999999999998</v>
      </c>
      <c r="P1726" s="129">
        <f t="shared" ref="P1726:P1751" si="314">+K1726/(K1726+M1726)</f>
        <v>0.31234567901234567</v>
      </c>
      <c r="Q1726" s="269"/>
      <c r="R1726" s="268"/>
    </row>
    <row r="1727" spans="1:18" s="4" customFormat="1" ht="15" customHeight="1">
      <c r="A1727" s="273" t="s">
        <v>2146</v>
      </c>
      <c r="B1727" s="263">
        <v>3</v>
      </c>
      <c r="C1727" s="263" t="s">
        <v>2140</v>
      </c>
      <c r="D1727" s="263" t="s">
        <v>2149</v>
      </c>
      <c r="E1727" s="263" t="s">
        <v>331</v>
      </c>
      <c r="F1727" s="263" t="s">
        <v>331</v>
      </c>
      <c r="G1727" s="263">
        <v>2020</v>
      </c>
      <c r="H1727" s="263"/>
      <c r="I1727" s="263"/>
      <c r="J1727" s="272">
        <v>0</v>
      </c>
      <c r="K1727" s="271">
        <v>291.22000000000003</v>
      </c>
      <c r="L1727" s="271">
        <v>72.5</v>
      </c>
      <c r="M1727" s="270">
        <v>356.28</v>
      </c>
      <c r="N1727" s="129">
        <f t="shared" si="312"/>
        <v>0.80067084570548774</v>
      </c>
      <c r="O1727" s="129">
        <f t="shared" si="313"/>
        <v>0.89930555555555558</v>
      </c>
      <c r="P1727" s="129">
        <f t="shared" si="314"/>
        <v>0.44976061776061782</v>
      </c>
      <c r="Q1727" s="269"/>
      <c r="R1727" s="268"/>
    </row>
    <row r="1728" spans="1:18" s="4" customFormat="1" ht="15" customHeight="1">
      <c r="A1728" s="273" t="s">
        <v>2147</v>
      </c>
      <c r="B1728" s="263">
        <v>4</v>
      </c>
      <c r="C1728" s="263" t="s">
        <v>2140</v>
      </c>
      <c r="D1728" s="263" t="s">
        <v>2246</v>
      </c>
      <c r="E1728" s="263" t="s">
        <v>159</v>
      </c>
      <c r="F1728" s="263" t="s">
        <v>2145</v>
      </c>
      <c r="G1728" s="263">
        <v>2022</v>
      </c>
      <c r="H1728" s="263"/>
      <c r="I1728" s="263"/>
      <c r="J1728" s="272">
        <v>0</v>
      </c>
      <c r="K1728" s="271">
        <v>176.28000000000003</v>
      </c>
      <c r="L1728" s="271">
        <v>86.5</v>
      </c>
      <c r="M1728" s="270">
        <v>457.21999999999997</v>
      </c>
      <c r="N1728" s="129">
        <f t="shared" si="312"/>
        <v>0.67082730801430857</v>
      </c>
      <c r="O1728" s="129">
        <f t="shared" si="313"/>
        <v>0.87986111111111109</v>
      </c>
      <c r="P1728" s="129">
        <f t="shared" si="314"/>
        <v>0.2782636148382005</v>
      </c>
      <c r="Q1728" s="269"/>
      <c r="R1728" s="268"/>
    </row>
    <row r="1729" spans="1:18" s="4" customFormat="1" ht="15" customHeight="1">
      <c r="A1729" s="273" t="s">
        <v>2148</v>
      </c>
      <c r="B1729" s="263">
        <v>5</v>
      </c>
      <c r="C1729" s="263" t="s">
        <v>2140</v>
      </c>
      <c r="D1729" s="263" t="s">
        <v>2152</v>
      </c>
      <c r="E1729" s="263" t="s">
        <v>159</v>
      </c>
      <c r="F1729" s="263" t="s">
        <v>2145</v>
      </c>
      <c r="G1729" s="263">
        <v>2022</v>
      </c>
      <c r="H1729" s="263"/>
      <c r="I1729" s="263"/>
      <c r="J1729" s="272">
        <v>0</v>
      </c>
      <c r="K1729" s="271">
        <v>267.61999999999995</v>
      </c>
      <c r="L1729" s="271">
        <v>21.5</v>
      </c>
      <c r="M1729" s="270">
        <v>430.88000000000005</v>
      </c>
      <c r="N1729" s="129">
        <f t="shared" si="312"/>
        <v>0.92563641394576646</v>
      </c>
      <c r="O1729" s="129">
        <f t="shared" si="313"/>
        <v>0.97013888888888888</v>
      </c>
      <c r="P1729" s="129">
        <f t="shared" si="314"/>
        <v>0.3831352899069434</v>
      </c>
      <c r="Q1729" s="269"/>
      <c r="R1729" s="268"/>
    </row>
    <row r="1730" spans="1:18" s="4" customFormat="1" ht="15" customHeight="1">
      <c r="A1730" s="273" t="s">
        <v>2150</v>
      </c>
      <c r="B1730" s="263">
        <v>6</v>
      </c>
      <c r="C1730" s="263" t="s">
        <v>2140</v>
      </c>
      <c r="D1730" s="263" t="s">
        <v>2154</v>
      </c>
      <c r="E1730" s="267" t="s">
        <v>159</v>
      </c>
      <c r="F1730" s="263" t="s">
        <v>2145</v>
      </c>
      <c r="G1730" s="263">
        <v>2022</v>
      </c>
      <c r="H1730" s="263"/>
      <c r="I1730" s="263"/>
      <c r="J1730" s="272">
        <v>0</v>
      </c>
      <c r="K1730" s="271">
        <v>268.2</v>
      </c>
      <c r="L1730" s="271">
        <v>14</v>
      </c>
      <c r="M1730" s="270">
        <v>437.8</v>
      </c>
      <c r="N1730" s="129">
        <f t="shared" si="312"/>
        <v>0.95038979447200567</v>
      </c>
      <c r="O1730" s="129">
        <f t="shared" si="313"/>
        <v>0.98055555555555551</v>
      </c>
      <c r="P1730" s="129">
        <f t="shared" si="314"/>
        <v>0.3798866855524079</v>
      </c>
      <c r="Q1730" s="269"/>
      <c r="R1730" s="268"/>
    </row>
    <row r="1731" spans="1:18" s="4" customFormat="1" ht="15" customHeight="1">
      <c r="A1731" s="273" t="s">
        <v>2151</v>
      </c>
      <c r="B1731" s="263">
        <v>7</v>
      </c>
      <c r="C1731" s="263" t="s">
        <v>2140</v>
      </c>
      <c r="D1731" s="263" t="s">
        <v>2247</v>
      </c>
      <c r="E1731" s="263" t="s">
        <v>159</v>
      </c>
      <c r="F1731" s="263" t="s">
        <v>2145</v>
      </c>
      <c r="G1731" s="263">
        <v>2022</v>
      </c>
      <c r="H1731" s="263"/>
      <c r="I1731" s="263"/>
      <c r="J1731" s="272">
        <v>0</v>
      </c>
      <c r="K1731" s="271">
        <v>236.34999999999997</v>
      </c>
      <c r="L1731" s="271">
        <v>3</v>
      </c>
      <c r="M1731" s="270">
        <v>480.65000000000003</v>
      </c>
      <c r="N1731" s="129">
        <f t="shared" si="312"/>
        <v>0.9874660538959682</v>
      </c>
      <c r="O1731" s="129">
        <f t="shared" si="313"/>
        <v>0.99583333333333335</v>
      </c>
      <c r="P1731" s="129">
        <f t="shared" si="314"/>
        <v>0.32963737796373777</v>
      </c>
      <c r="Q1731" s="269"/>
      <c r="R1731" s="268"/>
    </row>
    <row r="1732" spans="1:18" s="4" customFormat="1" ht="15" customHeight="1">
      <c r="A1732" s="273" t="s">
        <v>2153</v>
      </c>
      <c r="B1732" s="263">
        <v>8</v>
      </c>
      <c r="C1732" s="263" t="s">
        <v>2140</v>
      </c>
      <c r="D1732" s="263" t="s">
        <v>2248</v>
      </c>
      <c r="E1732" s="263" t="s">
        <v>159</v>
      </c>
      <c r="F1732" s="263" t="s">
        <v>2145</v>
      </c>
      <c r="G1732" s="263">
        <v>2022</v>
      </c>
      <c r="H1732" s="263"/>
      <c r="I1732" s="263"/>
      <c r="J1732" s="272">
        <v>0</v>
      </c>
      <c r="K1732" s="271">
        <v>215.93999999999994</v>
      </c>
      <c r="L1732" s="271">
        <v>21</v>
      </c>
      <c r="M1732" s="270">
        <v>483.06000000000006</v>
      </c>
      <c r="N1732" s="129">
        <f t="shared" si="312"/>
        <v>0.91136996708027351</v>
      </c>
      <c r="O1732" s="129">
        <f t="shared" si="313"/>
        <v>0.97083333333333333</v>
      </c>
      <c r="P1732" s="129">
        <f t="shared" si="314"/>
        <v>0.30892703862660936</v>
      </c>
      <c r="Q1732" s="269"/>
      <c r="R1732" s="268"/>
    </row>
    <row r="1733" spans="1:18" s="4" customFormat="1" ht="15" customHeight="1">
      <c r="A1733" s="273" t="s">
        <v>2155</v>
      </c>
      <c r="B1733" s="263">
        <v>9</v>
      </c>
      <c r="C1733" s="263" t="s">
        <v>2140</v>
      </c>
      <c r="D1733" s="263" t="s">
        <v>2249</v>
      </c>
      <c r="E1733" s="263" t="s">
        <v>159</v>
      </c>
      <c r="F1733" s="263" t="s">
        <v>2145</v>
      </c>
      <c r="G1733" s="263">
        <v>2022</v>
      </c>
      <c r="H1733" s="263"/>
      <c r="I1733" s="263"/>
      <c r="J1733" s="272">
        <v>0</v>
      </c>
      <c r="K1733" s="271">
        <v>228.40999999999994</v>
      </c>
      <c r="L1733" s="271">
        <v>27.3</v>
      </c>
      <c r="M1733" s="270">
        <v>464.29000000000008</v>
      </c>
      <c r="N1733" s="129">
        <f t="shared" si="312"/>
        <v>0.89323843416370097</v>
      </c>
      <c r="O1733" s="129">
        <f t="shared" si="313"/>
        <v>0.9620833333333334</v>
      </c>
      <c r="P1733" s="129">
        <f t="shared" si="314"/>
        <v>0.32973870362350211</v>
      </c>
      <c r="Q1733" s="269"/>
      <c r="R1733" s="268"/>
    </row>
    <row r="1734" spans="1:18" s="4" customFormat="1" ht="15" customHeight="1">
      <c r="A1734" s="273" t="s">
        <v>2160</v>
      </c>
      <c r="B1734" s="263">
        <v>10</v>
      </c>
      <c r="C1734" s="263" t="s">
        <v>2140</v>
      </c>
      <c r="D1734" s="263" t="s">
        <v>2250</v>
      </c>
      <c r="E1734" s="263" t="s">
        <v>159</v>
      </c>
      <c r="F1734" s="263" t="s">
        <v>2145</v>
      </c>
      <c r="G1734" s="263">
        <v>2022</v>
      </c>
      <c r="H1734" s="263"/>
      <c r="I1734" s="263"/>
      <c r="J1734" s="272">
        <v>0</v>
      </c>
      <c r="K1734" s="271">
        <v>0</v>
      </c>
      <c r="L1734" s="271">
        <v>0</v>
      </c>
      <c r="M1734" s="270">
        <v>720</v>
      </c>
      <c r="N1734" s="129">
        <v>0</v>
      </c>
      <c r="O1734" s="129">
        <f t="shared" si="313"/>
        <v>1</v>
      </c>
      <c r="P1734" s="129">
        <f t="shared" si="314"/>
        <v>0</v>
      </c>
      <c r="Q1734" s="269"/>
      <c r="R1734" s="268"/>
    </row>
    <row r="1735" spans="1:18" s="4" customFormat="1" ht="15" customHeight="1">
      <c r="A1735" s="273" t="s">
        <v>2162</v>
      </c>
      <c r="B1735" s="263">
        <v>11</v>
      </c>
      <c r="C1735" s="263" t="s">
        <v>2140</v>
      </c>
      <c r="D1735" s="263" t="s">
        <v>2251</v>
      </c>
      <c r="E1735" s="263" t="s">
        <v>159</v>
      </c>
      <c r="F1735" s="263" t="s">
        <v>2145</v>
      </c>
      <c r="G1735" s="263">
        <v>2022</v>
      </c>
      <c r="H1735" s="263"/>
      <c r="I1735" s="263"/>
      <c r="J1735" s="272">
        <v>0</v>
      </c>
      <c r="K1735" s="271">
        <v>185.61999999999995</v>
      </c>
      <c r="L1735" s="271">
        <v>65.5</v>
      </c>
      <c r="M1735" s="270">
        <v>468.88000000000005</v>
      </c>
      <c r="N1735" s="129">
        <f t="shared" si="312"/>
        <v>0.73916852500796426</v>
      </c>
      <c r="O1735" s="129">
        <f t="shared" si="313"/>
        <v>0.90902777777777777</v>
      </c>
      <c r="P1735" s="129">
        <f t="shared" si="314"/>
        <v>0.28360580595874707</v>
      </c>
      <c r="Q1735" s="269"/>
      <c r="R1735" s="268"/>
    </row>
    <row r="1736" spans="1:18" s="4" customFormat="1" ht="15" customHeight="1">
      <c r="A1736" s="273" t="s">
        <v>2164</v>
      </c>
      <c r="B1736" s="263">
        <v>12</v>
      </c>
      <c r="C1736" s="263" t="s">
        <v>2140</v>
      </c>
      <c r="D1736" s="263" t="s">
        <v>2252</v>
      </c>
      <c r="E1736" s="263" t="s">
        <v>159</v>
      </c>
      <c r="F1736" s="263" t="s">
        <v>2145</v>
      </c>
      <c r="G1736" s="263">
        <v>2022</v>
      </c>
      <c r="H1736" s="263"/>
      <c r="I1736" s="263"/>
      <c r="J1736" s="272">
        <v>0</v>
      </c>
      <c r="K1736" s="271">
        <v>234.26</v>
      </c>
      <c r="L1736" s="271">
        <v>28</v>
      </c>
      <c r="M1736" s="270">
        <v>457.74</v>
      </c>
      <c r="N1736" s="129">
        <f t="shared" si="312"/>
        <v>0.89323572027758713</v>
      </c>
      <c r="O1736" s="129">
        <f t="shared" si="313"/>
        <v>0.96111111111111114</v>
      </c>
      <c r="P1736" s="129">
        <f t="shared" si="314"/>
        <v>0.33852601156069362</v>
      </c>
      <c r="Q1736" s="269"/>
      <c r="R1736" s="268"/>
    </row>
    <row r="1737" spans="1:18" s="4" customFormat="1" ht="15" customHeight="1">
      <c r="A1737" s="273" t="s">
        <v>2166</v>
      </c>
      <c r="B1737" s="263">
        <v>13</v>
      </c>
      <c r="C1737" s="263" t="s">
        <v>2140</v>
      </c>
      <c r="D1737" s="263" t="s">
        <v>2253</v>
      </c>
      <c r="E1737" s="263" t="s">
        <v>159</v>
      </c>
      <c r="F1737" s="263" t="s">
        <v>2145</v>
      </c>
      <c r="G1737" s="263">
        <v>2022</v>
      </c>
      <c r="H1737" s="263"/>
      <c r="I1737" s="263"/>
      <c r="J1737" s="272">
        <v>0</v>
      </c>
      <c r="K1737" s="271">
        <v>228.05999999999992</v>
      </c>
      <c r="L1737" s="271">
        <v>11</v>
      </c>
      <c r="M1737" s="270">
        <v>480.94000000000005</v>
      </c>
      <c r="N1737" s="129">
        <f t="shared" si="312"/>
        <v>0.95398644691709189</v>
      </c>
      <c r="O1737" s="129">
        <f t="shared" si="313"/>
        <v>0.98472222222222228</v>
      </c>
      <c r="P1737" s="129">
        <f t="shared" si="314"/>
        <v>0.32166431593794065</v>
      </c>
      <c r="Q1737" s="269"/>
      <c r="R1737" s="268"/>
    </row>
    <row r="1738" spans="1:18" s="4" customFormat="1" ht="15" customHeight="1">
      <c r="A1738" s="273" t="s">
        <v>2170</v>
      </c>
      <c r="B1738" s="263">
        <v>14</v>
      </c>
      <c r="C1738" s="263" t="s">
        <v>2140</v>
      </c>
      <c r="D1738" s="263" t="s">
        <v>2253</v>
      </c>
      <c r="E1738" s="263" t="s">
        <v>159</v>
      </c>
      <c r="F1738" s="263" t="s">
        <v>2145</v>
      </c>
      <c r="G1738" s="263">
        <v>2022</v>
      </c>
      <c r="H1738" s="263"/>
      <c r="I1738" s="263"/>
      <c r="J1738" s="272">
        <v>0</v>
      </c>
      <c r="K1738" s="271">
        <v>228.05999999999992</v>
      </c>
      <c r="L1738" s="271">
        <v>11</v>
      </c>
      <c r="M1738" s="270">
        <v>480.94000000000005</v>
      </c>
      <c r="N1738" s="129">
        <f t="shared" si="312"/>
        <v>0.95398644691709189</v>
      </c>
      <c r="O1738" s="129">
        <f t="shared" si="313"/>
        <v>0.98472222222222228</v>
      </c>
      <c r="P1738" s="129">
        <f t="shared" si="314"/>
        <v>0.32166431593794065</v>
      </c>
      <c r="Q1738" s="269"/>
      <c r="R1738" s="268"/>
    </row>
    <row r="1739" spans="1:18" s="4" customFormat="1" ht="15" customHeight="1">
      <c r="A1739" s="273" t="s">
        <v>2172</v>
      </c>
      <c r="B1739" s="263">
        <v>15</v>
      </c>
      <c r="C1739" s="263" t="s">
        <v>2156</v>
      </c>
      <c r="D1739" s="263" t="s">
        <v>2157</v>
      </c>
      <c r="E1739" s="263" t="s">
        <v>15</v>
      </c>
      <c r="F1739" s="263" t="s">
        <v>2158</v>
      </c>
      <c r="G1739" s="263">
        <v>2022</v>
      </c>
      <c r="H1739" s="263"/>
      <c r="I1739" s="263" t="s">
        <v>2159</v>
      </c>
      <c r="J1739" s="272">
        <v>0</v>
      </c>
      <c r="K1739" s="271">
        <v>362.67</v>
      </c>
      <c r="L1739" s="271">
        <v>56.870000000000005</v>
      </c>
      <c r="M1739" s="270">
        <v>300.45999999999998</v>
      </c>
      <c r="N1739" s="129">
        <f t="shared" si="312"/>
        <v>0.86444677503932876</v>
      </c>
      <c r="O1739" s="129">
        <f t="shared" si="313"/>
        <v>0.92101388888888891</v>
      </c>
      <c r="P1739" s="129">
        <f t="shared" si="314"/>
        <v>0.54690633812374645</v>
      </c>
      <c r="Q1739" s="269"/>
      <c r="R1739" s="268"/>
    </row>
    <row r="1740" spans="1:18" s="4" customFormat="1" ht="15" customHeight="1">
      <c r="A1740" s="273" t="s">
        <v>2174</v>
      </c>
      <c r="B1740" s="263">
        <v>16</v>
      </c>
      <c r="C1740" s="263" t="s">
        <v>2156</v>
      </c>
      <c r="D1740" s="263" t="s">
        <v>2161</v>
      </c>
      <c r="E1740" s="263" t="s">
        <v>15</v>
      </c>
      <c r="F1740" s="263" t="s">
        <v>2142</v>
      </c>
      <c r="G1740" s="263">
        <v>2019</v>
      </c>
      <c r="H1740" s="263"/>
      <c r="I1740" s="263"/>
      <c r="J1740" s="272">
        <v>0</v>
      </c>
      <c r="K1740" s="271">
        <v>346.6</v>
      </c>
      <c r="L1740" s="271">
        <v>60.660000000000004</v>
      </c>
      <c r="M1740" s="270">
        <v>312.74</v>
      </c>
      <c r="N1740" s="129">
        <f t="shared" si="312"/>
        <v>0.85105338113244611</v>
      </c>
      <c r="O1740" s="129">
        <f t="shared" si="313"/>
        <v>0.91575000000000006</v>
      </c>
      <c r="P1740" s="129">
        <f t="shared" si="314"/>
        <v>0.52567719234385901</v>
      </c>
      <c r="Q1740" s="269"/>
      <c r="R1740" s="268"/>
    </row>
    <row r="1741" spans="1:18" s="4" customFormat="1" ht="15" customHeight="1">
      <c r="A1741" s="273" t="s">
        <v>2174</v>
      </c>
      <c r="B1741" s="263">
        <v>17</v>
      </c>
      <c r="C1741" s="263" t="s">
        <v>2156</v>
      </c>
      <c r="D1741" s="263" t="s">
        <v>2163</v>
      </c>
      <c r="E1741" s="263" t="s">
        <v>15</v>
      </c>
      <c r="F1741" s="263" t="s">
        <v>2142</v>
      </c>
      <c r="G1741" s="263">
        <v>2022</v>
      </c>
      <c r="H1741" s="263"/>
      <c r="I1741" s="263"/>
      <c r="J1741" s="272">
        <v>0</v>
      </c>
      <c r="K1741" s="271">
        <v>386.42</v>
      </c>
      <c r="L1741" s="271">
        <v>35.17</v>
      </c>
      <c r="M1741" s="270">
        <v>298.41000000000003</v>
      </c>
      <c r="N1741" s="129">
        <f t="shared" si="312"/>
        <v>0.91657771768780094</v>
      </c>
      <c r="O1741" s="129">
        <f t="shared" si="313"/>
        <v>0.95115277777777785</v>
      </c>
      <c r="P1741" s="129">
        <f t="shared" si="314"/>
        <v>0.56425682286114798</v>
      </c>
      <c r="Q1741" s="269"/>
      <c r="R1741" s="268"/>
    </row>
    <row r="1742" spans="1:18" s="4" customFormat="1" ht="15" customHeight="1">
      <c r="A1742" s="273" t="s">
        <v>2177</v>
      </c>
      <c r="B1742" s="263">
        <v>18</v>
      </c>
      <c r="C1742" s="263" t="s">
        <v>2156</v>
      </c>
      <c r="D1742" s="263" t="s">
        <v>2165</v>
      </c>
      <c r="E1742" s="263" t="s">
        <v>331</v>
      </c>
      <c r="F1742" s="263" t="s">
        <v>331</v>
      </c>
      <c r="G1742" s="263">
        <v>2022</v>
      </c>
      <c r="H1742" s="263"/>
      <c r="I1742" s="263"/>
      <c r="J1742" s="272">
        <v>0</v>
      </c>
      <c r="K1742" s="271">
        <v>282.3</v>
      </c>
      <c r="L1742" s="271">
        <v>67</v>
      </c>
      <c r="M1742" s="270">
        <v>370.7</v>
      </c>
      <c r="N1742" s="129">
        <f t="shared" si="312"/>
        <v>0.80818780417978819</v>
      </c>
      <c r="O1742" s="129">
        <f t="shared" si="313"/>
        <v>0.90694444444444444</v>
      </c>
      <c r="P1742" s="129">
        <f t="shared" si="314"/>
        <v>0.43231240428790202</v>
      </c>
      <c r="Q1742" s="269"/>
      <c r="R1742" s="268"/>
    </row>
    <row r="1743" spans="1:18" s="4" customFormat="1" ht="15" customHeight="1">
      <c r="A1743" s="273" t="s">
        <v>2180</v>
      </c>
      <c r="B1743" s="263">
        <v>19</v>
      </c>
      <c r="C1743" s="263" t="s">
        <v>2156</v>
      </c>
      <c r="D1743" s="263" t="s">
        <v>2167</v>
      </c>
      <c r="E1743" s="263" t="s">
        <v>15</v>
      </c>
      <c r="F1743" s="263" t="s">
        <v>2168</v>
      </c>
      <c r="G1743" s="263">
        <v>2021</v>
      </c>
      <c r="H1743" s="263"/>
      <c r="I1743" s="263" t="s">
        <v>2169</v>
      </c>
      <c r="J1743" s="272">
        <v>0</v>
      </c>
      <c r="K1743" s="271">
        <v>354.22</v>
      </c>
      <c r="L1743" s="271">
        <v>53.7</v>
      </c>
      <c r="M1743" s="270">
        <v>312.07999999999993</v>
      </c>
      <c r="N1743" s="129">
        <f t="shared" si="312"/>
        <v>0.86835654049813693</v>
      </c>
      <c r="O1743" s="129">
        <f t="shared" si="313"/>
        <v>0.92541666666666655</v>
      </c>
      <c r="P1743" s="129">
        <f t="shared" si="314"/>
        <v>0.5316223923157738</v>
      </c>
      <c r="Q1743" s="269"/>
      <c r="R1743" s="268"/>
    </row>
    <row r="1744" spans="1:18" s="4" customFormat="1" ht="15" customHeight="1">
      <c r="A1744" s="273" t="s">
        <v>2183</v>
      </c>
      <c r="B1744" s="263">
        <v>20</v>
      </c>
      <c r="C1744" s="263" t="s">
        <v>2156</v>
      </c>
      <c r="D1744" s="279" t="s">
        <v>2171</v>
      </c>
      <c r="E1744" s="263" t="s">
        <v>15</v>
      </c>
      <c r="F1744" s="263" t="s">
        <v>2158</v>
      </c>
      <c r="G1744" s="263">
        <v>2022</v>
      </c>
      <c r="H1744" s="263"/>
      <c r="I1744" s="263" t="s">
        <v>2159</v>
      </c>
      <c r="J1744" s="272">
        <v>0</v>
      </c>
      <c r="K1744" s="271">
        <v>335.03999999999996</v>
      </c>
      <c r="L1744" s="271">
        <v>42</v>
      </c>
      <c r="M1744" s="270">
        <v>342.96000000000004</v>
      </c>
      <c r="N1744" s="129">
        <f t="shared" si="312"/>
        <v>0.88860598345003183</v>
      </c>
      <c r="O1744" s="129">
        <f t="shared" si="313"/>
        <v>0.94166666666666665</v>
      </c>
      <c r="P1744" s="129">
        <f t="shared" si="314"/>
        <v>0.49415929203539816</v>
      </c>
      <c r="Q1744" s="269"/>
      <c r="R1744" s="268"/>
    </row>
    <row r="1745" spans="1:18" s="4" customFormat="1" ht="15" customHeight="1">
      <c r="A1745" s="273" t="s">
        <v>2185</v>
      </c>
      <c r="B1745" s="263">
        <v>21</v>
      </c>
      <c r="C1745" s="263" t="s">
        <v>2156</v>
      </c>
      <c r="D1745" s="263" t="s">
        <v>2173</v>
      </c>
      <c r="E1745" s="263" t="s">
        <v>15</v>
      </c>
      <c r="F1745" s="263" t="s">
        <v>2168</v>
      </c>
      <c r="G1745" s="263">
        <v>2022</v>
      </c>
      <c r="H1745" s="263"/>
      <c r="I1745" s="263" t="s">
        <v>2169</v>
      </c>
      <c r="J1745" s="272">
        <v>0</v>
      </c>
      <c r="K1745" s="271">
        <v>373.98</v>
      </c>
      <c r="L1745" s="271">
        <v>27.58</v>
      </c>
      <c r="M1745" s="270">
        <v>318.43999999999994</v>
      </c>
      <c r="N1745" s="129">
        <f t="shared" si="312"/>
        <v>0.93131786034465591</v>
      </c>
      <c r="O1745" s="129">
        <f t="shared" si="313"/>
        <v>0.96169444444444441</v>
      </c>
      <c r="P1745" s="129">
        <f t="shared" si="314"/>
        <v>0.54010571618381908</v>
      </c>
      <c r="Q1745" s="269"/>
      <c r="R1745" s="268"/>
    </row>
    <row r="1746" spans="1:18" s="4" customFormat="1" ht="15" customHeight="1">
      <c r="A1746" s="273" t="s">
        <v>2187</v>
      </c>
      <c r="B1746" s="263">
        <v>22</v>
      </c>
      <c r="C1746" s="263" t="s">
        <v>2156</v>
      </c>
      <c r="D1746" s="263" t="s">
        <v>2175</v>
      </c>
      <c r="E1746" s="263" t="s">
        <v>15</v>
      </c>
      <c r="F1746" s="263" t="s">
        <v>2176</v>
      </c>
      <c r="G1746" s="263">
        <v>2019</v>
      </c>
      <c r="H1746" s="263"/>
      <c r="I1746" s="263"/>
      <c r="J1746" s="272">
        <v>0</v>
      </c>
      <c r="K1746" s="271">
        <v>110</v>
      </c>
      <c r="L1746" s="271">
        <v>250</v>
      </c>
      <c r="M1746" s="270">
        <v>360</v>
      </c>
      <c r="N1746" s="129">
        <f t="shared" si="312"/>
        <v>0.30555555555555558</v>
      </c>
      <c r="O1746" s="129">
        <f t="shared" si="313"/>
        <v>0.65277777777777779</v>
      </c>
      <c r="P1746" s="129">
        <f t="shared" si="314"/>
        <v>0.23404255319148937</v>
      </c>
      <c r="Q1746" s="269"/>
      <c r="R1746" s="268"/>
    </row>
    <row r="1747" spans="1:18" s="4" customFormat="1" ht="15" customHeight="1">
      <c r="A1747" s="273" t="s">
        <v>2189</v>
      </c>
      <c r="B1747" s="263">
        <v>23</v>
      </c>
      <c r="C1747" s="263" t="s">
        <v>2156</v>
      </c>
      <c r="D1747" s="263" t="s">
        <v>2175</v>
      </c>
      <c r="E1747" s="263" t="s">
        <v>15</v>
      </c>
      <c r="F1747" s="263" t="s">
        <v>2176</v>
      </c>
      <c r="G1747" s="263">
        <v>2019</v>
      </c>
      <c r="H1747" s="263"/>
      <c r="I1747" s="263"/>
      <c r="J1747" s="272">
        <v>0</v>
      </c>
      <c r="K1747" s="271">
        <v>110</v>
      </c>
      <c r="L1747" s="271">
        <v>250</v>
      </c>
      <c r="M1747" s="270">
        <v>360</v>
      </c>
      <c r="N1747" s="129">
        <f t="shared" si="312"/>
        <v>0.30555555555555558</v>
      </c>
      <c r="O1747" s="129">
        <f t="shared" si="313"/>
        <v>0.65277777777777779</v>
      </c>
      <c r="P1747" s="129">
        <f t="shared" si="314"/>
        <v>0.23404255319148937</v>
      </c>
      <c r="Q1747" s="269"/>
      <c r="R1747" s="268"/>
    </row>
    <row r="1748" spans="1:18" s="4" customFormat="1" ht="15" customHeight="1">
      <c r="A1748" s="273" t="s">
        <v>2191</v>
      </c>
      <c r="B1748" s="263">
        <v>24</v>
      </c>
      <c r="C1748" s="263" t="s">
        <v>2178</v>
      </c>
      <c r="D1748" s="263" t="s">
        <v>2179</v>
      </c>
      <c r="E1748" s="263" t="s">
        <v>15</v>
      </c>
      <c r="F1748" s="263" t="s">
        <v>2168</v>
      </c>
      <c r="G1748" s="263">
        <v>2017</v>
      </c>
      <c r="H1748" s="263"/>
      <c r="I1748" s="263" t="s">
        <v>2169</v>
      </c>
      <c r="J1748" s="272">
        <v>0</v>
      </c>
      <c r="K1748" s="271">
        <v>82</v>
      </c>
      <c r="L1748" s="271">
        <v>27.5</v>
      </c>
      <c r="M1748" s="270">
        <v>610.5</v>
      </c>
      <c r="N1748" s="129">
        <f t="shared" si="312"/>
        <v>0.74885844748858443</v>
      </c>
      <c r="O1748" s="129">
        <f t="shared" si="313"/>
        <v>0.96180555555555558</v>
      </c>
      <c r="P1748" s="129">
        <f t="shared" si="314"/>
        <v>0.1184115523465704</v>
      </c>
      <c r="Q1748" s="269"/>
      <c r="R1748" s="268"/>
    </row>
    <row r="1749" spans="1:18" s="4" customFormat="1" ht="15" customHeight="1">
      <c r="A1749" s="273" t="s">
        <v>2193</v>
      </c>
      <c r="B1749" s="263">
        <v>25</v>
      </c>
      <c r="C1749" s="263" t="s">
        <v>2178</v>
      </c>
      <c r="D1749" s="263" t="s">
        <v>2181</v>
      </c>
      <c r="E1749" s="263" t="s">
        <v>15</v>
      </c>
      <c r="F1749" s="263" t="s">
        <v>2182</v>
      </c>
      <c r="G1749" s="263">
        <v>2019</v>
      </c>
      <c r="H1749" s="263"/>
      <c r="I1749" s="263" t="s">
        <v>2169</v>
      </c>
      <c r="J1749" s="272">
        <v>0</v>
      </c>
      <c r="K1749" s="271">
        <v>313.45999999999998</v>
      </c>
      <c r="L1749" s="271">
        <v>101.47</v>
      </c>
      <c r="M1749" s="270">
        <v>305.07</v>
      </c>
      <c r="N1749" s="129">
        <f t="shared" si="312"/>
        <v>0.7554527269659943</v>
      </c>
      <c r="O1749" s="129">
        <f t="shared" si="313"/>
        <v>0.85906944444444444</v>
      </c>
      <c r="P1749" s="129">
        <f t="shared" si="314"/>
        <v>0.50678220943204044</v>
      </c>
      <c r="Q1749" s="269"/>
      <c r="R1749" s="268"/>
    </row>
    <row r="1750" spans="1:18" s="4" customFormat="1" ht="15" customHeight="1">
      <c r="A1750" s="273" t="s">
        <v>2195</v>
      </c>
      <c r="B1750" s="263">
        <v>26</v>
      </c>
      <c r="C1750" s="263" t="s">
        <v>2178</v>
      </c>
      <c r="D1750" s="263" t="s">
        <v>2184</v>
      </c>
      <c r="E1750" s="263" t="s">
        <v>15</v>
      </c>
      <c r="F1750" s="263" t="s">
        <v>2142</v>
      </c>
      <c r="G1750" s="263">
        <v>2022</v>
      </c>
      <c r="H1750" s="263"/>
      <c r="I1750" s="263"/>
      <c r="J1750" s="272">
        <v>0</v>
      </c>
      <c r="K1750" s="271">
        <v>358.84000000000003</v>
      </c>
      <c r="L1750" s="271">
        <v>56</v>
      </c>
      <c r="M1750" s="270">
        <v>305.15999999999997</v>
      </c>
      <c r="N1750" s="129">
        <f t="shared" si="312"/>
        <v>0.86500819593096134</v>
      </c>
      <c r="O1750" s="129">
        <f t="shared" si="313"/>
        <v>0.92222222222222228</v>
      </c>
      <c r="P1750" s="129">
        <f t="shared" si="314"/>
        <v>0.54042168674698798</v>
      </c>
      <c r="Q1750" s="269"/>
      <c r="R1750" s="268"/>
    </row>
    <row r="1751" spans="1:18" s="4" customFormat="1" ht="15" customHeight="1">
      <c r="A1751" s="273" t="s">
        <v>2197</v>
      </c>
      <c r="B1751" s="263">
        <v>27</v>
      </c>
      <c r="C1751" s="263" t="s">
        <v>2178</v>
      </c>
      <c r="D1751" s="277" t="s">
        <v>2186</v>
      </c>
      <c r="E1751" s="263" t="s">
        <v>15</v>
      </c>
      <c r="F1751" s="263" t="s">
        <v>2168</v>
      </c>
      <c r="G1751" s="263">
        <v>2022</v>
      </c>
      <c r="H1751" s="263"/>
      <c r="I1751" s="263" t="s">
        <v>2169</v>
      </c>
      <c r="J1751" s="272">
        <v>0</v>
      </c>
      <c r="K1751" s="271">
        <v>355.03000000000003</v>
      </c>
      <c r="L1751" s="271">
        <v>25.02</v>
      </c>
      <c r="M1751" s="270">
        <v>339.95</v>
      </c>
      <c r="N1751" s="129">
        <f t="shared" si="312"/>
        <v>0.93416655703196949</v>
      </c>
      <c r="O1751" s="129">
        <f t="shared" si="313"/>
        <v>0.96525000000000005</v>
      </c>
      <c r="P1751" s="129">
        <f t="shared" si="314"/>
        <v>0.51084923307145536</v>
      </c>
      <c r="Q1751" s="269"/>
      <c r="R1751" s="268"/>
    </row>
    <row r="1752" spans="1:18" s="4" customFormat="1" ht="15" customHeight="1">
      <c r="A1752" s="273" t="s">
        <v>2193</v>
      </c>
      <c r="B1752" s="263">
        <v>28</v>
      </c>
      <c r="C1752" s="263" t="s">
        <v>2178</v>
      </c>
      <c r="D1752" s="263" t="s">
        <v>2188</v>
      </c>
      <c r="E1752" s="263" t="s">
        <v>15</v>
      </c>
      <c r="F1752" s="263" t="s">
        <v>2158</v>
      </c>
      <c r="G1752" s="263">
        <v>2022</v>
      </c>
      <c r="H1752" s="263"/>
      <c r="I1752" s="263" t="s">
        <v>2159</v>
      </c>
      <c r="J1752" s="272">
        <v>0</v>
      </c>
      <c r="K1752" s="271">
        <v>275.08</v>
      </c>
      <c r="L1752" s="271">
        <v>150.38</v>
      </c>
      <c r="M1752" s="270">
        <v>294.54000000000002</v>
      </c>
      <c r="N1752" s="129">
        <f t="shared" ref="N1752:N1754" si="315">+K1752/(K1752+L1752)</f>
        <v>0.64654726648803651</v>
      </c>
      <c r="O1752" s="129">
        <f t="shared" ref="O1752:O1754" si="316">+(K1752+M1752)/(K1752+L1752+M1752)</f>
        <v>0.79113888888888895</v>
      </c>
      <c r="P1752" s="129">
        <f t="shared" ref="P1752:P1754" si="317">+K1752/(K1752+M1752)</f>
        <v>0.48291843685263858</v>
      </c>
      <c r="Q1752" s="269"/>
      <c r="R1752" s="268"/>
    </row>
    <row r="1753" spans="1:18" s="4" customFormat="1" ht="15" customHeight="1">
      <c r="A1753" s="273" t="s">
        <v>2195</v>
      </c>
      <c r="B1753" s="263">
        <v>29</v>
      </c>
      <c r="C1753" s="263" t="s">
        <v>2178</v>
      </c>
      <c r="D1753" s="263" t="s">
        <v>2190</v>
      </c>
      <c r="E1753" s="263" t="s">
        <v>15</v>
      </c>
      <c r="F1753" s="263" t="s">
        <v>2168</v>
      </c>
      <c r="G1753" s="263">
        <v>2022</v>
      </c>
      <c r="H1753" s="263"/>
      <c r="I1753" s="263" t="s">
        <v>2169</v>
      </c>
      <c r="J1753" s="272">
        <v>0</v>
      </c>
      <c r="K1753" s="271">
        <v>347.49000000000007</v>
      </c>
      <c r="L1753" s="271">
        <v>29.439999999999998</v>
      </c>
      <c r="M1753" s="270">
        <v>343.06999999999988</v>
      </c>
      <c r="N1753" s="129">
        <f t="shared" si="315"/>
        <v>0.92189531212692011</v>
      </c>
      <c r="O1753" s="129">
        <f t="shared" si="316"/>
        <v>0.95911111111111103</v>
      </c>
      <c r="P1753" s="129">
        <f t="shared" si="317"/>
        <v>0.5032003012048194</v>
      </c>
      <c r="Q1753" s="269"/>
      <c r="R1753" s="268"/>
    </row>
    <row r="1754" spans="1:18" s="4" customFormat="1" ht="15" customHeight="1">
      <c r="A1754" s="273" t="s">
        <v>2197</v>
      </c>
      <c r="B1754" s="263">
        <v>30</v>
      </c>
      <c r="C1754" s="263" t="s">
        <v>2178</v>
      </c>
      <c r="D1754" s="277" t="s">
        <v>2192</v>
      </c>
      <c r="E1754" s="263" t="s">
        <v>15</v>
      </c>
      <c r="F1754" s="263" t="s">
        <v>2158</v>
      </c>
      <c r="G1754" s="263">
        <v>2022</v>
      </c>
      <c r="H1754" s="263"/>
      <c r="I1754" s="263" t="s">
        <v>2159</v>
      </c>
      <c r="J1754" s="272">
        <v>0</v>
      </c>
      <c r="K1754" s="271">
        <v>301.63</v>
      </c>
      <c r="L1754" s="271">
        <v>101.84</v>
      </c>
      <c r="M1754" s="270">
        <v>316.52999999999997</v>
      </c>
      <c r="N1754" s="129">
        <f t="shared" si="315"/>
        <v>0.74758965970208435</v>
      </c>
      <c r="O1754" s="129">
        <f t="shared" si="316"/>
        <v>0.85855555555555552</v>
      </c>
      <c r="P1754" s="129">
        <f t="shared" si="317"/>
        <v>0.48794810405073125</v>
      </c>
      <c r="Q1754" s="269"/>
      <c r="R1754" s="268"/>
    </row>
    <row r="1755" spans="1:18" s="4" customFormat="1" ht="15" customHeight="1">
      <c r="A1755" s="273" t="s">
        <v>2193</v>
      </c>
      <c r="B1755" s="263">
        <v>31</v>
      </c>
      <c r="C1755" s="263" t="s">
        <v>2178</v>
      </c>
      <c r="D1755" s="263" t="s">
        <v>2194</v>
      </c>
      <c r="E1755" s="263" t="s">
        <v>15</v>
      </c>
      <c r="F1755" s="263" t="s">
        <v>2158</v>
      </c>
      <c r="G1755" s="263">
        <v>2022</v>
      </c>
      <c r="H1755" s="263"/>
      <c r="I1755" s="263" t="s">
        <v>2159</v>
      </c>
      <c r="J1755" s="272">
        <v>0</v>
      </c>
      <c r="K1755" s="271">
        <v>216.46999999999997</v>
      </c>
      <c r="L1755" s="271">
        <v>261.84000000000003</v>
      </c>
      <c r="M1755" s="270">
        <v>241.69</v>
      </c>
      <c r="N1755" s="129">
        <f t="shared" ref="N1755:N1757" si="318">+K1755/(K1755+L1755)</f>
        <v>0.45257259936024746</v>
      </c>
      <c r="O1755" s="129">
        <f t="shared" ref="O1755:O1757" si="319">+(K1755+M1755)/(K1755+L1755+M1755)</f>
        <v>0.63633333333333331</v>
      </c>
      <c r="P1755" s="129">
        <f t="shared" ref="P1755:P1757" si="320">+K1755/(K1755+M1755)</f>
        <v>0.47247686397764971</v>
      </c>
      <c r="Q1755" s="269"/>
      <c r="R1755" s="268"/>
    </row>
    <row r="1756" spans="1:18" s="4" customFormat="1" ht="15" customHeight="1">
      <c r="A1756" s="273" t="s">
        <v>2195</v>
      </c>
      <c r="B1756" s="263">
        <v>32</v>
      </c>
      <c r="C1756" s="263" t="s">
        <v>2178</v>
      </c>
      <c r="D1756" s="263" t="s">
        <v>2196</v>
      </c>
      <c r="E1756" s="263" t="s">
        <v>15</v>
      </c>
      <c r="F1756" s="263" t="s">
        <v>2168</v>
      </c>
      <c r="G1756" s="263">
        <v>2022</v>
      </c>
      <c r="H1756" s="263"/>
      <c r="I1756" s="263" t="s">
        <v>2169</v>
      </c>
      <c r="J1756" s="272">
        <v>0</v>
      </c>
      <c r="K1756" s="271">
        <v>323.70000000000005</v>
      </c>
      <c r="L1756" s="271">
        <v>49</v>
      </c>
      <c r="M1756" s="270">
        <v>347.29999999999995</v>
      </c>
      <c r="N1756" s="129">
        <f t="shared" si="318"/>
        <v>0.86852696538771135</v>
      </c>
      <c r="O1756" s="129">
        <f t="shared" si="319"/>
        <v>0.93194444444444446</v>
      </c>
      <c r="P1756" s="129">
        <f t="shared" si="320"/>
        <v>0.48241430700447102</v>
      </c>
      <c r="Q1756" s="269"/>
      <c r="R1756" s="268"/>
    </row>
    <row r="1757" spans="1:18" s="4" customFormat="1" ht="15" customHeight="1">
      <c r="A1757" s="273" t="s">
        <v>2197</v>
      </c>
      <c r="B1757" s="263">
        <v>33</v>
      </c>
      <c r="C1757" s="263" t="s">
        <v>2178</v>
      </c>
      <c r="D1757" s="277" t="s">
        <v>2198</v>
      </c>
      <c r="E1757" s="263" t="s">
        <v>15</v>
      </c>
      <c r="F1757" s="263" t="s">
        <v>2168</v>
      </c>
      <c r="G1757" s="263">
        <v>2022</v>
      </c>
      <c r="H1757" s="263"/>
      <c r="I1757" s="263" t="s">
        <v>2169</v>
      </c>
      <c r="J1757" s="272">
        <v>0</v>
      </c>
      <c r="K1757" s="271">
        <v>343.46</v>
      </c>
      <c r="L1757" s="271">
        <v>19.5</v>
      </c>
      <c r="M1757" s="270">
        <v>357.04</v>
      </c>
      <c r="N1757" s="129">
        <f t="shared" si="318"/>
        <v>0.94627507163323787</v>
      </c>
      <c r="O1757" s="129">
        <f t="shared" si="319"/>
        <v>0.97291666666666665</v>
      </c>
      <c r="P1757" s="129">
        <f t="shared" si="320"/>
        <v>0.49030692362598144</v>
      </c>
      <c r="Q1757" s="269"/>
      <c r="R1757" s="268"/>
    </row>
    <row r="1758" spans="1:18" s="4" customFormat="1" ht="15" customHeight="1" thickBot="1">
      <c r="A1758" s="274"/>
      <c r="B1758" s="333" t="s">
        <v>22</v>
      </c>
      <c r="C1758" s="334"/>
      <c r="D1758" s="334"/>
      <c r="E1758" s="335"/>
      <c r="F1758" s="70">
        <f>COUNTA(F1725:F1757)</f>
        <v>33</v>
      </c>
      <c r="G1758" s="264"/>
      <c r="H1758" s="263"/>
      <c r="I1758" s="263"/>
      <c r="J1758" s="263"/>
      <c r="K1758" s="263"/>
      <c r="L1758" s="263"/>
      <c r="M1758" s="263"/>
      <c r="N1758" s="263"/>
      <c r="O1758" s="263"/>
      <c r="P1758" s="263"/>
      <c r="Q1758" s="263"/>
      <c r="R1758" s="268"/>
    </row>
    <row r="1759" spans="1:18" s="4" customFormat="1" ht="15" customHeight="1">
      <c r="A1759" s="64"/>
      <c r="B1759" s="330" t="s">
        <v>657</v>
      </c>
      <c r="C1759" s="331"/>
      <c r="D1759" s="331"/>
      <c r="E1759" s="331"/>
      <c r="F1759" s="331"/>
      <c r="G1759" s="331"/>
      <c r="H1759" s="331"/>
      <c r="I1759" s="332"/>
      <c r="J1759" s="252"/>
      <c r="K1759" s="253"/>
      <c r="L1759" s="253"/>
      <c r="M1759" s="253"/>
      <c r="N1759" s="186"/>
      <c r="O1759" s="186"/>
      <c r="P1759" s="186"/>
      <c r="Q1759" s="255"/>
      <c r="R1759" s="5"/>
    </row>
    <row r="1760" spans="1:18" s="4" customFormat="1" ht="15" customHeight="1">
      <c r="A1760" s="64"/>
      <c r="B1760" s="7">
        <v>1</v>
      </c>
      <c r="C1760" s="211" t="s">
        <v>10</v>
      </c>
      <c r="D1760" s="263" t="s">
        <v>658</v>
      </c>
      <c r="E1760" s="263"/>
      <c r="F1760" s="263" t="s">
        <v>228</v>
      </c>
      <c r="G1760" s="263"/>
      <c r="H1760" s="263" t="s">
        <v>148</v>
      </c>
      <c r="I1760" s="263" t="s">
        <v>659</v>
      </c>
      <c r="J1760" s="5"/>
      <c r="R1760" s="5" t="b">
        <f t="shared" ref="R1760:R1823" si="321">IF(O1760&gt;89.9999999999999%,"PAMA")</f>
        <v>0</v>
      </c>
    </row>
    <row r="1761" spans="1:18" s="4" customFormat="1" ht="15" customHeight="1">
      <c r="A1761" s="64"/>
      <c r="B1761" s="7">
        <f t="shared" si="270"/>
        <v>2</v>
      </c>
      <c r="C1761" s="211" t="s">
        <v>10</v>
      </c>
      <c r="D1761" s="263" t="s">
        <v>660</v>
      </c>
      <c r="E1761" s="263"/>
      <c r="F1761" s="263" t="s">
        <v>150</v>
      </c>
      <c r="G1761" s="263"/>
      <c r="H1761" s="263" t="s">
        <v>151</v>
      </c>
      <c r="I1761" s="263" t="s">
        <v>661</v>
      </c>
      <c r="J1761" s="16"/>
      <c r="K1761" s="1"/>
      <c r="M1761" s="1"/>
      <c r="N1761" s="1"/>
      <c r="O1761" s="1"/>
      <c r="P1761" s="1"/>
      <c r="Q1761" s="95"/>
      <c r="R1761" s="5" t="b">
        <f t="shared" si="321"/>
        <v>0</v>
      </c>
    </row>
    <row r="1762" spans="1:18" s="4" customFormat="1" ht="15" customHeight="1">
      <c r="A1762" s="64"/>
      <c r="B1762" s="7">
        <f t="shared" si="270"/>
        <v>3</v>
      </c>
      <c r="C1762" s="211" t="s">
        <v>10</v>
      </c>
      <c r="D1762" s="263" t="s">
        <v>662</v>
      </c>
      <c r="E1762" s="263"/>
      <c r="F1762" s="263" t="s">
        <v>150</v>
      </c>
      <c r="G1762" s="263"/>
      <c r="H1762" s="263" t="s">
        <v>151</v>
      </c>
      <c r="I1762" s="263" t="s">
        <v>661</v>
      </c>
      <c r="J1762" s="16"/>
      <c r="K1762" s="1"/>
      <c r="M1762" s="1"/>
      <c r="N1762" s="1"/>
      <c r="O1762" s="1"/>
      <c r="P1762" s="1"/>
      <c r="Q1762" s="95"/>
      <c r="R1762" s="5" t="b">
        <f t="shared" si="321"/>
        <v>0</v>
      </c>
    </row>
    <row r="1763" spans="1:18" s="4" customFormat="1" ht="15" customHeight="1">
      <c r="A1763" s="64"/>
      <c r="B1763" s="7">
        <f t="shared" si="270"/>
        <v>4</v>
      </c>
      <c r="C1763" s="211" t="s">
        <v>10</v>
      </c>
      <c r="D1763" s="263" t="s">
        <v>663</v>
      </c>
      <c r="E1763" s="263"/>
      <c r="F1763" s="263" t="s">
        <v>150</v>
      </c>
      <c r="G1763" s="263"/>
      <c r="H1763" s="263" t="s">
        <v>151</v>
      </c>
      <c r="I1763" s="263" t="s">
        <v>661</v>
      </c>
      <c r="J1763" s="16"/>
      <c r="K1763" s="1"/>
      <c r="M1763" s="1"/>
      <c r="N1763" s="1"/>
      <c r="O1763" s="1"/>
      <c r="P1763" s="1"/>
      <c r="Q1763" s="95"/>
      <c r="R1763" s="5" t="b">
        <f t="shared" si="321"/>
        <v>0</v>
      </c>
    </row>
    <row r="1764" spans="1:18" s="4" customFormat="1" ht="15" customHeight="1">
      <c r="A1764" s="64"/>
      <c r="B1764" s="7">
        <f t="shared" si="270"/>
        <v>5</v>
      </c>
      <c r="C1764" s="211" t="s">
        <v>10</v>
      </c>
      <c r="D1764" s="263" t="s">
        <v>664</v>
      </c>
      <c r="E1764" s="263"/>
      <c r="F1764" s="263" t="s">
        <v>150</v>
      </c>
      <c r="G1764" s="263"/>
      <c r="H1764" s="263" t="s">
        <v>151</v>
      </c>
      <c r="I1764" s="263" t="s">
        <v>661</v>
      </c>
      <c r="J1764" s="16"/>
      <c r="K1764" s="1"/>
      <c r="M1764" s="1"/>
      <c r="N1764" s="1"/>
      <c r="O1764" s="1"/>
      <c r="P1764" s="1"/>
      <c r="Q1764" s="95"/>
      <c r="R1764" s="5" t="b">
        <f t="shared" si="321"/>
        <v>0</v>
      </c>
    </row>
    <row r="1765" spans="1:18" s="4" customFormat="1" ht="15" customHeight="1">
      <c r="A1765" s="64"/>
      <c r="B1765" s="7">
        <f t="shared" si="270"/>
        <v>6</v>
      </c>
      <c r="C1765" s="211" t="s">
        <v>10</v>
      </c>
      <c r="D1765" s="263" t="s">
        <v>665</v>
      </c>
      <c r="E1765" s="263"/>
      <c r="F1765" s="263" t="s">
        <v>150</v>
      </c>
      <c r="G1765" s="263"/>
      <c r="H1765" s="263" t="s">
        <v>151</v>
      </c>
      <c r="I1765" s="263" t="s">
        <v>661</v>
      </c>
      <c r="J1765" s="16"/>
      <c r="K1765" s="1"/>
      <c r="M1765" s="1"/>
      <c r="N1765" s="1"/>
      <c r="O1765" s="1"/>
      <c r="P1765" s="1"/>
      <c r="Q1765" s="95"/>
      <c r="R1765" s="5" t="b">
        <f t="shared" si="321"/>
        <v>0</v>
      </c>
    </row>
    <row r="1766" spans="1:18" s="4" customFormat="1" ht="15" customHeight="1">
      <c r="A1766" s="64"/>
      <c r="B1766" s="7">
        <f t="shared" si="270"/>
        <v>7</v>
      </c>
      <c r="C1766" s="211" t="s">
        <v>10</v>
      </c>
      <c r="D1766" s="263" t="s">
        <v>666</v>
      </c>
      <c r="E1766" s="263"/>
      <c r="F1766" s="263" t="s">
        <v>150</v>
      </c>
      <c r="G1766" s="263"/>
      <c r="H1766" s="263" t="s">
        <v>151</v>
      </c>
      <c r="I1766" s="263" t="s">
        <v>659</v>
      </c>
      <c r="J1766" s="16"/>
      <c r="K1766" s="1"/>
      <c r="M1766" s="1"/>
      <c r="N1766" s="1"/>
      <c r="O1766" s="1"/>
      <c r="P1766" s="1"/>
      <c r="Q1766" s="95"/>
      <c r="R1766" s="5" t="b">
        <f t="shared" si="321"/>
        <v>0</v>
      </c>
    </row>
    <row r="1767" spans="1:18" s="4" customFormat="1" ht="15" customHeight="1">
      <c r="A1767" s="64"/>
      <c r="B1767" s="7">
        <f t="shared" si="270"/>
        <v>8</v>
      </c>
      <c r="C1767" s="211" t="s">
        <v>10</v>
      </c>
      <c r="D1767" s="263" t="s">
        <v>667</v>
      </c>
      <c r="E1767" s="263"/>
      <c r="F1767" s="263" t="s">
        <v>150</v>
      </c>
      <c r="G1767" s="263"/>
      <c r="H1767" s="263" t="s">
        <v>151</v>
      </c>
      <c r="I1767" s="263" t="s">
        <v>659</v>
      </c>
      <c r="J1767" s="16"/>
      <c r="K1767" s="1"/>
      <c r="M1767" s="1"/>
      <c r="N1767" s="1"/>
      <c r="O1767" s="1"/>
      <c r="P1767" s="1"/>
      <c r="Q1767" s="95"/>
      <c r="R1767" s="5" t="b">
        <f t="shared" si="321"/>
        <v>0</v>
      </c>
    </row>
    <row r="1768" spans="1:18" s="4" customFormat="1" ht="15" customHeight="1">
      <c r="A1768" s="64"/>
      <c r="B1768" s="7">
        <f t="shared" si="270"/>
        <v>9</v>
      </c>
      <c r="C1768" s="211" t="s">
        <v>10</v>
      </c>
      <c r="D1768" s="263" t="s">
        <v>668</v>
      </c>
      <c r="E1768" s="263"/>
      <c r="F1768" s="263" t="s">
        <v>150</v>
      </c>
      <c r="G1768" s="263"/>
      <c r="H1768" s="263" t="s">
        <v>151</v>
      </c>
      <c r="I1768" s="263" t="s">
        <v>669</v>
      </c>
      <c r="J1768" s="16"/>
      <c r="K1768" s="1"/>
      <c r="M1768" s="1"/>
      <c r="N1768" s="1"/>
      <c r="O1768" s="1"/>
      <c r="P1768" s="1"/>
      <c r="Q1768" s="95"/>
      <c r="R1768" s="5" t="b">
        <f t="shared" si="321"/>
        <v>0</v>
      </c>
    </row>
    <row r="1769" spans="1:18" s="4" customFormat="1" ht="15" customHeight="1">
      <c r="A1769" s="64"/>
      <c r="B1769" s="7">
        <f t="shared" si="270"/>
        <v>10</v>
      </c>
      <c r="C1769" s="211" t="s">
        <v>10</v>
      </c>
      <c r="D1769" s="263" t="s">
        <v>670</v>
      </c>
      <c r="E1769" s="263"/>
      <c r="F1769" s="263" t="s">
        <v>150</v>
      </c>
      <c r="G1769" s="263"/>
      <c r="H1769" s="263" t="s">
        <v>151</v>
      </c>
      <c r="I1769" s="263" t="s">
        <v>661</v>
      </c>
      <c r="J1769" s="16"/>
      <c r="K1769" s="1"/>
      <c r="M1769" s="1"/>
      <c r="N1769" s="1"/>
      <c r="O1769" s="1"/>
      <c r="P1769" s="1"/>
      <c r="Q1769" s="95"/>
      <c r="R1769" s="5" t="b">
        <f t="shared" si="321"/>
        <v>0</v>
      </c>
    </row>
    <row r="1770" spans="1:18" s="4" customFormat="1" ht="15" customHeight="1">
      <c r="A1770" s="64"/>
      <c r="B1770" s="7">
        <f t="shared" ref="B1770:B1833" si="322">B1769+1</f>
        <v>11</v>
      </c>
      <c r="C1770" s="211" t="s">
        <v>10</v>
      </c>
      <c r="D1770" s="263" t="s">
        <v>671</v>
      </c>
      <c r="E1770" s="263"/>
      <c r="F1770" s="263" t="s">
        <v>150</v>
      </c>
      <c r="G1770" s="263"/>
      <c r="H1770" s="263" t="s">
        <v>151</v>
      </c>
      <c r="I1770" s="263" t="s">
        <v>661</v>
      </c>
      <c r="J1770" s="16"/>
      <c r="K1770" s="1"/>
      <c r="M1770" s="1"/>
      <c r="N1770" s="1"/>
      <c r="O1770" s="1"/>
      <c r="P1770" s="1"/>
      <c r="Q1770" s="95"/>
      <c r="R1770" s="5" t="b">
        <f t="shared" si="321"/>
        <v>0</v>
      </c>
    </row>
    <row r="1771" spans="1:18" s="4" customFormat="1" ht="15" customHeight="1">
      <c r="A1771" s="64"/>
      <c r="B1771" s="7">
        <f t="shared" si="322"/>
        <v>12</v>
      </c>
      <c r="C1771" s="211" t="s">
        <v>10</v>
      </c>
      <c r="D1771" s="263" t="s">
        <v>672</v>
      </c>
      <c r="E1771" s="263"/>
      <c r="F1771" s="263" t="s">
        <v>150</v>
      </c>
      <c r="G1771" s="263"/>
      <c r="H1771" s="263" t="s">
        <v>151</v>
      </c>
      <c r="I1771" s="263" t="s">
        <v>669</v>
      </c>
      <c r="J1771" s="16"/>
      <c r="K1771" s="1"/>
      <c r="M1771" s="1"/>
      <c r="N1771" s="1"/>
      <c r="O1771" s="1"/>
      <c r="P1771" s="1"/>
      <c r="Q1771" s="95"/>
      <c r="R1771" s="5" t="b">
        <f t="shared" si="321"/>
        <v>0</v>
      </c>
    </row>
    <row r="1772" spans="1:18" s="4" customFormat="1" ht="15" customHeight="1">
      <c r="A1772" s="64"/>
      <c r="B1772" s="7">
        <f t="shared" si="322"/>
        <v>13</v>
      </c>
      <c r="C1772" s="211" t="s">
        <v>10</v>
      </c>
      <c r="D1772" s="263" t="s">
        <v>673</v>
      </c>
      <c r="E1772" s="263"/>
      <c r="F1772" s="263" t="s">
        <v>150</v>
      </c>
      <c r="G1772" s="263"/>
      <c r="H1772" s="263" t="s">
        <v>151</v>
      </c>
      <c r="I1772" s="263" t="s">
        <v>669</v>
      </c>
      <c r="J1772" s="16"/>
      <c r="K1772" s="1"/>
      <c r="M1772" s="1"/>
      <c r="N1772" s="1"/>
      <c r="O1772" s="1"/>
      <c r="P1772" s="1"/>
      <c r="Q1772" s="95"/>
      <c r="R1772" s="5" t="b">
        <f t="shared" si="321"/>
        <v>0</v>
      </c>
    </row>
    <row r="1773" spans="1:18" s="4" customFormat="1" ht="15" customHeight="1">
      <c r="A1773" s="64"/>
      <c r="B1773" s="7">
        <f>B1772+1</f>
        <v>14</v>
      </c>
      <c r="C1773" s="211" t="s">
        <v>10</v>
      </c>
      <c r="D1773" s="263" t="s">
        <v>674</v>
      </c>
      <c r="E1773" s="263"/>
      <c r="F1773" s="263" t="s">
        <v>150</v>
      </c>
      <c r="G1773" s="263"/>
      <c r="H1773" s="263" t="s">
        <v>151</v>
      </c>
      <c r="I1773" s="263" t="s">
        <v>669</v>
      </c>
      <c r="J1773" s="16"/>
      <c r="K1773" s="1"/>
      <c r="M1773" s="1"/>
      <c r="N1773" s="1"/>
      <c r="O1773" s="1"/>
      <c r="P1773" s="1"/>
      <c r="Q1773" s="95"/>
      <c r="R1773" s="5" t="b">
        <f t="shared" si="321"/>
        <v>0</v>
      </c>
    </row>
    <row r="1774" spans="1:18" s="4" customFormat="1" ht="15" customHeight="1">
      <c r="A1774" s="64"/>
      <c r="B1774" s="7">
        <f t="shared" si="322"/>
        <v>15</v>
      </c>
      <c r="C1774" s="211" t="s">
        <v>10</v>
      </c>
      <c r="D1774" s="263" t="s">
        <v>675</v>
      </c>
      <c r="E1774" s="263"/>
      <c r="F1774" s="263" t="s">
        <v>150</v>
      </c>
      <c r="G1774" s="263"/>
      <c r="H1774" s="263" t="s">
        <v>151</v>
      </c>
      <c r="I1774" s="263" t="s">
        <v>661</v>
      </c>
      <c r="J1774" s="16"/>
      <c r="K1774" s="1"/>
      <c r="M1774" s="1"/>
      <c r="N1774" s="1"/>
      <c r="O1774" s="1"/>
      <c r="P1774" s="1"/>
      <c r="Q1774" s="95"/>
      <c r="R1774" s="5" t="b">
        <f t="shared" si="321"/>
        <v>0</v>
      </c>
    </row>
    <row r="1775" spans="1:18" s="4" customFormat="1" ht="15" customHeight="1">
      <c r="A1775" s="64"/>
      <c r="B1775" s="7">
        <f t="shared" si="322"/>
        <v>16</v>
      </c>
      <c r="C1775" s="211" t="s">
        <v>10</v>
      </c>
      <c r="D1775" s="263" t="s">
        <v>676</v>
      </c>
      <c r="E1775" s="263"/>
      <c r="F1775" s="263" t="s">
        <v>150</v>
      </c>
      <c r="G1775" s="263"/>
      <c r="H1775" s="263" t="s">
        <v>151</v>
      </c>
      <c r="I1775" s="263" t="s">
        <v>661</v>
      </c>
      <c r="J1775" s="16"/>
      <c r="K1775" s="1"/>
      <c r="M1775" s="1"/>
      <c r="N1775" s="1"/>
      <c r="O1775" s="1"/>
      <c r="P1775" s="1"/>
      <c r="Q1775" s="95"/>
      <c r="R1775" s="5" t="b">
        <f t="shared" si="321"/>
        <v>0</v>
      </c>
    </row>
    <row r="1776" spans="1:18" s="4" customFormat="1" ht="15" customHeight="1">
      <c r="A1776" s="64"/>
      <c r="B1776" s="7">
        <f t="shared" si="322"/>
        <v>17</v>
      </c>
      <c r="C1776" s="211" t="s">
        <v>10</v>
      </c>
      <c r="D1776" s="263" t="s">
        <v>677</v>
      </c>
      <c r="E1776" s="263"/>
      <c r="F1776" s="263" t="s">
        <v>150</v>
      </c>
      <c r="G1776" s="263"/>
      <c r="H1776" s="263" t="s">
        <v>151</v>
      </c>
      <c r="I1776" s="263" t="s">
        <v>661</v>
      </c>
      <c r="J1776" s="16"/>
      <c r="K1776" s="1"/>
      <c r="M1776" s="1"/>
      <c r="N1776" s="1"/>
      <c r="O1776" s="1"/>
      <c r="P1776" s="1"/>
      <c r="Q1776" s="95"/>
      <c r="R1776" s="5" t="b">
        <f t="shared" si="321"/>
        <v>0</v>
      </c>
    </row>
    <row r="1777" spans="1:18" s="4" customFormat="1" ht="15" customHeight="1">
      <c r="A1777" s="64"/>
      <c r="B1777" s="7">
        <f t="shared" si="322"/>
        <v>18</v>
      </c>
      <c r="C1777" s="211" t="s">
        <v>10</v>
      </c>
      <c r="D1777" s="263" t="s">
        <v>678</v>
      </c>
      <c r="E1777" s="263"/>
      <c r="F1777" s="263" t="s">
        <v>150</v>
      </c>
      <c r="G1777" s="263"/>
      <c r="H1777" s="263" t="s">
        <v>151</v>
      </c>
      <c r="I1777" s="263" t="s">
        <v>679</v>
      </c>
      <c r="J1777" s="16"/>
      <c r="K1777" s="1"/>
      <c r="M1777" s="1"/>
      <c r="N1777" s="1"/>
      <c r="O1777" s="1"/>
      <c r="P1777" s="1"/>
      <c r="Q1777" s="95"/>
      <c r="R1777" s="5" t="b">
        <f t="shared" si="321"/>
        <v>0</v>
      </c>
    </row>
    <row r="1778" spans="1:18" s="4" customFormat="1" ht="15" customHeight="1">
      <c r="A1778" s="64"/>
      <c r="B1778" s="7">
        <f t="shared" si="322"/>
        <v>19</v>
      </c>
      <c r="C1778" s="211" t="s">
        <v>10</v>
      </c>
      <c r="D1778" s="263" t="s">
        <v>680</v>
      </c>
      <c r="E1778" s="263"/>
      <c r="F1778" s="263" t="s">
        <v>681</v>
      </c>
      <c r="G1778" s="263"/>
      <c r="H1778" s="263"/>
      <c r="I1778" s="263" t="s">
        <v>152</v>
      </c>
      <c r="J1778" s="16"/>
      <c r="K1778" s="1"/>
      <c r="M1778" s="1"/>
      <c r="N1778" s="1"/>
      <c r="O1778" s="1"/>
      <c r="P1778" s="1"/>
      <c r="Q1778" s="95"/>
      <c r="R1778" s="5" t="b">
        <f t="shared" si="321"/>
        <v>0</v>
      </c>
    </row>
    <row r="1779" spans="1:18" s="4" customFormat="1" ht="15" customHeight="1">
      <c r="A1779" s="64"/>
      <c r="B1779" s="7">
        <f t="shared" si="322"/>
        <v>20</v>
      </c>
      <c r="C1779" s="211" t="s">
        <v>10</v>
      </c>
      <c r="D1779" s="263" t="s">
        <v>682</v>
      </c>
      <c r="E1779" s="263"/>
      <c r="F1779" s="263" t="s">
        <v>681</v>
      </c>
      <c r="G1779" s="263"/>
      <c r="H1779" s="263"/>
      <c r="I1779" s="263"/>
      <c r="J1779" s="16"/>
      <c r="K1779" s="1"/>
      <c r="M1779" s="1"/>
      <c r="N1779" s="1"/>
      <c r="O1779" s="1"/>
      <c r="P1779" s="1"/>
      <c r="Q1779" s="95"/>
      <c r="R1779" s="5" t="b">
        <f t="shared" si="321"/>
        <v>0</v>
      </c>
    </row>
    <row r="1780" spans="1:18" s="4" customFormat="1" ht="15" customHeight="1">
      <c r="A1780" s="64"/>
      <c r="B1780" s="7">
        <f t="shared" si="322"/>
        <v>21</v>
      </c>
      <c r="C1780" s="211" t="s">
        <v>10</v>
      </c>
      <c r="D1780" s="263" t="s">
        <v>683</v>
      </c>
      <c r="E1780" s="263"/>
      <c r="F1780" s="263" t="s">
        <v>681</v>
      </c>
      <c r="G1780" s="263"/>
      <c r="H1780" s="263"/>
      <c r="I1780" s="263"/>
      <c r="J1780" s="16"/>
      <c r="K1780" s="1"/>
      <c r="M1780" s="1"/>
      <c r="N1780" s="1"/>
      <c r="O1780" s="1"/>
      <c r="P1780" s="1"/>
      <c r="Q1780" s="95"/>
      <c r="R1780" s="5" t="b">
        <f t="shared" si="321"/>
        <v>0</v>
      </c>
    </row>
    <row r="1781" spans="1:18" s="4" customFormat="1" ht="15" customHeight="1">
      <c r="A1781" s="64"/>
      <c r="B1781" s="7">
        <f t="shared" si="322"/>
        <v>22</v>
      </c>
      <c r="C1781" s="211" t="s">
        <v>10</v>
      </c>
      <c r="D1781" s="263" t="s">
        <v>684</v>
      </c>
      <c r="E1781" s="263"/>
      <c r="F1781" s="263" t="s">
        <v>681</v>
      </c>
      <c r="G1781" s="263"/>
      <c r="H1781" s="263"/>
      <c r="I1781" s="263"/>
      <c r="J1781" s="16"/>
      <c r="K1781" s="1"/>
      <c r="M1781" s="1"/>
      <c r="N1781" s="1"/>
      <c r="O1781" s="1"/>
      <c r="P1781" s="1"/>
      <c r="Q1781" s="95"/>
      <c r="R1781" s="5" t="b">
        <f t="shared" si="321"/>
        <v>0</v>
      </c>
    </row>
    <row r="1782" spans="1:18" s="4" customFormat="1" ht="15" customHeight="1">
      <c r="A1782" s="64"/>
      <c r="B1782" s="7">
        <f t="shared" si="322"/>
        <v>23</v>
      </c>
      <c r="C1782" s="211" t="s">
        <v>10</v>
      </c>
      <c r="D1782" s="263" t="s">
        <v>685</v>
      </c>
      <c r="E1782" s="263"/>
      <c r="F1782" s="263" t="s">
        <v>681</v>
      </c>
      <c r="G1782" s="263"/>
      <c r="H1782" s="263"/>
      <c r="I1782" s="263" t="s">
        <v>686</v>
      </c>
      <c r="J1782" s="16"/>
      <c r="K1782" s="1"/>
      <c r="M1782" s="1"/>
      <c r="N1782" s="1"/>
      <c r="O1782" s="1"/>
      <c r="P1782" s="1"/>
      <c r="Q1782" s="95"/>
      <c r="R1782" s="5" t="b">
        <f t="shared" si="321"/>
        <v>0</v>
      </c>
    </row>
    <row r="1783" spans="1:18" s="4" customFormat="1" ht="15" customHeight="1">
      <c r="A1783" s="64"/>
      <c r="B1783" s="7">
        <f t="shared" si="322"/>
        <v>24</v>
      </c>
      <c r="C1783" s="211" t="s">
        <v>10</v>
      </c>
      <c r="D1783" s="263" t="s">
        <v>687</v>
      </c>
      <c r="E1783" s="263"/>
      <c r="F1783" s="263" t="s">
        <v>681</v>
      </c>
      <c r="G1783" s="263"/>
      <c r="H1783" s="263"/>
      <c r="I1783" s="263" t="s">
        <v>686</v>
      </c>
      <c r="J1783" s="16"/>
      <c r="K1783" s="1"/>
      <c r="M1783" s="1"/>
      <c r="N1783" s="1"/>
      <c r="O1783" s="1"/>
      <c r="P1783" s="1"/>
      <c r="Q1783" s="95"/>
      <c r="R1783" s="5" t="b">
        <f t="shared" si="321"/>
        <v>0</v>
      </c>
    </row>
    <row r="1784" spans="1:18" s="4" customFormat="1" ht="15" customHeight="1">
      <c r="A1784" s="64"/>
      <c r="B1784" s="7">
        <f t="shared" si="322"/>
        <v>25</v>
      </c>
      <c r="C1784" s="211" t="s">
        <v>10</v>
      </c>
      <c r="D1784" s="263" t="s">
        <v>688</v>
      </c>
      <c r="E1784" s="263"/>
      <c r="F1784" s="263" t="s">
        <v>689</v>
      </c>
      <c r="G1784" s="263"/>
      <c r="H1784" s="263"/>
      <c r="I1784" s="263"/>
      <c r="J1784" s="16"/>
      <c r="K1784" s="1"/>
      <c r="M1784" s="1"/>
      <c r="N1784" s="1"/>
      <c r="O1784" s="1"/>
      <c r="P1784" s="1"/>
      <c r="Q1784" s="95"/>
      <c r="R1784" s="5" t="b">
        <f t="shared" si="321"/>
        <v>0</v>
      </c>
    </row>
    <row r="1785" spans="1:18" s="4" customFormat="1" ht="15" customHeight="1">
      <c r="A1785" s="64"/>
      <c r="B1785" s="7">
        <f t="shared" si="322"/>
        <v>26</v>
      </c>
      <c r="C1785" s="211" t="s">
        <v>10</v>
      </c>
      <c r="D1785" s="263" t="s">
        <v>690</v>
      </c>
      <c r="E1785" s="263"/>
      <c r="F1785" s="263" t="s">
        <v>689</v>
      </c>
      <c r="G1785" s="263"/>
      <c r="H1785" s="263"/>
      <c r="I1785" s="263"/>
      <c r="J1785" s="16"/>
      <c r="K1785" s="1"/>
      <c r="M1785" s="1"/>
      <c r="N1785" s="1"/>
      <c r="O1785" s="1"/>
      <c r="P1785" s="1"/>
      <c r="Q1785" s="95"/>
      <c r="R1785" s="5" t="b">
        <f t="shared" si="321"/>
        <v>0</v>
      </c>
    </row>
    <row r="1786" spans="1:18" s="4" customFormat="1" ht="15" customHeight="1">
      <c r="A1786" s="64"/>
      <c r="B1786" s="7">
        <f t="shared" si="322"/>
        <v>27</v>
      </c>
      <c r="C1786" s="211" t="s">
        <v>10</v>
      </c>
      <c r="D1786" s="263" t="s">
        <v>691</v>
      </c>
      <c r="E1786" s="263"/>
      <c r="F1786" s="263" t="s">
        <v>692</v>
      </c>
      <c r="G1786" s="263"/>
      <c r="H1786" s="263"/>
      <c r="I1786" s="263"/>
      <c r="J1786" s="16"/>
      <c r="K1786" s="1"/>
      <c r="M1786" s="1"/>
      <c r="N1786" s="1"/>
      <c r="O1786" s="1"/>
      <c r="P1786" s="1"/>
      <c r="Q1786" s="95"/>
      <c r="R1786" s="5" t="b">
        <f t="shared" si="321"/>
        <v>0</v>
      </c>
    </row>
    <row r="1787" spans="1:18" s="4" customFormat="1" ht="15" customHeight="1">
      <c r="A1787" s="64"/>
      <c r="B1787" s="7">
        <f t="shared" si="322"/>
        <v>28</v>
      </c>
      <c r="C1787" s="211" t="s">
        <v>10</v>
      </c>
      <c r="D1787" s="263" t="s">
        <v>693</v>
      </c>
      <c r="E1787" s="263"/>
      <c r="F1787" s="263" t="s">
        <v>153</v>
      </c>
      <c r="G1787" s="263"/>
      <c r="H1787" s="263"/>
      <c r="I1787" s="263" t="s">
        <v>694</v>
      </c>
      <c r="J1787" s="16"/>
      <c r="K1787" s="1"/>
      <c r="M1787" s="1"/>
      <c r="N1787" s="1"/>
      <c r="O1787" s="1"/>
      <c r="P1787" s="1"/>
      <c r="Q1787" s="95"/>
      <c r="R1787" s="5" t="b">
        <f t="shared" si="321"/>
        <v>0</v>
      </c>
    </row>
    <row r="1788" spans="1:18" s="4" customFormat="1" ht="15" customHeight="1">
      <c r="A1788" s="64"/>
      <c r="B1788" s="7">
        <f t="shared" si="322"/>
        <v>29</v>
      </c>
      <c r="C1788" s="211" t="s">
        <v>10</v>
      </c>
      <c r="D1788" s="263" t="s">
        <v>695</v>
      </c>
      <c r="E1788" s="263"/>
      <c r="F1788" s="263" t="s">
        <v>153</v>
      </c>
      <c r="G1788" s="263"/>
      <c r="H1788" s="263"/>
      <c r="I1788" s="263" t="s">
        <v>694</v>
      </c>
      <c r="J1788" s="16"/>
      <c r="K1788" s="1"/>
      <c r="M1788" s="1"/>
      <c r="N1788" s="1"/>
      <c r="O1788" s="1"/>
      <c r="P1788" s="1"/>
      <c r="Q1788" s="95"/>
      <c r="R1788" s="5" t="b">
        <f t="shared" si="321"/>
        <v>0</v>
      </c>
    </row>
    <row r="1789" spans="1:18" s="4" customFormat="1" ht="15" customHeight="1">
      <c r="A1789" s="64"/>
      <c r="B1789" s="7">
        <f t="shared" si="322"/>
        <v>30</v>
      </c>
      <c r="C1789" s="211" t="s">
        <v>10</v>
      </c>
      <c r="D1789" s="263" t="s">
        <v>696</v>
      </c>
      <c r="E1789" s="263"/>
      <c r="F1789" s="263" t="s">
        <v>153</v>
      </c>
      <c r="G1789" s="263"/>
      <c r="H1789" s="263"/>
      <c r="I1789" s="263" t="s">
        <v>694</v>
      </c>
      <c r="J1789" s="16"/>
      <c r="K1789" s="1"/>
      <c r="M1789" s="1"/>
      <c r="N1789" s="1"/>
      <c r="O1789" s="1"/>
      <c r="P1789" s="1"/>
      <c r="Q1789" s="95"/>
      <c r="R1789" s="5" t="b">
        <f t="shared" si="321"/>
        <v>0</v>
      </c>
    </row>
    <row r="1790" spans="1:18" s="4" customFormat="1" ht="15" customHeight="1">
      <c r="A1790" s="64"/>
      <c r="B1790" s="7">
        <f t="shared" si="322"/>
        <v>31</v>
      </c>
      <c r="C1790" s="211" t="s">
        <v>10</v>
      </c>
      <c r="D1790" s="263" t="s">
        <v>697</v>
      </c>
      <c r="E1790" s="263"/>
      <c r="F1790" s="263" t="s">
        <v>153</v>
      </c>
      <c r="G1790" s="263"/>
      <c r="H1790" s="263"/>
      <c r="I1790" s="263" t="s">
        <v>694</v>
      </c>
      <c r="J1790" s="16"/>
      <c r="K1790" s="1"/>
      <c r="M1790" s="1"/>
      <c r="N1790" s="1"/>
      <c r="O1790" s="1"/>
      <c r="P1790" s="1"/>
      <c r="Q1790" s="95"/>
      <c r="R1790" s="5" t="b">
        <f t="shared" si="321"/>
        <v>0</v>
      </c>
    </row>
    <row r="1791" spans="1:18" s="4" customFormat="1" ht="15" customHeight="1">
      <c r="A1791" s="64"/>
      <c r="B1791" s="7">
        <f t="shared" si="322"/>
        <v>32</v>
      </c>
      <c r="C1791" s="211" t="s">
        <v>10</v>
      </c>
      <c r="D1791" s="263" t="s">
        <v>698</v>
      </c>
      <c r="E1791" s="263"/>
      <c r="F1791" s="263" t="s">
        <v>153</v>
      </c>
      <c r="G1791" s="263"/>
      <c r="H1791" s="263"/>
      <c r="I1791" s="263" t="s">
        <v>694</v>
      </c>
      <c r="J1791" s="16"/>
      <c r="K1791" s="1"/>
      <c r="M1791" s="1"/>
      <c r="N1791" s="1"/>
      <c r="O1791" s="1"/>
      <c r="P1791" s="1"/>
      <c r="Q1791" s="95"/>
      <c r="R1791" s="5" t="b">
        <f t="shared" si="321"/>
        <v>0</v>
      </c>
    </row>
    <row r="1792" spans="1:18" s="4" customFormat="1" ht="15" customHeight="1">
      <c r="A1792" s="64"/>
      <c r="B1792" s="7">
        <f t="shared" si="322"/>
        <v>33</v>
      </c>
      <c r="C1792" s="211" t="s">
        <v>10</v>
      </c>
      <c r="D1792" s="263" t="s">
        <v>699</v>
      </c>
      <c r="E1792" s="263"/>
      <c r="F1792" s="263" t="s">
        <v>153</v>
      </c>
      <c r="G1792" s="263"/>
      <c r="H1792" s="263"/>
      <c r="I1792" s="263"/>
      <c r="J1792" s="16"/>
      <c r="K1792" s="1"/>
      <c r="M1792" s="1"/>
      <c r="N1792" s="1"/>
      <c r="O1792" s="1"/>
      <c r="P1792" s="1"/>
      <c r="Q1792" s="95"/>
      <c r="R1792" s="5" t="b">
        <f t="shared" si="321"/>
        <v>0</v>
      </c>
    </row>
    <row r="1793" spans="1:18" s="4" customFormat="1" ht="15" customHeight="1">
      <c r="A1793" s="64"/>
      <c r="B1793" s="7">
        <f t="shared" si="322"/>
        <v>34</v>
      </c>
      <c r="C1793" s="211" t="s">
        <v>10</v>
      </c>
      <c r="D1793" s="263" t="s">
        <v>700</v>
      </c>
      <c r="E1793" s="263"/>
      <c r="F1793" s="263" t="s">
        <v>153</v>
      </c>
      <c r="G1793" s="263"/>
      <c r="H1793" s="263"/>
      <c r="I1793" s="263"/>
      <c r="J1793" s="16"/>
      <c r="K1793" s="1"/>
      <c r="M1793" s="1"/>
      <c r="N1793" s="1"/>
      <c r="O1793" s="1"/>
      <c r="P1793" s="1"/>
      <c r="Q1793" s="95"/>
      <c r="R1793" s="5" t="b">
        <f t="shared" si="321"/>
        <v>0</v>
      </c>
    </row>
    <row r="1794" spans="1:18" s="4" customFormat="1" ht="15" customHeight="1">
      <c r="A1794" s="64"/>
      <c r="B1794" s="7">
        <f t="shared" si="322"/>
        <v>35</v>
      </c>
      <c r="C1794" s="211" t="s">
        <v>10</v>
      </c>
      <c r="D1794" s="263" t="s">
        <v>701</v>
      </c>
      <c r="E1794" s="263"/>
      <c r="F1794" s="263" t="s">
        <v>153</v>
      </c>
      <c r="G1794" s="263"/>
      <c r="H1794" s="263"/>
      <c r="I1794" s="263"/>
      <c r="J1794" s="16"/>
      <c r="K1794" s="1"/>
      <c r="M1794" s="1"/>
      <c r="N1794" s="1"/>
      <c r="O1794" s="1"/>
      <c r="P1794" s="1"/>
      <c r="Q1794" s="95"/>
      <c r="R1794" s="5" t="b">
        <f t="shared" si="321"/>
        <v>0</v>
      </c>
    </row>
    <row r="1795" spans="1:18" s="4" customFormat="1" ht="15" customHeight="1">
      <c r="A1795" s="64"/>
      <c r="B1795" s="7">
        <f t="shared" si="322"/>
        <v>36</v>
      </c>
      <c r="C1795" s="211" t="s">
        <v>10</v>
      </c>
      <c r="D1795" s="263" t="s">
        <v>702</v>
      </c>
      <c r="E1795" s="263"/>
      <c r="F1795" s="263" t="s">
        <v>153</v>
      </c>
      <c r="G1795" s="263"/>
      <c r="H1795" s="263"/>
      <c r="I1795" s="263"/>
      <c r="J1795" s="16"/>
      <c r="K1795" s="1"/>
      <c r="M1795" s="1"/>
      <c r="N1795" s="1"/>
      <c r="O1795" s="1"/>
      <c r="P1795" s="1"/>
      <c r="Q1795" s="95"/>
      <c r="R1795" s="5" t="b">
        <f t="shared" si="321"/>
        <v>0</v>
      </c>
    </row>
    <row r="1796" spans="1:18" s="4" customFormat="1" ht="15" customHeight="1">
      <c r="A1796" s="64"/>
      <c r="B1796" s="7">
        <f t="shared" si="322"/>
        <v>37</v>
      </c>
      <c r="C1796" s="211" t="s">
        <v>10</v>
      </c>
      <c r="D1796" s="263" t="s">
        <v>703</v>
      </c>
      <c r="E1796" s="263"/>
      <c r="F1796" s="263" t="s">
        <v>153</v>
      </c>
      <c r="G1796" s="263"/>
      <c r="H1796" s="263"/>
      <c r="I1796" s="263"/>
      <c r="J1796" s="16"/>
      <c r="K1796" s="1"/>
      <c r="M1796" s="1"/>
      <c r="N1796" s="1"/>
      <c r="O1796" s="1"/>
      <c r="P1796" s="1"/>
      <c r="Q1796" s="95"/>
      <c r="R1796" s="5" t="b">
        <f t="shared" si="321"/>
        <v>0</v>
      </c>
    </row>
    <row r="1797" spans="1:18" s="4" customFormat="1" ht="15" customHeight="1">
      <c r="A1797" s="64"/>
      <c r="B1797" s="7">
        <f t="shared" si="322"/>
        <v>38</v>
      </c>
      <c r="C1797" s="211" t="s">
        <v>10</v>
      </c>
      <c r="D1797" s="263" t="s">
        <v>704</v>
      </c>
      <c r="E1797" s="263"/>
      <c r="F1797" s="263" t="s">
        <v>153</v>
      </c>
      <c r="G1797" s="263"/>
      <c r="H1797" s="263"/>
      <c r="I1797" s="263"/>
      <c r="J1797" s="16"/>
      <c r="K1797" s="1"/>
      <c r="M1797" s="1"/>
      <c r="N1797" s="1"/>
      <c r="O1797" s="1"/>
      <c r="P1797" s="1"/>
      <c r="Q1797" s="95"/>
      <c r="R1797" s="5" t="b">
        <f t="shared" si="321"/>
        <v>0</v>
      </c>
    </row>
    <row r="1798" spans="1:18" s="4" customFormat="1" ht="15" customHeight="1">
      <c r="A1798" s="64"/>
      <c r="B1798" s="7">
        <f t="shared" si="322"/>
        <v>39</v>
      </c>
      <c r="C1798" s="211" t="s">
        <v>10</v>
      </c>
      <c r="D1798" s="263" t="s">
        <v>705</v>
      </c>
      <c r="E1798" s="263"/>
      <c r="F1798" s="263" t="s">
        <v>706</v>
      </c>
      <c r="G1798" s="263"/>
      <c r="H1798" s="263"/>
      <c r="I1798" s="263" t="s">
        <v>707</v>
      </c>
      <c r="J1798" s="16"/>
      <c r="K1798" s="1"/>
      <c r="M1798" s="1"/>
      <c r="N1798" s="1"/>
      <c r="O1798" s="1"/>
      <c r="P1798" s="1"/>
      <c r="Q1798" s="95"/>
      <c r="R1798" s="5" t="b">
        <f t="shared" si="321"/>
        <v>0</v>
      </c>
    </row>
    <row r="1799" spans="1:18" s="4" customFormat="1" ht="15" customHeight="1">
      <c r="A1799" s="64"/>
      <c r="B1799" s="7">
        <f t="shared" si="322"/>
        <v>40</v>
      </c>
      <c r="C1799" s="211" t="s">
        <v>10</v>
      </c>
      <c r="D1799" s="263" t="s">
        <v>708</v>
      </c>
      <c r="E1799" s="263"/>
      <c r="F1799" s="263" t="s">
        <v>709</v>
      </c>
      <c r="G1799" s="263"/>
      <c r="H1799" s="263"/>
      <c r="I1799" s="263" t="s">
        <v>710</v>
      </c>
      <c r="J1799" s="16"/>
      <c r="K1799" s="1"/>
      <c r="M1799" s="1"/>
      <c r="N1799" s="1"/>
      <c r="O1799" s="1"/>
      <c r="P1799" s="1"/>
      <c r="Q1799" s="95"/>
      <c r="R1799" s="5" t="b">
        <f t="shared" si="321"/>
        <v>0</v>
      </c>
    </row>
    <row r="1800" spans="1:18" s="4" customFormat="1" ht="15" customHeight="1">
      <c r="A1800" s="64"/>
      <c r="B1800" s="7">
        <f t="shared" si="322"/>
        <v>41</v>
      </c>
      <c r="C1800" s="211" t="s">
        <v>10</v>
      </c>
      <c r="D1800" s="263" t="s">
        <v>711</v>
      </c>
      <c r="E1800" s="263"/>
      <c r="F1800" s="263" t="s">
        <v>709</v>
      </c>
      <c r="G1800" s="263"/>
      <c r="H1800" s="263"/>
      <c r="I1800" s="263" t="s">
        <v>710</v>
      </c>
      <c r="J1800" s="16"/>
      <c r="K1800" s="1"/>
      <c r="M1800" s="1"/>
      <c r="N1800" s="1"/>
      <c r="O1800" s="1"/>
      <c r="P1800" s="1"/>
      <c r="Q1800" s="95"/>
      <c r="R1800" s="5" t="b">
        <f t="shared" si="321"/>
        <v>0</v>
      </c>
    </row>
    <row r="1801" spans="1:18" s="4" customFormat="1" ht="15" customHeight="1">
      <c r="A1801" s="64"/>
      <c r="B1801" s="7">
        <f t="shared" si="322"/>
        <v>42</v>
      </c>
      <c r="C1801" s="211" t="s">
        <v>10</v>
      </c>
      <c r="D1801" s="263" t="s">
        <v>712</v>
      </c>
      <c r="E1801" s="263"/>
      <c r="F1801" s="263" t="s">
        <v>709</v>
      </c>
      <c r="G1801" s="263"/>
      <c r="H1801" s="263"/>
      <c r="I1801" s="263" t="s">
        <v>694</v>
      </c>
      <c r="J1801" s="16"/>
      <c r="K1801" s="1"/>
      <c r="M1801" s="1"/>
      <c r="N1801" s="1"/>
      <c r="O1801" s="1"/>
      <c r="P1801" s="1"/>
      <c r="Q1801" s="95"/>
      <c r="R1801" s="5" t="b">
        <f t="shared" si="321"/>
        <v>0</v>
      </c>
    </row>
    <row r="1802" spans="1:18" s="4" customFormat="1" ht="15" customHeight="1">
      <c r="A1802" s="64"/>
      <c r="B1802" s="7">
        <f t="shared" si="322"/>
        <v>43</v>
      </c>
      <c r="C1802" s="211" t="s">
        <v>10</v>
      </c>
      <c r="D1802" s="263" t="s">
        <v>713</v>
      </c>
      <c r="E1802" s="263"/>
      <c r="F1802" s="263" t="s">
        <v>714</v>
      </c>
      <c r="G1802" s="263"/>
      <c r="H1802" s="263"/>
      <c r="I1802" s="263" t="s">
        <v>99</v>
      </c>
      <c r="J1802" s="16"/>
      <c r="K1802" s="1"/>
      <c r="M1802" s="1"/>
      <c r="N1802" s="1"/>
      <c r="O1802" s="1"/>
      <c r="P1802" s="1"/>
      <c r="Q1802" s="95"/>
      <c r="R1802" s="5" t="b">
        <f t="shared" si="321"/>
        <v>0</v>
      </c>
    </row>
    <row r="1803" spans="1:18" s="4" customFormat="1" ht="15" customHeight="1">
      <c r="A1803" s="64"/>
      <c r="B1803" s="7">
        <f t="shared" si="322"/>
        <v>44</v>
      </c>
      <c r="C1803" s="211" t="s">
        <v>10</v>
      </c>
      <c r="D1803" s="263" t="s">
        <v>715</v>
      </c>
      <c r="E1803" s="263"/>
      <c r="F1803" s="263" t="s">
        <v>154</v>
      </c>
      <c r="G1803" s="263"/>
      <c r="H1803" s="263"/>
      <c r="I1803" s="263"/>
      <c r="J1803" s="16"/>
      <c r="K1803" s="1"/>
      <c r="M1803" s="1"/>
      <c r="N1803" s="1"/>
      <c r="O1803" s="1"/>
      <c r="P1803" s="1"/>
      <c r="Q1803" s="95"/>
      <c r="R1803" s="5" t="b">
        <f t="shared" si="321"/>
        <v>0</v>
      </c>
    </row>
    <row r="1804" spans="1:18" s="4" customFormat="1" ht="15" customHeight="1">
      <c r="A1804" s="64"/>
      <c r="B1804" s="7">
        <f t="shared" si="322"/>
        <v>45</v>
      </c>
      <c r="C1804" s="211" t="s">
        <v>10</v>
      </c>
      <c r="D1804" s="263" t="s">
        <v>716</v>
      </c>
      <c r="E1804" s="263"/>
      <c r="F1804" s="263" t="s">
        <v>154</v>
      </c>
      <c r="G1804" s="263"/>
      <c r="H1804" s="263"/>
      <c r="I1804" s="263"/>
      <c r="J1804" s="16"/>
      <c r="K1804" s="1"/>
      <c r="M1804" s="1"/>
      <c r="N1804" s="1"/>
      <c r="O1804" s="1"/>
      <c r="P1804" s="1"/>
      <c r="Q1804" s="95"/>
      <c r="R1804" s="5" t="b">
        <f t="shared" si="321"/>
        <v>0</v>
      </c>
    </row>
    <row r="1805" spans="1:18" s="4" customFormat="1" ht="15" customHeight="1">
      <c r="A1805" s="64"/>
      <c r="B1805" s="7">
        <f t="shared" si="322"/>
        <v>46</v>
      </c>
      <c r="C1805" s="211" t="s">
        <v>10</v>
      </c>
      <c r="D1805" s="263" t="s">
        <v>717</v>
      </c>
      <c r="E1805" s="263"/>
      <c r="F1805" s="263" t="s">
        <v>154</v>
      </c>
      <c r="G1805" s="263"/>
      <c r="H1805" s="263"/>
      <c r="I1805" s="263"/>
      <c r="J1805" s="16"/>
      <c r="K1805" s="1"/>
      <c r="M1805" s="1"/>
      <c r="N1805" s="1"/>
      <c r="O1805" s="1"/>
      <c r="P1805" s="1"/>
      <c r="Q1805" s="95"/>
      <c r="R1805" s="5" t="b">
        <f t="shared" si="321"/>
        <v>0</v>
      </c>
    </row>
    <row r="1806" spans="1:18" s="4" customFormat="1" ht="15" customHeight="1">
      <c r="A1806" s="64"/>
      <c r="B1806" s="7">
        <f t="shared" si="322"/>
        <v>47</v>
      </c>
      <c r="C1806" s="211" t="s">
        <v>10</v>
      </c>
      <c r="D1806" s="263" t="s">
        <v>718</v>
      </c>
      <c r="E1806" s="263"/>
      <c r="F1806" s="263" t="s">
        <v>154</v>
      </c>
      <c r="G1806" s="263"/>
      <c r="H1806" s="263"/>
      <c r="I1806" s="263"/>
      <c r="J1806" s="16"/>
      <c r="K1806" s="1"/>
      <c r="M1806" s="1"/>
      <c r="N1806" s="1"/>
      <c r="O1806" s="1"/>
      <c r="P1806" s="1"/>
      <c r="Q1806" s="95"/>
      <c r="R1806" s="5" t="b">
        <f t="shared" si="321"/>
        <v>0</v>
      </c>
    </row>
    <row r="1807" spans="1:18" s="4" customFormat="1" ht="15" customHeight="1">
      <c r="A1807" s="64"/>
      <c r="B1807" s="7">
        <f t="shared" si="322"/>
        <v>48</v>
      </c>
      <c r="C1807" s="211" t="s">
        <v>10</v>
      </c>
      <c r="D1807" s="263" t="s">
        <v>719</v>
      </c>
      <c r="E1807" s="263"/>
      <c r="F1807" s="263" t="s">
        <v>154</v>
      </c>
      <c r="G1807" s="263"/>
      <c r="H1807" s="263"/>
      <c r="I1807" s="263"/>
      <c r="J1807" s="16"/>
      <c r="K1807" s="1"/>
      <c r="M1807" s="1"/>
      <c r="N1807" s="1"/>
      <c r="O1807" s="1"/>
      <c r="P1807" s="1"/>
      <c r="Q1807" s="95"/>
      <c r="R1807" s="5" t="b">
        <f t="shared" si="321"/>
        <v>0</v>
      </c>
    </row>
    <row r="1808" spans="1:18" s="4" customFormat="1" ht="15" customHeight="1">
      <c r="A1808" s="64"/>
      <c r="B1808" s="7">
        <f t="shared" si="322"/>
        <v>49</v>
      </c>
      <c r="C1808" s="211" t="s">
        <v>10</v>
      </c>
      <c r="D1808" s="263" t="s">
        <v>720</v>
      </c>
      <c r="E1808" s="263"/>
      <c r="F1808" s="263" t="s">
        <v>721</v>
      </c>
      <c r="G1808" s="263"/>
      <c r="H1808" s="263"/>
      <c r="I1808" s="263"/>
      <c r="J1808" s="16"/>
      <c r="K1808" s="1"/>
      <c r="M1808" s="1"/>
      <c r="N1808" s="1"/>
      <c r="O1808" s="1"/>
      <c r="P1808" s="1"/>
      <c r="Q1808" s="95"/>
      <c r="R1808" s="5" t="b">
        <f t="shared" si="321"/>
        <v>0</v>
      </c>
    </row>
    <row r="1809" spans="1:18" s="4" customFormat="1" ht="15" customHeight="1">
      <c r="A1809" s="64"/>
      <c r="B1809" s="7">
        <f t="shared" si="322"/>
        <v>50</v>
      </c>
      <c r="C1809" s="211" t="s">
        <v>10</v>
      </c>
      <c r="D1809" s="263" t="s">
        <v>722</v>
      </c>
      <c r="E1809" s="263"/>
      <c r="F1809" s="263" t="s">
        <v>721</v>
      </c>
      <c r="G1809" s="263"/>
      <c r="H1809" s="263"/>
      <c r="I1809" s="263"/>
      <c r="J1809" s="16"/>
      <c r="K1809" s="1"/>
      <c r="M1809" s="1"/>
      <c r="N1809" s="1"/>
      <c r="O1809" s="1"/>
      <c r="P1809" s="1"/>
      <c r="Q1809" s="95"/>
      <c r="R1809" s="5" t="b">
        <f t="shared" si="321"/>
        <v>0</v>
      </c>
    </row>
    <row r="1810" spans="1:18" s="4" customFormat="1" ht="15" customHeight="1">
      <c r="A1810" s="64"/>
      <c r="B1810" s="7">
        <f t="shared" si="322"/>
        <v>51</v>
      </c>
      <c r="C1810" s="211" t="s">
        <v>10</v>
      </c>
      <c r="D1810" s="263" t="s">
        <v>723</v>
      </c>
      <c r="E1810" s="263"/>
      <c r="F1810" s="263" t="s">
        <v>721</v>
      </c>
      <c r="G1810" s="263"/>
      <c r="H1810" s="263"/>
      <c r="I1810" s="263"/>
      <c r="J1810" s="16"/>
      <c r="K1810" s="1"/>
      <c r="M1810" s="1"/>
      <c r="N1810" s="1"/>
      <c r="O1810" s="1"/>
      <c r="P1810" s="1"/>
      <c r="Q1810" s="95"/>
      <c r="R1810" s="5" t="b">
        <f t="shared" si="321"/>
        <v>0</v>
      </c>
    </row>
    <row r="1811" spans="1:18" s="4" customFormat="1" ht="15" customHeight="1">
      <c r="A1811" s="64"/>
      <c r="B1811" s="7">
        <f t="shared" si="322"/>
        <v>52</v>
      </c>
      <c r="C1811" s="211" t="s">
        <v>10</v>
      </c>
      <c r="D1811" s="263" t="s">
        <v>724</v>
      </c>
      <c r="E1811" s="263"/>
      <c r="F1811" s="263" t="s">
        <v>155</v>
      </c>
      <c r="G1811" s="263"/>
      <c r="H1811" s="263"/>
      <c r="I1811" s="263" t="s">
        <v>725</v>
      </c>
      <c r="J1811" s="16"/>
      <c r="K1811" s="1"/>
      <c r="M1811" s="1"/>
      <c r="N1811" s="1"/>
      <c r="O1811" s="1"/>
      <c r="P1811" s="1"/>
      <c r="Q1811" s="95"/>
      <c r="R1811" s="5" t="b">
        <f t="shared" si="321"/>
        <v>0</v>
      </c>
    </row>
    <row r="1812" spans="1:18" s="4" customFormat="1" ht="15" customHeight="1">
      <c r="A1812" s="64"/>
      <c r="B1812" s="7">
        <f t="shared" si="322"/>
        <v>53</v>
      </c>
      <c r="C1812" s="211" t="s">
        <v>10</v>
      </c>
      <c r="D1812" s="263" t="s">
        <v>726</v>
      </c>
      <c r="E1812" s="263"/>
      <c r="F1812" s="263" t="s">
        <v>155</v>
      </c>
      <c r="G1812" s="263"/>
      <c r="H1812" s="263"/>
      <c r="I1812" s="263" t="s">
        <v>727</v>
      </c>
      <c r="J1812" s="16"/>
      <c r="K1812" s="1"/>
      <c r="M1812" s="1"/>
      <c r="N1812" s="1"/>
      <c r="O1812" s="1"/>
      <c r="P1812" s="1"/>
      <c r="Q1812" s="95"/>
      <c r="R1812" s="5" t="b">
        <f t="shared" si="321"/>
        <v>0</v>
      </c>
    </row>
    <row r="1813" spans="1:18" s="4" customFormat="1" ht="15" customHeight="1">
      <c r="A1813" s="64"/>
      <c r="B1813" s="7">
        <f t="shared" si="322"/>
        <v>54</v>
      </c>
      <c r="C1813" s="211" t="s">
        <v>10</v>
      </c>
      <c r="D1813" s="263" t="s">
        <v>728</v>
      </c>
      <c r="E1813" s="263"/>
      <c r="F1813" s="263" t="s">
        <v>155</v>
      </c>
      <c r="G1813" s="263"/>
      <c r="H1813" s="263"/>
      <c r="I1813" s="263" t="s">
        <v>729</v>
      </c>
      <c r="J1813" s="16"/>
      <c r="K1813" s="1"/>
      <c r="M1813" s="1"/>
      <c r="N1813" s="1"/>
      <c r="O1813" s="1"/>
      <c r="P1813" s="1"/>
      <c r="Q1813" s="95"/>
      <c r="R1813" s="5" t="b">
        <f t="shared" si="321"/>
        <v>0</v>
      </c>
    </row>
    <row r="1814" spans="1:18" s="4" customFormat="1" ht="15" customHeight="1">
      <c r="A1814" s="64"/>
      <c r="B1814" s="7">
        <f t="shared" si="322"/>
        <v>55</v>
      </c>
      <c r="C1814" s="211" t="s">
        <v>10</v>
      </c>
      <c r="D1814" s="263" t="s">
        <v>730</v>
      </c>
      <c r="E1814" s="263"/>
      <c r="F1814" s="263" t="s">
        <v>155</v>
      </c>
      <c r="G1814" s="263"/>
      <c r="H1814" s="263"/>
      <c r="I1814" s="263" t="s">
        <v>729</v>
      </c>
      <c r="J1814" s="16"/>
      <c r="K1814" s="1"/>
      <c r="M1814" s="1"/>
      <c r="N1814" s="1"/>
      <c r="O1814" s="1"/>
      <c r="P1814" s="1"/>
      <c r="Q1814" s="95"/>
      <c r="R1814" s="5" t="b">
        <f t="shared" si="321"/>
        <v>0</v>
      </c>
    </row>
    <row r="1815" spans="1:18" s="4" customFormat="1" ht="15" customHeight="1">
      <c r="A1815" s="64"/>
      <c r="B1815" s="7">
        <f t="shared" si="322"/>
        <v>56</v>
      </c>
      <c r="C1815" s="211" t="s">
        <v>10</v>
      </c>
      <c r="D1815" s="263" t="s">
        <v>731</v>
      </c>
      <c r="E1815" s="263"/>
      <c r="F1815" s="263" t="s">
        <v>155</v>
      </c>
      <c r="G1815" s="263"/>
      <c r="H1815" s="263"/>
      <c r="I1815" s="263" t="s">
        <v>729</v>
      </c>
      <c r="J1815" s="16"/>
      <c r="K1815" s="1"/>
      <c r="M1815" s="1"/>
      <c r="N1815" s="1"/>
      <c r="O1815" s="1"/>
      <c r="P1815" s="1"/>
      <c r="Q1815" s="95"/>
      <c r="R1815" s="5" t="b">
        <f t="shared" si="321"/>
        <v>0</v>
      </c>
    </row>
    <row r="1816" spans="1:18" s="4" customFormat="1" ht="15" customHeight="1">
      <c r="A1816" s="64"/>
      <c r="B1816" s="7">
        <f t="shared" si="322"/>
        <v>57</v>
      </c>
      <c r="C1816" s="211" t="s">
        <v>10</v>
      </c>
      <c r="D1816" s="263" t="s">
        <v>732</v>
      </c>
      <c r="E1816" s="263"/>
      <c r="F1816" s="263" t="s">
        <v>155</v>
      </c>
      <c r="G1816" s="263"/>
      <c r="H1816" s="263"/>
      <c r="I1816" s="263" t="s">
        <v>729</v>
      </c>
      <c r="J1816" s="16"/>
      <c r="K1816" s="1"/>
      <c r="M1816" s="1"/>
      <c r="N1816" s="1"/>
      <c r="O1816" s="1"/>
      <c r="P1816" s="1"/>
      <c r="Q1816" s="95"/>
      <c r="R1816" s="5" t="b">
        <f t="shared" si="321"/>
        <v>0</v>
      </c>
    </row>
    <row r="1817" spans="1:18" s="4" customFormat="1" ht="15" customHeight="1">
      <c r="A1817" s="64"/>
      <c r="B1817" s="7">
        <f t="shared" si="322"/>
        <v>58</v>
      </c>
      <c r="C1817" s="211" t="s">
        <v>10</v>
      </c>
      <c r="D1817" s="263" t="s">
        <v>733</v>
      </c>
      <c r="E1817" s="263"/>
      <c r="F1817" s="263" t="s">
        <v>155</v>
      </c>
      <c r="G1817" s="263"/>
      <c r="H1817" s="263"/>
      <c r="I1817" s="263" t="s">
        <v>729</v>
      </c>
      <c r="J1817" s="16"/>
      <c r="K1817" s="1"/>
      <c r="M1817" s="1"/>
      <c r="N1817" s="1"/>
      <c r="O1817" s="1"/>
      <c r="P1817" s="1"/>
      <c r="Q1817" s="95"/>
      <c r="R1817" s="5" t="b">
        <f t="shared" si="321"/>
        <v>0</v>
      </c>
    </row>
    <row r="1818" spans="1:18" s="4" customFormat="1" ht="15" customHeight="1">
      <c r="A1818" s="64"/>
      <c r="B1818" s="7">
        <f t="shared" si="322"/>
        <v>59</v>
      </c>
      <c r="C1818" s="211" t="s">
        <v>10</v>
      </c>
      <c r="D1818" s="263" t="s">
        <v>734</v>
      </c>
      <c r="E1818" s="263"/>
      <c r="F1818" s="263" t="s">
        <v>155</v>
      </c>
      <c r="G1818" s="263"/>
      <c r="H1818" s="263"/>
      <c r="I1818" s="263" t="s">
        <v>729</v>
      </c>
      <c r="J1818" s="16"/>
      <c r="K1818" s="1"/>
      <c r="M1818" s="1"/>
      <c r="N1818" s="1"/>
      <c r="O1818" s="1"/>
      <c r="P1818" s="1"/>
      <c r="Q1818" s="95"/>
      <c r="R1818" s="5" t="b">
        <f t="shared" si="321"/>
        <v>0</v>
      </c>
    </row>
    <row r="1819" spans="1:18" s="4" customFormat="1" ht="15" customHeight="1">
      <c r="A1819" s="64"/>
      <c r="B1819" s="7">
        <f t="shared" si="322"/>
        <v>60</v>
      </c>
      <c r="C1819" s="211" t="s">
        <v>10</v>
      </c>
      <c r="D1819" s="263" t="s">
        <v>735</v>
      </c>
      <c r="E1819" s="263"/>
      <c r="F1819" s="263" t="s">
        <v>155</v>
      </c>
      <c r="G1819" s="263"/>
      <c r="H1819" s="263"/>
      <c r="I1819" s="263" t="s">
        <v>729</v>
      </c>
      <c r="J1819" s="16"/>
      <c r="K1819" s="1"/>
      <c r="M1819" s="1"/>
      <c r="N1819" s="1"/>
      <c r="O1819" s="1"/>
      <c r="P1819" s="1"/>
      <c r="Q1819" s="95"/>
      <c r="R1819" s="5" t="b">
        <f t="shared" si="321"/>
        <v>0</v>
      </c>
    </row>
    <row r="1820" spans="1:18" s="4" customFormat="1" ht="15" customHeight="1">
      <c r="A1820" s="64"/>
      <c r="B1820" s="7">
        <f t="shared" si="322"/>
        <v>61</v>
      </c>
      <c r="C1820" s="211" t="s">
        <v>10</v>
      </c>
      <c r="D1820" s="263" t="s">
        <v>736</v>
      </c>
      <c r="E1820" s="263"/>
      <c r="F1820" s="263" t="s">
        <v>155</v>
      </c>
      <c r="G1820" s="263"/>
      <c r="H1820" s="263"/>
      <c r="I1820" s="263" t="s">
        <v>729</v>
      </c>
      <c r="J1820" s="16"/>
      <c r="K1820" s="1"/>
      <c r="M1820" s="1"/>
      <c r="N1820" s="1"/>
      <c r="O1820" s="1"/>
      <c r="P1820" s="1"/>
      <c r="Q1820" s="95"/>
      <c r="R1820" s="5" t="b">
        <f t="shared" si="321"/>
        <v>0</v>
      </c>
    </row>
    <row r="1821" spans="1:18" s="4" customFormat="1" ht="15" customHeight="1">
      <c r="A1821" s="64"/>
      <c r="B1821" s="7">
        <f t="shared" si="322"/>
        <v>62</v>
      </c>
      <c r="C1821" s="211" t="s">
        <v>10</v>
      </c>
      <c r="D1821" s="263" t="s">
        <v>737</v>
      </c>
      <c r="E1821" s="263"/>
      <c r="F1821" s="263" t="s">
        <v>155</v>
      </c>
      <c r="G1821" s="263"/>
      <c r="H1821" s="263"/>
      <c r="I1821" s="263" t="s">
        <v>729</v>
      </c>
      <c r="J1821" s="16"/>
      <c r="K1821" s="1"/>
      <c r="M1821" s="1"/>
      <c r="N1821" s="1"/>
      <c r="O1821" s="1"/>
      <c r="P1821" s="1"/>
      <c r="Q1821" s="95"/>
      <c r="R1821" s="5" t="b">
        <f t="shared" si="321"/>
        <v>0</v>
      </c>
    </row>
    <row r="1822" spans="1:18" s="4" customFormat="1" ht="15" customHeight="1">
      <c r="A1822" s="64"/>
      <c r="B1822" s="7">
        <f t="shared" si="322"/>
        <v>63</v>
      </c>
      <c r="C1822" s="211" t="s">
        <v>10</v>
      </c>
      <c r="D1822" s="263" t="s">
        <v>738</v>
      </c>
      <c r="E1822" s="263"/>
      <c r="F1822" s="263" t="s">
        <v>155</v>
      </c>
      <c r="G1822" s="263"/>
      <c r="H1822" s="263"/>
      <c r="I1822" s="263" t="s">
        <v>729</v>
      </c>
      <c r="J1822" s="16"/>
      <c r="K1822" s="1"/>
      <c r="M1822" s="1"/>
      <c r="N1822" s="1"/>
      <c r="O1822" s="1"/>
      <c r="P1822" s="1"/>
      <c r="Q1822" s="95"/>
      <c r="R1822" s="5" t="b">
        <f t="shared" si="321"/>
        <v>0</v>
      </c>
    </row>
    <row r="1823" spans="1:18" s="4" customFormat="1" ht="15" customHeight="1">
      <c r="A1823" s="64"/>
      <c r="B1823" s="7">
        <f t="shared" si="322"/>
        <v>64</v>
      </c>
      <c r="C1823" s="211" t="s">
        <v>10</v>
      </c>
      <c r="D1823" s="263" t="s">
        <v>739</v>
      </c>
      <c r="E1823" s="263"/>
      <c r="F1823" s="263" t="s">
        <v>740</v>
      </c>
      <c r="G1823" s="263"/>
      <c r="H1823" s="263"/>
      <c r="I1823" s="263"/>
      <c r="J1823" s="16"/>
      <c r="K1823" s="1"/>
      <c r="M1823" s="1"/>
      <c r="N1823" s="1"/>
      <c r="O1823" s="1"/>
      <c r="P1823" s="1"/>
      <c r="Q1823" s="95"/>
      <c r="R1823" s="5" t="b">
        <f t="shared" si="321"/>
        <v>0</v>
      </c>
    </row>
    <row r="1824" spans="1:18" s="4" customFormat="1" ht="15" customHeight="1">
      <c r="A1824" s="64"/>
      <c r="B1824" s="7">
        <f t="shared" si="322"/>
        <v>65</v>
      </c>
      <c r="C1824" s="211" t="s">
        <v>10</v>
      </c>
      <c r="D1824" s="263" t="s">
        <v>741</v>
      </c>
      <c r="E1824" s="263"/>
      <c r="F1824" s="263" t="s">
        <v>740</v>
      </c>
      <c r="G1824" s="263"/>
      <c r="H1824" s="263"/>
      <c r="I1824" s="263"/>
      <c r="J1824" s="16"/>
      <c r="K1824" s="1"/>
      <c r="M1824" s="1"/>
      <c r="N1824" s="1"/>
      <c r="O1824" s="1"/>
      <c r="P1824" s="1"/>
      <c r="Q1824" s="95"/>
      <c r="R1824" s="5" t="b">
        <f t="shared" ref="R1824:R1887" si="323">IF(O1824&gt;89.9999999999999%,"PAMA")</f>
        <v>0</v>
      </c>
    </row>
    <row r="1825" spans="1:18" s="4" customFormat="1" ht="15" customHeight="1">
      <c r="A1825" s="64"/>
      <c r="B1825" s="7">
        <f t="shared" si="322"/>
        <v>66</v>
      </c>
      <c r="C1825" s="211" t="s">
        <v>10</v>
      </c>
      <c r="D1825" s="263" t="s">
        <v>742</v>
      </c>
      <c r="E1825" s="263"/>
      <c r="F1825" s="263" t="s">
        <v>740</v>
      </c>
      <c r="G1825" s="263"/>
      <c r="H1825" s="263"/>
      <c r="I1825" s="263"/>
      <c r="J1825" s="16"/>
      <c r="K1825" s="1"/>
      <c r="M1825" s="1"/>
      <c r="N1825" s="1"/>
      <c r="O1825" s="1"/>
      <c r="P1825" s="1"/>
      <c r="Q1825" s="95"/>
      <c r="R1825" s="5" t="b">
        <f t="shared" si="323"/>
        <v>0</v>
      </c>
    </row>
    <row r="1826" spans="1:18" s="4" customFormat="1" ht="15" customHeight="1">
      <c r="A1826" s="64"/>
      <c r="B1826" s="7">
        <f t="shared" si="322"/>
        <v>67</v>
      </c>
      <c r="C1826" s="211" t="s">
        <v>10</v>
      </c>
      <c r="D1826" s="263" t="s">
        <v>743</v>
      </c>
      <c r="E1826" s="263"/>
      <c r="F1826" s="263" t="s">
        <v>155</v>
      </c>
      <c r="G1826" s="263"/>
      <c r="H1826" s="263"/>
      <c r="I1826" s="263" t="s">
        <v>729</v>
      </c>
      <c r="J1826" s="16"/>
      <c r="K1826" s="1"/>
      <c r="M1826" s="1"/>
      <c r="N1826" s="1"/>
      <c r="O1826" s="1"/>
      <c r="P1826" s="1"/>
      <c r="Q1826" s="95"/>
      <c r="R1826" s="5" t="b">
        <f t="shared" si="323"/>
        <v>0</v>
      </c>
    </row>
    <row r="1827" spans="1:18" s="4" customFormat="1" ht="15" customHeight="1">
      <c r="A1827" s="64"/>
      <c r="B1827" s="7">
        <f t="shared" si="322"/>
        <v>68</v>
      </c>
      <c r="C1827" s="211" t="s">
        <v>10</v>
      </c>
      <c r="D1827" s="263" t="s">
        <v>744</v>
      </c>
      <c r="E1827" s="263"/>
      <c r="F1827" s="263" t="s">
        <v>155</v>
      </c>
      <c r="G1827" s="263"/>
      <c r="H1827" s="263"/>
      <c r="I1827" s="263" t="s">
        <v>729</v>
      </c>
      <c r="J1827" s="16"/>
      <c r="K1827" s="1"/>
      <c r="M1827" s="1"/>
      <c r="N1827" s="1"/>
      <c r="O1827" s="1"/>
      <c r="P1827" s="1"/>
      <c r="Q1827" s="95"/>
      <c r="R1827" s="5" t="b">
        <f t="shared" si="323"/>
        <v>0</v>
      </c>
    </row>
    <row r="1828" spans="1:18" s="4" customFormat="1" ht="15" customHeight="1">
      <c r="A1828" s="64"/>
      <c r="B1828" s="7">
        <f t="shared" si="322"/>
        <v>69</v>
      </c>
      <c r="C1828" s="211" t="s">
        <v>10</v>
      </c>
      <c r="D1828" s="263" t="s">
        <v>745</v>
      </c>
      <c r="E1828" s="263"/>
      <c r="F1828" s="263" t="s">
        <v>746</v>
      </c>
      <c r="G1828" s="263"/>
      <c r="H1828" s="263"/>
      <c r="I1828" s="263"/>
      <c r="J1828" s="16"/>
      <c r="K1828" s="1"/>
      <c r="M1828" s="1"/>
      <c r="N1828" s="1"/>
      <c r="O1828" s="1"/>
      <c r="P1828" s="1"/>
      <c r="Q1828" s="95"/>
      <c r="R1828" s="5" t="b">
        <f t="shared" si="323"/>
        <v>0</v>
      </c>
    </row>
    <row r="1829" spans="1:18" s="4" customFormat="1" ht="15" customHeight="1">
      <c r="A1829" s="64"/>
      <c r="B1829" s="7">
        <f t="shared" si="322"/>
        <v>70</v>
      </c>
      <c r="C1829" s="211" t="s">
        <v>10</v>
      </c>
      <c r="D1829" s="263" t="s">
        <v>747</v>
      </c>
      <c r="E1829" s="263"/>
      <c r="F1829" s="263" t="s">
        <v>155</v>
      </c>
      <c r="G1829" s="263"/>
      <c r="H1829" s="263"/>
      <c r="I1829" s="263" t="s">
        <v>729</v>
      </c>
      <c r="J1829" s="16"/>
      <c r="K1829" s="1"/>
      <c r="M1829" s="1"/>
      <c r="N1829" s="1"/>
      <c r="O1829" s="1"/>
      <c r="P1829" s="1"/>
      <c r="Q1829" s="95"/>
      <c r="R1829" s="5" t="b">
        <f t="shared" si="323"/>
        <v>0</v>
      </c>
    </row>
    <row r="1830" spans="1:18" s="4" customFormat="1" ht="15" customHeight="1">
      <c r="A1830" s="64"/>
      <c r="B1830" s="7">
        <f t="shared" si="322"/>
        <v>71</v>
      </c>
      <c r="C1830" s="211" t="s">
        <v>10</v>
      </c>
      <c r="D1830" s="263" t="s">
        <v>748</v>
      </c>
      <c r="E1830" s="263"/>
      <c r="F1830" s="263" t="s">
        <v>155</v>
      </c>
      <c r="G1830" s="263"/>
      <c r="H1830" s="263"/>
      <c r="I1830" s="263"/>
      <c r="J1830" s="16"/>
      <c r="K1830" s="1"/>
      <c r="M1830" s="1"/>
      <c r="N1830" s="1"/>
      <c r="O1830" s="1"/>
      <c r="P1830" s="1"/>
      <c r="Q1830" s="95"/>
      <c r="R1830" s="5" t="b">
        <f t="shared" si="323"/>
        <v>0</v>
      </c>
    </row>
    <row r="1831" spans="1:18" s="4" customFormat="1" ht="15" customHeight="1">
      <c r="A1831" s="64"/>
      <c r="B1831" s="7">
        <f t="shared" si="322"/>
        <v>72</v>
      </c>
      <c r="C1831" s="211" t="s">
        <v>10</v>
      </c>
      <c r="D1831" s="263" t="s">
        <v>749</v>
      </c>
      <c r="E1831" s="263"/>
      <c r="F1831" s="263" t="s">
        <v>155</v>
      </c>
      <c r="G1831" s="263"/>
      <c r="H1831" s="263"/>
      <c r="I1831" s="263"/>
      <c r="J1831" s="16"/>
      <c r="K1831" s="1"/>
      <c r="M1831" s="1"/>
      <c r="N1831" s="1"/>
      <c r="O1831" s="1"/>
      <c r="P1831" s="1"/>
      <c r="Q1831" s="95"/>
      <c r="R1831" s="5" t="b">
        <f t="shared" si="323"/>
        <v>0</v>
      </c>
    </row>
    <row r="1832" spans="1:18" s="4" customFormat="1" ht="15" customHeight="1">
      <c r="A1832" s="64"/>
      <c r="B1832" s="7">
        <f t="shared" si="322"/>
        <v>73</v>
      </c>
      <c r="C1832" s="211" t="s">
        <v>10</v>
      </c>
      <c r="D1832" s="263" t="s">
        <v>750</v>
      </c>
      <c r="E1832" s="263"/>
      <c r="F1832" s="263" t="s">
        <v>155</v>
      </c>
      <c r="G1832" s="263"/>
      <c r="H1832" s="263"/>
      <c r="I1832" s="263" t="s">
        <v>729</v>
      </c>
      <c r="J1832" s="16"/>
      <c r="K1832" s="1"/>
      <c r="M1832" s="1"/>
      <c r="N1832" s="1"/>
      <c r="O1832" s="1"/>
      <c r="P1832" s="1"/>
      <c r="Q1832" s="95"/>
      <c r="R1832" s="5" t="b">
        <f t="shared" si="323"/>
        <v>0</v>
      </c>
    </row>
    <row r="1833" spans="1:18" s="4" customFormat="1" ht="15" customHeight="1">
      <c r="A1833" s="64"/>
      <c r="B1833" s="7">
        <f t="shared" si="322"/>
        <v>74</v>
      </c>
      <c r="C1833" s="211" t="s">
        <v>10</v>
      </c>
      <c r="D1833" s="263" t="s">
        <v>751</v>
      </c>
      <c r="E1833" s="263"/>
      <c r="F1833" s="263" t="s">
        <v>155</v>
      </c>
      <c r="G1833" s="263"/>
      <c r="H1833" s="263"/>
      <c r="I1833" s="263" t="s">
        <v>729</v>
      </c>
      <c r="J1833" s="16"/>
      <c r="K1833" s="1"/>
      <c r="M1833" s="1"/>
      <c r="N1833" s="1"/>
      <c r="O1833" s="1"/>
      <c r="P1833" s="1"/>
      <c r="Q1833" s="95"/>
      <c r="R1833" s="5" t="b">
        <f t="shared" si="323"/>
        <v>0</v>
      </c>
    </row>
    <row r="1834" spans="1:18" s="4" customFormat="1" ht="15" customHeight="1">
      <c r="A1834" s="64"/>
      <c r="B1834" s="7">
        <f t="shared" ref="B1834:B1897" si="324">B1833+1</f>
        <v>75</v>
      </c>
      <c r="C1834" s="211" t="s">
        <v>10</v>
      </c>
      <c r="D1834" s="263" t="s">
        <v>752</v>
      </c>
      <c r="E1834" s="263"/>
      <c r="F1834" s="263" t="s">
        <v>155</v>
      </c>
      <c r="G1834" s="263"/>
      <c r="H1834" s="263"/>
      <c r="I1834" s="263" t="s">
        <v>729</v>
      </c>
      <c r="J1834" s="16"/>
      <c r="K1834" s="1"/>
      <c r="M1834" s="1"/>
      <c r="N1834" s="1"/>
      <c r="O1834" s="1"/>
      <c r="P1834" s="1"/>
      <c r="Q1834" s="95"/>
      <c r="R1834" s="5" t="b">
        <f t="shared" si="323"/>
        <v>0</v>
      </c>
    </row>
    <row r="1835" spans="1:18" s="4" customFormat="1" ht="15" customHeight="1">
      <c r="A1835" s="64"/>
      <c r="B1835" s="7">
        <f t="shared" si="324"/>
        <v>76</v>
      </c>
      <c r="C1835" s="211" t="s">
        <v>10</v>
      </c>
      <c r="D1835" s="263" t="s">
        <v>753</v>
      </c>
      <c r="E1835" s="263"/>
      <c r="F1835" s="263" t="s">
        <v>155</v>
      </c>
      <c r="G1835" s="263"/>
      <c r="H1835" s="263"/>
      <c r="I1835" s="263" t="s">
        <v>729</v>
      </c>
      <c r="J1835" s="16"/>
      <c r="K1835" s="1"/>
      <c r="M1835" s="1"/>
      <c r="N1835" s="1"/>
      <c r="O1835" s="1"/>
      <c r="P1835" s="1"/>
      <c r="Q1835" s="95"/>
      <c r="R1835" s="5" t="b">
        <f t="shared" si="323"/>
        <v>0</v>
      </c>
    </row>
    <row r="1836" spans="1:18" s="4" customFormat="1" ht="15" customHeight="1">
      <c r="A1836" s="64"/>
      <c r="B1836" s="7">
        <f t="shared" si="324"/>
        <v>77</v>
      </c>
      <c r="C1836" s="211" t="s">
        <v>10</v>
      </c>
      <c r="D1836" s="263" t="s">
        <v>754</v>
      </c>
      <c r="E1836" s="263"/>
      <c r="F1836" s="263" t="s">
        <v>155</v>
      </c>
      <c r="G1836" s="263"/>
      <c r="H1836" s="263"/>
      <c r="I1836" s="263" t="s">
        <v>729</v>
      </c>
      <c r="J1836" s="16"/>
      <c r="K1836" s="1"/>
      <c r="M1836" s="1"/>
      <c r="N1836" s="1"/>
      <c r="O1836" s="1"/>
      <c r="P1836" s="1"/>
      <c r="Q1836" s="95"/>
      <c r="R1836" s="5" t="b">
        <f t="shared" si="323"/>
        <v>0</v>
      </c>
    </row>
    <row r="1837" spans="1:18" s="4" customFormat="1" ht="15" customHeight="1">
      <c r="A1837" s="64"/>
      <c r="B1837" s="7">
        <f t="shared" si="324"/>
        <v>78</v>
      </c>
      <c r="C1837" s="211" t="s">
        <v>10</v>
      </c>
      <c r="D1837" s="263" t="s">
        <v>755</v>
      </c>
      <c r="E1837" s="263"/>
      <c r="F1837" s="263" t="s">
        <v>155</v>
      </c>
      <c r="G1837" s="263"/>
      <c r="H1837" s="263"/>
      <c r="I1837" s="263" t="s">
        <v>729</v>
      </c>
      <c r="J1837" s="16"/>
      <c r="K1837" s="1"/>
      <c r="M1837" s="1"/>
      <c r="N1837" s="1"/>
      <c r="O1837" s="1"/>
      <c r="P1837" s="1"/>
      <c r="Q1837" s="95"/>
      <c r="R1837" s="5" t="b">
        <f t="shared" si="323"/>
        <v>0</v>
      </c>
    </row>
    <row r="1838" spans="1:18" s="4" customFormat="1" ht="15" customHeight="1">
      <c r="A1838" s="64"/>
      <c r="B1838" s="7">
        <f t="shared" si="324"/>
        <v>79</v>
      </c>
      <c r="C1838" s="211" t="s">
        <v>10</v>
      </c>
      <c r="D1838" s="263" t="s">
        <v>756</v>
      </c>
      <c r="E1838" s="263"/>
      <c r="F1838" s="263" t="s">
        <v>155</v>
      </c>
      <c r="G1838" s="263"/>
      <c r="H1838" s="263"/>
      <c r="I1838" s="263" t="s">
        <v>729</v>
      </c>
      <c r="J1838" s="16"/>
      <c r="K1838" s="1"/>
      <c r="M1838" s="1"/>
      <c r="N1838" s="1"/>
      <c r="O1838" s="1"/>
      <c r="P1838" s="1"/>
      <c r="Q1838" s="95"/>
      <c r="R1838" s="5" t="b">
        <f t="shared" si="323"/>
        <v>0</v>
      </c>
    </row>
    <row r="1839" spans="1:18" s="4" customFormat="1" ht="15" customHeight="1">
      <c r="A1839" s="64"/>
      <c r="B1839" s="7">
        <f t="shared" si="324"/>
        <v>80</v>
      </c>
      <c r="C1839" s="211" t="s">
        <v>10</v>
      </c>
      <c r="D1839" s="263" t="s">
        <v>757</v>
      </c>
      <c r="E1839" s="263"/>
      <c r="F1839" s="263" t="s">
        <v>155</v>
      </c>
      <c r="G1839" s="263"/>
      <c r="H1839" s="263"/>
      <c r="I1839" s="263" t="s">
        <v>729</v>
      </c>
      <c r="J1839" s="16"/>
      <c r="K1839" s="1"/>
      <c r="M1839" s="1"/>
      <c r="N1839" s="1"/>
      <c r="O1839" s="1"/>
      <c r="P1839" s="1"/>
      <c r="Q1839" s="95"/>
      <c r="R1839" s="5" t="b">
        <f t="shared" si="323"/>
        <v>0</v>
      </c>
    </row>
    <row r="1840" spans="1:18" s="4" customFormat="1" ht="15" customHeight="1">
      <c r="A1840" s="64"/>
      <c r="B1840" s="7">
        <f t="shared" si="324"/>
        <v>81</v>
      </c>
      <c r="C1840" s="211" t="s">
        <v>10</v>
      </c>
      <c r="D1840" s="263" t="s">
        <v>758</v>
      </c>
      <c r="E1840" s="263"/>
      <c r="F1840" s="263" t="s">
        <v>155</v>
      </c>
      <c r="G1840" s="263"/>
      <c r="H1840" s="263"/>
      <c r="I1840" s="263" t="s">
        <v>729</v>
      </c>
      <c r="J1840" s="16"/>
      <c r="K1840" s="1"/>
      <c r="M1840" s="1"/>
      <c r="N1840" s="1"/>
      <c r="O1840" s="1"/>
      <c r="P1840" s="1"/>
      <c r="Q1840" s="95"/>
      <c r="R1840" s="5" t="b">
        <f t="shared" si="323"/>
        <v>0</v>
      </c>
    </row>
    <row r="1841" spans="1:18" s="4" customFormat="1" ht="15" customHeight="1">
      <c r="A1841" s="64"/>
      <c r="B1841" s="7">
        <f t="shared" si="324"/>
        <v>82</v>
      </c>
      <c r="C1841" s="211" t="s">
        <v>10</v>
      </c>
      <c r="D1841" s="263" t="s">
        <v>759</v>
      </c>
      <c r="E1841" s="263"/>
      <c r="F1841" s="263" t="s">
        <v>155</v>
      </c>
      <c r="G1841" s="263"/>
      <c r="H1841" s="263"/>
      <c r="I1841" s="263" t="s">
        <v>729</v>
      </c>
      <c r="J1841" s="16"/>
      <c r="K1841" s="1"/>
      <c r="M1841" s="1"/>
      <c r="N1841" s="1"/>
      <c r="O1841" s="1"/>
      <c r="P1841" s="1"/>
      <c r="Q1841" s="95"/>
      <c r="R1841" s="5" t="b">
        <f t="shared" si="323"/>
        <v>0</v>
      </c>
    </row>
    <row r="1842" spans="1:18" s="4" customFormat="1" ht="15" customHeight="1">
      <c r="A1842" s="64"/>
      <c r="B1842" s="7">
        <f t="shared" si="324"/>
        <v>83</v>
      </c>
      <c r="C1842" s="211" t="s">
        <v>10</v>
      </c>
      <c r="D1842" s="263" t="s">
        <v>760</v>
      </c>
      <c r="E1842" s="263"/>
      <c r="F1842" s="263" t="s">
        <v>156</v>
      </c>
      <c r="G1842" s="263"/>
      <c r="H1842" s="263"/>
      <c r="I1842" s="263"/>
      <c r="J1842" s="16"/>
      <c r="K1842" s="1"/>
      <c r="M1842" s="1"/>
      <c r="N1842" s="1"/>
      <c r="O1842" s="1"/>
      <c r="P1842" s="1"/>
      <c r="Q1842" s="95"/>
      <c r="R1842" s="5" t="b">
        <f t="shared" si="323"/>
        <v>0</v>
      </c>
    </row>
    <row r="1843" spans="1:18" s="4" customFormat="1" ht="15" customHeight="1">
      <c r="A1843" s="64"/>
      <c r="B1843" s="7">
        <f t="shared" si="324"/>
        <v>84</v>
      </c>
      <c r="C1843" s="211" t="s">
        <v>10</v>
      </c>
      <c r="D1843" s="263" t="s">
        <v>761</v>
      </c>
      <c r="E1843" s="263"/>
      <c r="F1843" s="263" t="s">
        <v>156</v>
      </c>
      <c r="G1843" s="263"/>
      <c r="H1843" s="263"/>
      <c r="I1843" s="263"/>
      <c r="J1843" s="16"/>
      <c r="K1843" s="1"/>
      <c r="M1843" s="1"/>
      <c r="N1843" s="1"/>
      <c r="O1843" s="1"/>
      <c r="P1843" s="1"/>
      <c r="Q1843" s="95"/>
      <c r="R1843" s="5" t="b">
        <f t="shared" si="323"/>
        <v>0</v>
      </c>
    </row>
    <row r="1844" spans="1:18" s="4" customFormat="1" ht="15" customHeight="1">
      <c r="A1844" s="64"/>
      <c r="B1844" s="7">
        <f t="shared" si="324"/>
        <v>85</v>
      </c>
      <c r="C1844" s="211" t="s">
        <v>10</v>
      </c>
      <c r="D1844" s="263" t="s">
        <v>762</v>
      </c>
      <c r="E1844" s="263"/>
      <c r="F1844" s="263" t="s">
        <v>155</v>
      </c>
      <c r="G1844" s="263"/>
      <c r="H1844" s="263"/>
      <c r="I1844" s="263"/>
      <c r="J1844" s="16"/>
      <c r="K1844" s="1"/>
      <c r="M1844" s="1"/>
      <c r="N1844" s="1"/>
      <c r="O1844" s="1"/>
      <c r="P1844" s="1"/>
      <c r="Q1844" s="95"/>
      <c r="R1844" s="5" t="b">
        <f t="shared" si="323"/>
        <v>0</v>
      </c>
    </row>
    <row r="1845" spans="1:18" s="4" customFormat="1" ht="15" customHeight="1">
      <c r="A1845" s="64"/>
      <c r="B1845" s="7">
        <f t="shared" si="324"/>
        <v>86</v>
      </c>
      <c r="C1845" s="211" t="s">
        <v>10</v>
      </c>
      <c r="D1845" s="263" t="s">
        <v>763</v>
      </c>
      <c r="E1845" s="263"/>
      <c r="F1845" s="263" t="s">
        <v>155</v>
      </c>
      <c r="G1845" s="263"/>
      <c r="H1845" s="263"/>
      <c r="I1845" s="263" t="s">
        <v>729</v>
      </c>
      <c r="J1845" s="16"/>
      <c r="K1845" s="1"/>
      <c r="M1845" s="1"/>
      <c r="N1845" s="1"/>
      <c r="O1845" s="1"/>
      <c r="P1845" s="1"/>
      <c r="Q1845" s="95"/>
      <c r="R1845" s="5" t="b">
        <f t="shared" si="323"/>
        <v>0</v>
      </c>
    </row>
    <row r="1846" spans="1:18" s="4" customFormat="1" ht="15" customHeight="1">
      <c r="A1846" s="64"/>
      <c r="B1846" s="7">
        <f t="shared" si="324"/>
        <v>87</v>
      </c>
      <c r="C1846" s="211" t="s">
        <v>10</v>
      </c>
      <c r="D1846" s="263" t="s">
        <v>764</v>
      </c>
      <c r="E1846" s="263"/>
      <c r="F1846" s="263" t="s">
        <v>155</v>
      </c>
      <c r="G1846" s="263"/>
      <c r="H1846" s="263"/>
      <c r="I1846" s="263" t="s">
        <v>729</v>
      </c>
      <c r="J1846" s="16"/>
      <c r="K1846" s="1"/>
      <c r="M1846" s="1"/>
      <c r="N1846" s="1"/>
      <c r="O1846" s="1"/>
      <c r="P1846" s="1"/>
      <c r="Q1846" s="95"/>
      <c r="R1846" s="5" t="b">
        <f t="shared" si="323"/>
        <v>0</v>
      </c>
    </row>
    <row r="1847" spans="1:18" s="4" customFormat="1" ht="15" customHeight="1">
      <c r="A1847" s="64"/>
      <c r="B1847" s="7">
        <f t="shared" si="324"/>
        <v>88</v>
      </c>
      <c r="C1847" s="211" t="s">
        <v>10</v>
      </c>
      <c r="D1847" s="263" t="s">
        <v>765</v>
      </c>
      <c r="E1847" s="263"/>
      <c r="F1847" s="263" t="s">
        <v>155</v>
      </c>
      <c r="G1847" s="263"/>
      <c r="H1847" s="263"/>
      <c r="I1847" s="263" t="s">
        <v>729</v>
      </c>
      <c r="J1847" s="16"/>
      <c r="K1847" s="1"/>
      <c r="M1847" s="1"/>
      <c r="N1847" s="1"/>
      <c r="O1847" s="1"/>
      <c r="P1847" s="1"/>
      <c r="Q1847" s="95"/>
      <c r="R1847" s="5" t="b">
        <f t="shared" si="323"/>
        <v>0</v>
      </c>
    </row>
    <row r="1848" spans="1:18" s="4" customFormat="1" ht="15" customHeight="1">
      <c r="A1848" s="64"/>
      <c r="B1848" s="7">
        <f t="shared" si="324"/>
        <v>89</v>
      </c>
      <c r="C1848" s="211" t="s">
        <v>10</v>
      </c>
      <c r="D1848" s="263" t="s">
        <v>766</v>
      </c>
      <c r="E1848" s="263"/>
      <c r="F1848" s="263" t="s">
        <v>155</v>
      </c>
      <c r="G1848" s="263"/>
      <c r="H1848" s="263"/>
      <c r="I1848" s="263" t="s">
        <v>729</v>
      </c>
      <c r="J1848" s="16"/>
      <c r="K1848" s="1"/>
      <c r="M1848" s="1"/>
      <c r="N1848" s="1"/>
      <c r="O1848" s="1"/>
      <c r="P1848" s="1"/>
      <c r="Q1848" s="95"/>
      <c r="R1848" s="5" t="b">
        <f t="shared" si="323"/>
        <v>0</v>
      </c>
    </row>
    <row r="1849" spans="1:18" s="4" customFormat="1" ht="15" customHeight="1">
      <c r="A1849" s="64"/>
      <c r="B1849" s="7">
        <f t="shared" si="324"/>
        <v>90</v>
      </c>
      <c r="C1849" s="211" t="s">
        <v>10</v>
      </c>
      <c r="D1849" s="263" t="s">
        <v>767</v>
      </c>
      <c r="E1849" s="263"/>
      <c r="F1849" s="263" t="s">
        <v>155</v>
      </c>
      <c r="G1849" s="263"/>
      <c r="H1849" s="263"/>
      <c r="I1849" s="263" t="s">
        <v>729</v>
      </c>
      <c r="J1849" s="16"/>
      <c r="K1849" s="1"/>
      <c r="M1849" s="1"/>
      <c r="N1849" s="1"/>
      <c r="O1849" s="1"/>
      <c r="P1849" s="1"/>
      <c r="Q1849" s="95"/>
      <c r="R1849" s="5" t="b">
        <f t="shared" si="323"/>
        <v>0</v>
      </c>
    </row>
    <row r="1850" spans="1:18" s="4" customFormat="1" ht="15" customHeight="1">
      <c r="A1850" s="64"/>
      <c r="B1850" s="7">
        <f t="shared" si="324"/>
        <v>91</v>
      </c>
      <c r="C1850" s="211" t="s">
        <v>10</v>
      </c>
      <c r="D1850" s="263" t="s">
        <v>768</v>
      </c>
      <c r="E1850" s="263"/>
      <c r="F1850" s="263" t="s">
        <v>155</v>
      </c>
      <c r="G1850" s="263"/>
      <c r="H1850" s="263"/>
      <c r="I1850" s="263" t="s">
        <v>729</v>
      </c>
      <c r="J1850" s="16"/>
      <c r="K1850" s="1"/>
      <c r="M1850" s="1"/>
      <c r="N1850" s="1"/>
      <c r="O1850" s="1"/>
      <c r="P1850" s="1"/>
      <c r="Q1850" s="95"/>
      <c r="R1850" s="5" t="b">
        <f t="shared" si="323"/>
        <v>0</v>
      </c>
    </row>
    <row r="1851" spans="1:18" s="4" customFormat="1" ht="15" customHeight="1">
      <c r="A1851" s="64"/>
      <c r="B1851" s="7">
        <f t="shared" si="324"/>
        <v>92</v>
      </c>
      <c r="C1851" s="211" t="s">
        <v>10</v>
      </c>
      <c r="D1851" s="263" t="s">
        <v>769</v>
      </c>
      <c r="E1851" s="263"/>
      <c r="F1851" s="263" t="s">
        <v>155</v>
      </c>
      <c r="G1851" s="263"/>
      <c r="H1851" s="263"/>
      <c r="I1851" s="263" t="s">
        <v>729</v>
      </c>
      <c r="J1851" s="16"/>
      <c r="K1851" s="1"/>
      <c r="M1851" s="1"/>
      <c r="N1851" s="1"/>
      <c r="O1851" s="1"/>
      <c r="P1851" s="1"/>
      <c r="Q1851" s="95"/>
      <c r="R1851" s="5" t="b">
        <f t="shared" si="323"/>
        <v>0</v>
      </c>
    </row>
    <row r="1852" spans="1:18" s="4" customFormat="1" ht="15" customHeight="1">
      <c r="A1852" s="64"/>
      <c r="B1852" s="7">
        <f t="shared" si="324"/>
        <v>93</v>
      </c>
      <c r="C1852" s="211" t="s">
        <v>10</v>
      </c>
      <c r="D1852" s="263" t="s">
        <v>770</v>
      </c>
      <c r="E1852" s="263"/>
      <c r="F1852" s="263" t="s">
        <v>156</v>
      </c>
      <c r="G1852" s="263"/>
      <c r="H1852" s="263"/>
      <c r="I1852" s="263"/>
      <c r="J1852" s="16"/>
      <c r="K1852" s="1"/>
      <c r="M1852" s="1"/>
      <c r="N1852" s="1"/>
      <c r="O1852" s="1"/>
      <c r="P1852" s="1"/>
      <c r="Q1852" s="95"/>
      <c r="R1852" s="5" t="b">
        <f t="shared" si="323"/>
        <v>0</v>
      </c>
    </row>
    <row r="1853" spans="1:18" s="4" customFormat="1" ht="15" customHeight="1">
      <c r="A1853" s="64"/>
      <c r="B1853" s="7">
        <f t="shared" si="324"/>
        <v>94</v>
      </c>
      <c r="C1853" s="211" t="s">
        <v>10</v>
      </c>
      <c r="D1853" s="263" t="s">
        <v>771</v>
      </c>
      <c r="E1853" s="263"/>
      <c r="F1853" s="263" t="s">
        <v>155</v>
      </c>
      <c r="G1853" s="263"/>
      <c r="H1853" s="263"/>
      <c r="I1853" s="263" t="s">
        <v>729</v>
      </c>
      <c r="J1853" s="16"/>
      <c r="K1853" s="1"/>
      <c r="M1853" s="1"/>
      <c r="N1853" s="1"/>
      <c r="O1853" s="1"/>
      <c r="P1853" s="1"/>
      <c r="Q1853" s="95"/>
      <c r="R1853" s="5" t="b">
        <f t="shared" si="323"/>
        <v>0</v>
      </c>
    </row>
    <row r="1854" spans="1:18" s="4" customFormat="1" ht="15" customHeight="1">
      <c r="A1854" s="64"/>
      <c r="B1854" s="7">
        <f t="shared" si="324"/>
        <v>95</v>
      </c>
      <c r="C1854" s="211" t="s">
        <v>10</v>
      </c>
      <c r="D1854" s="263" t="s">
        <v>772</v>
      </c>
      <c r="E1854" s="263"/>
      <c r="F1854" s="263" t="s">
        <v>155</v>
      </c>
      <c r="G1854" s="263"/>
      <c r="H1854" s="263"/>
      <c r="I1854" s="263" t="s">
        <v>729</v>
      </c>
      <c r="J1854" s="16"/>
      <c r="K1854" s="1"/>
      <c r="M1854" s="1"/>
      <c r="N1854" s="1"/>
      <c r="O1854" s="1"/>
      <c r="P1854" s="1"/>
      <c r="Q1854" s="95"/>
      <c r="R1854" s="5" t="b">
        <f t="shared" si="323"/>
        <v>0</v>
      </c>
    </row>
    <row r="1855" spans="1:18" s="4" customFormat="1" ht="15" customHeight="1">
      <c r="A1855" s="64"/>
      <c r="B1855" s="7">
        <f t="shared" si="324"/>
        <v>96</v>
      </c>
      <c r="C1855" s="211" t="s">
        <v>10</v>
      </c>
      <c r="D1855" s="263" t="s">
        <v>773</v>
      </c>
      <c r="E1855" s="263"/>
      <c r="F1855" s="263" t="s">
        <v>155</v>
      </c>
      <c r="G1855" s="263"/>
      <c r="H1855" s="263"/>
      <c r="I1855" s="263" t="s">
        <v>729</v>
      </c>
      <c r="J1855" s="16"/>
      <c r="K1855" s="1"/>
      <c r="M1855" s="1"/>
      <c r="N1855" s="1"/>
      <c r="O1855" s="1"/>
      <c r="P1855" s="1"/>
      <c r="Q1855" s="95"/>
      <c r="R1855" s="5" t="b">
        <f t="shared" si="323"/>
        <v>0</v>
      </c>
    </row>
    <row r="1856" spans="1:18" s="4" customFormat="1" ht="15" customHeight="1">
      <c r="A1856" s="64"/>
      <c r="B1856" s="7">
        <f t="shared" si="324"/>
        <v>97</v>
      </c>
      <c r="C1856" s="211" t="s">
        <v>10</v>
      </c>
      <c r="D1856" s="263" t="s">
        <v>774</v>
      </c>
      <c r="E1856" s="263"/>
      <c r="F1856" s="263" t="s">
        <v>155</v>
      </c>
      <c r="G1856" s="263"/>
      <c r="H1856" s="263"/>
      <c r="I1856" s="263" t="s">
        <v>729</v>
      </c>
      <c r="J1856" s="16"/>
      <c r="K1856" s="1"/>
      <c r="M1856" s="1"/>
      <c r="N1856" s="1"/>
      <c r="O1856" s="1"/>
      <c r="P1856" s="1"/>
      <c r="Q1856" s="95"/>
      <c r="R1856" s="5" t="b">
        <f t="shared" si="323"/>
        <v>0</v>
      </c>
    </row>
    <row r="1857" spans="1:18" s="4" customFormat="1" ht="15" customHeight="1">
      <c r="A1857" s="64"/>
      <c r="B1857" s="7">
        <f t="shared" si="324"/>
        <v>98</v>
      </c>
      <c r="C1857" s="211" t="s">
        <v>10</v>
      </c>
      <c r="D1857" s="263" t="s">
        <v>775</v>
      </c>
      <c r="E1857" s="263"/>
      <c r="F1857" s="263" t="s">
        <v>155</v>
      </c>
      <c r="G1857" s="263"/>
      <c r="H1857" s="263"/>
      <c r="I1857" s="263" t="s">
        <v>729</v>
      </c>
      <c r="J1857" s="16"/>
      <c r="K1857" s="1"/>
      <c r="M1857" s="1"/>
      <c r="N1857" s="1"/>
      <c r="O1857" s="1"/>
      <c r="P1857" s="1"/>
      <c r="Q1857" s="95"/>
      <c r="R1857" s="5" t="b">
        <f t="shared" si="323"/>
        <v>0</v>
      </c>
    </row>
    <row r="1858" spans="1:18" s="4" customFormat="1" ht="15" customHeight="1">
      <c r="A1858" s="64"/>
      <c r="B1858" s="7">
        <f t="shared" si="324"/>
        <v>99</v>
      </c>
      <c r="C1858" s="211" t="s">
        <v>10</v>
      </c>
      <c r="D1858" s="263" t="s">
        <v>776</v>
      </c>
      <c r="E1858" s="263"/>
      <c r="F1858" s="263" t="s">
        <v>155</v>
      </c>
      <c r="G1858" s="263"/>
      <c r="H1858" s="263"/>
      <c r="I1858" s="263" t="s">
        <v>729</v>
      </c>
      <c r="J1858" s="16"/>
      <c r="K1858" s="1"/>
      <c r="M1858" s="1"/>
      <c r="N1858" s="1"/>
      <c r="O1858" s="1"/>
      <c r="P1858" s="1"/>
      <c r="Q1858" s="95"/>
      <c r="R1858" s="5" t="b">
        <f t="shared" si="323"/>
        <v>0</v>
      </c>
    </row>
    <row r="1859" spans="1:18" s="4" customFormat="1" ht="15" customHeight="1">
      <c r="A1859" s="64"/>
      <c r="B1859" s="7">
        <f t="shared" si="324"/>
        <v>100</v>
      </c>
      <c r="C1859" s="211" t="s">
        <v>10</v>
      </c>
      <c r="D1859" s="263" t="s">
        <v>777</v>
      </c>
      <c r="E1859" s="263"/>
      <c r="F1859" s="263" t="s">
        <v>155</v>
      </c>
      <c r="G1859" s="263"/>
      <c r="H1859" s="263"/>
      <c r="I1859" s="263" t="s">
        <v>729</v>
      </c>
      <c r="J1859" s="16"/>
      <c r="K1859" s="1"/>
      <c r="M1859" s="1"/>
      <c r="N1859" s="1"/>
      <c r="O1859" s="1"/>
      <c r="P1859" s="1"/>
      <c r="Q1859" s="95"/>
      <c r="R1859" s="5" t="b">
        <f t="shared" si="323"/>
        <v>0</v>
      </c>
    </row>
    <row r="1860" spans="1:18" s="4" customFormat="1" ht="15" customHeight="1">
      <c r="A1860" s="64"/>
      <c r="B1860" s="7">
        <f t="shared" si="324"/>
        <v>101</v>
      </c>
      <c r="C1860" s="211" t="s">
        <v>10</v>
      </c>
      <c r="D1860" s="263" t="s">
        <v>778</v>
      </c>
      <c r="E1860" s="263"/>
      <c r="F1860" s="263" t="s">
        <v>155</v>
      </c>
      <c r="G1860" s="263"/>
      <c r="H1860" s="263"/>
      <c r="I1860" s="263" t="s">
        <v>729</v>
      </c>
      <c r="J1860" s="16"/>
      <c r="K1860" s="1"/>
      <c r="M1860" s="1"/>
      <c r="N1860" s="1"/>
      <c r="O1860" s="1"/>
      <c r="P1860" s="1"/>
      <c r="Q1860" s="95"/>
      <c r="R1860" s="5" t="b">
        <f t="shared" si="323"/>
        <v>0</v>
      </c>
    </row>
    <row r="1861" spans="1:18" s="4" customFormat="1" ht="15" customHeight="1">
      <c r="A1861" s="64"/>
      <c r="B1861" s="7">
        <f t="shared" si="324"/>
        <v>102</v>
      </c>
      <c r="C1861" s="211" t="s">
        <v>10</v>
      </c>
      <c r="D1861" s="263" t="s">
        <v>779</v>
      </c>
      <c r="E1861" s="263"/>
      <c r="F1861" s="263" t="s">
        <v>155</v>
      </c>
      <c r="G1861" s="263"/>
      <c r="H1861" s="263"/>
      <c r="I1861" s="263" t="s">
        <v>729</v>
      </c>
      <c r="J1861" s="16"/>
      <c r="K1861" s="1"/>
      <c r="M1861" s="1"/>
      <c r="N1861" s="1"/>
      <c r="O1861" s="1"/>
      <c r="P1861" s="1"/>
      <c r="Q1861" s="95"/>
      <c r="R1861" s="5" t="b">
        <f t="shared" si="323"/>
        <v>0</v>
      </c>
    </row>
    <row r="1862" spans="1:18" s="4" customFormat="1" ht="15" customHeight="1">
      <c r="A1862" s="64"/>
      <c r="B1862" s="7">
        <f t="shared" si="324"/>
        <v>103</v>
      </c>
      <c r="C1862" s="211" t="s">
        <v>10</v>
      </c>
      <c r="D1862" s="263" t="s">
        <v>775</v>
      </c>
      <c r="E1862" s="263"/>
      <c r="F1862" s="263" t="s">
        <v>155</v>
      </c>
      <c r="G1862" s="263"/>
      <c r="H1862" s="263"/>
      <c r="I1862" s="263" t="s">
        <v>729</v>
      </c>
      <c r="J1862" s="16"/>
      <c r="K1862" s="1"/>
      <c r="M1862" s="1"/>
      <c r="N1862" s="1"/>
      <c r="O1862" s="1"/>
      <c r="P1862" s="1"/>
      <c r="Q1862" s="95"/>
      <c r="R1862" s="5" t="b">
        <f t="shared" si="323"/>
        <v>0</v>
      </c>
    </row>
    <row r="1863" spans="1:18" s="4" customFormat="1" ht="15" customHeight="1">
      <c r="A1863" s="64"/>
      <c r="B1863" s="7">
        <f t="shared" si="324"/>
        <v>104</v>
      </c>
      <c r="C1863" s="211" t="s">
        <v>10</v>
      </c>
      <c r="D1863" s="263" t="s">
        <v>780</v>
      </c>
      <c r="E1863" s="263"/>
      <c r="F1863" s="263" t="s">
        <v>155</v>
      </c>
      <c r="G1863" s="263"/>
      <c r="H1863" s="263"/>
      <c r="I1863" s="263" t="s">
        <v>729</v>
      </c>
      <c r="J1863" s="16"/>
      <c r="K1863" s="1"/>
      <c r="M1863" s="1"/>
      <c r="N1863" s="1"/>
      <c r="O1863" s="1"/>
      <c r="P1863" s="1"/>
      <c r="Q1863" s="95"/>
      <c r="R1863" s="5" t="b">
        <f t="shared" si="323"/>
        <v>0</v>
      </c>
    </row>
    <row r="1864" spans="1:18" s="4" customFormat="1" ht="15" customHeight="1">
      <c r="A1864" s="64"/>
      <c r="B1864" s="7">
        <f t="shared" si="324"/>
        <v>105</v>
      </c>
      <c r="C1864" s="211" t="s">
        <v>10</v>
      </c>
      <c r="D1864" s="263" t="s">
        <v>781</v>
      </c>
      <c r="E1864" s="263"/>
      <c r="F1864" s="263" t="s">
        <v>155</v>
      </c>
      <c r="G1864" s="263"/>
      <c r="H1864" s="263"/>
      <c r="I1864" s="263" t="s">
        <v>729</v>
      </c>
      <c r="J1864" s="16"/>
      <c r="K1864" s="1"/>
      <c r="M1864" s="1"/>
      <c r="N1864" s="1"/>
      <c r="O1864" s="1"/>
      <c r="P1864" s="1"/>
      <c r="Q1864" s="95"/>
      <c r="R1864" s="5" t="b">
        <f t="shared" si="323"/>
        <v>0</v>
      </c>
    </row>
    <row r="1865" spans="1:18" s="4" customFormat="1" ht="15" customHeight="1">
      <c r="A1865" s="64"/>
      <c r="B1865" s="7">
        <f t="shared" si="324"/>
        <v>106</v>
      </c>
      <c r="C1865" s="211" t="s">
        <v>10</v>
      </c>
      <c r="D1865" s="263" t="s">
        <v>782</v>
      </c>
      <c r="E1865" s="263"/>
      <c r="F1865" s="263" t="s">
        <v>155</v>
      </c>
      <c r="G1865" s="263"/>
      <c r="H1865" s="263"/>
      <c r="I1865" s="263" t="s">
        <v>729</v>
      </c>
      <c r="J1865" s="16"/>
      <c r="K1865" s="1"/>
      <c r="M1865" s="1"/>
      <c r="N1865" s="1"/>
      <c r="O1865" s="1"/>
      <c r="P1865" s="1"/>
      <c r="Q1865" s="95"/>
      <c r="R1865" s="5" t="b">
        <f t="shared" si="323"/>
        <v>0</v>
      </c>
    </row>
    <row r="1866" spans="1:18" s="4" customFormat="1" ht="15" customHeight="1">
      <c r="A1866" s="64"/>
      <c r="B1866" s="7">
        <f t="shared" si="324"/>
        <v>107</v>
      </c>
      <c r="C1866" s="211" t="s">
        <v>10</v>
      </c>
      <c r="D1866" s="263" t="s">
        <v>783</v>
      </c>
      <c r="E1866" s="263"/>
      <c r="F1866" s="263" t="s">
        <v>155</v>
      </c>
      <c r="G1866" s="263"/>
      <c r="H1866" s="263"/>
      <c r="I1866" s="263" t="s">
        <v>729</v>
      </c>
      <c r="J1866" s="16"/>
      <c r="K1866" s="1"/>
      <c r="M1866" s="1"/>
      <c r="N1866" s="1"/>
      <c r="O1866" s="1"/>
      <c r="P1866" s="1"/>
      <c r="Q1866" s="95"/>
      <c r="R1866" s="5" t="b">
        <f t="shared" si="323"/>
        <v>0</v>
      </c>
    </row>
    <row r="1867" spans="1:18" s="4" customFormat="1" ht="15" customHeight="1">
      <c r="A1867" s="64"/>
      <c r="B1867" s="7">
        <f t="shared" si="324"/>
        <v>108</v>
      </c>
      <c r="C1867" s="211" t="s">
        <v>10</v>
      </c>
      <c r="D1867" s="263" t="s">
        <v>784</v>
      </c>
      <c r="E1867" s="263"/>
      <c r="F1867" s="263" t="s">
        <v>155</v>
      </c>
      <c r="G1867" s="263"/>
      <c r="H1867" s="263"/>
      <c r="I1867" s="263" t="s">
        <v>729</v>
      </c>
      <c r="J1867" s="16"/>
      <c r="K1867" s="1"/>
      <c r="M1867" s="1"/>
      <c r="N1867" s="1"/>
      <c r="O1867" s="1"/>
      <c r="P1867" s="1"/>
      <c r="Q1867" s="95"/>
      <c r="R1867" s="5" t="b">
        <f t="shared" si="323"/>
        <v>0</v>
      </c>
    </row>
    <row r="1868" spans="1:18" s="4" customFormat="1" ht="15" customHeight="1">
      <c r="A1868" s="64"/>
      <c r="B1868" s="7">
        <f t="shared" si="324"/>
        <v>109</v>
      </c>
      <c r="C1868" s="211" t="s">
        <v>10</v>
      </c>
      <c r="D1868" s="263" t="s">
        <v>785</v>
      </c>
      <c r="E1868" s="263"/>
      <c r="F1868" s="263" t="s">
        <v>155</v>
      </c>
      <c r="G1868" s="263"/>
      <c r="H1868" s="263"/>
      <c r="I1868" s="263" t="s">
        <v>729</v>
      </c>
      <c r="J1868" s="16"/>
      <c r="K1868" s="1"/>
      <c r="M1868" s="1"/>
      <c r="N1868" s="1"/>
      <c r="O1868" s="1"/>
      <c r="P1868" s="1"/>
      <c r="Q1868" s="95"/>
      <c r="R1868" s="5" t="b">
        <f t="shared" si="323"/>
        <v>0</v>
      </c>
    </row>
    <row r="1869" spans="1:18" s="4" customFormat="1" ht="15" customHeight="1">
      <c r="A1869" s="64"/>
      <c r="B1869" s="7">
        <f t="shared" si="324"/>
        <v>110</v>
      </c>
      <c r="C1869" s="211" t="s">
        <v>10</v>
      </c>
      <c r="D1869" s="263" t="s">
        <v>786</v>
      </c>
      <c r="E1869" s="263"/>
      <c r="F1869" s="263" t="s">
        <v>155</v>
      </c>
      <c r="G1869" s="263"/>
      <c r="H1869" s="263"/>
      <c r="I1869" s="263" t="s">
        <v>729</v>
      </c>
      <c r="J1869" s="16"/>
      <c r="K1869" s="1"/>
      <c r="M1869" s="1"/>
      <c r="N1869" s="1"/>
      <c r="O1869" s="1"/>
      <c r="P1869" s="1"/>
      <c r="Q1869" s="95"/>
      <c r="R1869" s="5" t="b">
        <f t="shared" si="323"/>
        <v>0</v>
      </c>
    </row>
    <row r="1870" spans="1:18" s="4" customFormat="1" ht="15" customHeight="1">
      <c r="A1870" s="64"/>
      <c r="B1870" s="7">
        <f t="shared" si="324"/>
        <v>111</v>
      </c>
      <c r="C1870" s="211" t="s">
        <v>10</v>
      </c>
      <c r="D1870" s="263" t="s">
        <v>787</v>
      </c>
      <c r="E1870" s="263"/>
      <c r="F1870" s="263" t="s">
        <v>155</v>
      </c>
      <c r="G1870" s="263"/>
      <c r="H1870" s="263"/>
      <c r="I1870" s="263" t="s">
        <v>729</v>
      </c>
      <c r="J1870" s="16"/>
      <c r="K1870" s="1"/>
      <c r="M1870" s="1"/>
      <c r="N1870" s="1"/>
      <c r="O1870" s="1"/>
      <c r="P1870" s="1"/>
      <c r="Q1870" s="95"/>
      <c r="R1870" s="5" t="b">
        <f t="shared" si="323"/>
        <v>0</v>
      </c>
    </row>
    <row r="1871" spans="1:18" s="4" customFormat="1" ht="15" customHeight="1">
      <c r="A1871" s="64"/>
      <c r="B1871" s="7">
        <f t="shared" si="324"/>
        <v>112</v>
      </c>
      <c r="C1871" s="211" t="s">
        <v>10</v>
      </c>
      <c r="D1871" s="263" t="s">
        <v>788</v>
      </c>
      <c r="E1871" s="263"/>
      <c r="F1871" s="263" t="s">
        <v>155</v>
      </c>
      <c r="G1871" s="263"/>
      <c r="H1871" s="263"/>
      <c r="I1871" s="263" t="s">
        <v>729</v>
      </c>
      <c r="J1871" s="16"/>
      <c r="K1871" s="1"/>
      <c r="M1871" s="1"/>
      <c r="N1871" s="1"/>
      <c r="O1871" s="1"/>
      <c r="P1871" s="1"/>
      <c r="Q1871" s="95"/>
      <c r="R1871" s="5" t="b">
        <f t="shared" si="323"/>
        <v>0</v>
      </c>
    </row>
    <row r="1872" spans="1:18" s="4" customFormat="1" ht="15" customHeight="1">
      <c r="A1872" s="64"/>
      <c r="B1872" s="7">
        <f t="shared" si="324"/>
        <v>113</v>
      </c>
      <c r="C1872" s="211" t="s">
        <v>10</v>
      </c>
      <c r="D1872" s="263" t="s">
        <v>789</v>
      </c>
      <c r="E1872" s="263"/>
      <c r="F1872" s="263" t="s">
        <v>155</v>
      </c>
      <c r="G1872" s="263"/>
      <c r="H1872" s="263"/>
      <c r="I1872" s="263" t="s">
        <v>729</v>
      </c>
      <c r="J1872" s="16"/>
      <c r="K1872" s="1"/>
      <c r="M1872" s="1"/>
      <c r="N1872" s="1"/>
      <c r="O1872" s="1"/>
      <c r="P1872" s="1"/>
      <c r="Q1872" s="95"/>
      <c r="R1872" s="5" t="b">
        <f t="shared" si="323"/>
        <v>0</v>
      </c>
    </row>
    <row r="1873" spans="1:18" s="4" customFormat="1" ht="15" customHeight="1">
      <c r="A1873" s="64"/>
      <c r="B1873" s="7">
        <f t="shared" si="324"/>
        <v>114</v>
      </c>
      <c r="C1873" s="211" t="s">
        <v>10</v>
      </c>
      <c r="D1873" s="263" t="s">
        <v>790</v>
      </c>
      <c r="E1873" s="263"/>
      <c r="F1873" s="263" t="s">
        <v>155</v>
      </c>
      <c r="G1873" s="263"/>
      <c r="H1873" s="263"/>
      <c r="I1873" s="263" t="s">
        <v>729</v>
      </c>
      <c r="J1873" s="16"/>
      <c r="K1873" s="1"/>
      <c r="M1873" s="1"/>
      <c r="N1873" s="1"/>
      <c r="O1873" s="1"/>
      <c r="P1873" s="1"/>
      <c r="Q1873" s="95"/>
      <c r="R1873" s="5" t="b">
        <f t="shared" si="323"/>
        <v>0</v>
      </c>
    </row>
    <row r="1874" spans="1:18" s="4" customFormat="1" ht="15" customHeight="1">
      <c r="A1874" s="64"/>
      <c r="B1874" s="7">
        <f t="shared" si="324"/>
        <v>115</v>
      </c>
      <c r="C1874" s="211" t="s">
        <v>10</v>
      </c>
      <c r="D1874" s="263" t="s">
        <v>791</v>
      </c>
      <c r="E1874" s="263"/>
      <c r="F1874" s="263" t="s">
        <v>155</v>
      </c>
      <c r="G1874" s="263"/>
      <c r="H1874" s="263"/>
      <c r="I1874" s="263" t="s">
        <v>729</v>
      </c>
      <c r="J1874" s="16"/>
      <c r="K1874" s="1"/>
      <c r="M1874" s="1"/>
      <c r="N1874" s="1"/>
      <c r="O1874" s="1"/>
      <c r="P1874" s="1"/>
      <c r="Q1874" s="95"/>
      <c r="R1874" s="5" t="b">
        <f t="shared" si="323"/>
        <v>0</v>
      </c>
    </row>
    <row r="1875" spans="1:18" s="4" customFormat="1" ht="15" customHeight="1">
      <c r="A1875" s="64"/>
      <c r="B1875" s="7">
        <f t="shared" si="324"/>
        <v>116</v>
      </c>
      <c r="C1875" s="211" t="s">
        <v>10</v>
      </c>
      <c r="D1875" s="263" t="s">
        <v>792</v>
      </c>
      <c r="E1875" s="263"/>
      <c r="F1875" s="263" t="s">
        <v>155</v>
      </c>
      <c r="G1875" s="263"/>
      <c r="H1875" s="263"/>
      <c r="I1875" s="263" t="s">
        <v>729</v>
      </c>
      <c r="J1875" s="16"/>
      <c r="K1875" s="1"/>
      <c r="M1875" s="1"/>
      <c r="N1875" s="1"/>
      <c r="O1875" s="1"/>
      <c r="P1875" s="1"/>
      <c r="Q1875" s="95"/>
      <c r="R1875" s="5" t="b">
        <f t="shared" si="323"/>
        <v>0</v>
      </c>
    </row>
    <row r="1876" spans="1:18" s="4" customFormat="1" ht="15" customHeight="1">
      <c r="A1876" s="64"/>
      <c r="B1876" s="7">
        <f t="shared" si="324"/>
        <v>117</v>
      </c>
      <c r="C1876" s="211" t="s">
        <v>10</v>
      </c>
      <c r="D1876" s="263" t="s">
        <v>793</v>
      </c>
      <c r="E1876" s="263"/>
      <c r="F1876" s="263" t="s">
        <v>155</v>
      </c>
      <c r="G1876" s="263"/>
      <c r="H1876" s="263"/>
      <c r="I1876" s="263" t="s">
        <v>729</v>
      </c>
      <c r="J1876" s="16"/>
      <c r="K1876" s="1"/>
      <c r="M1876" s="1"/>
      <c r="N1876" s="1"/>
      <c r="O1876" s="1"/>
      <c r="P1876" s="1"/>
      <c r="Q1876" s="95"/>
      <c r="R1876" s="5" t="b">
        <f t="shared" si="323"/>
        <v>0</v>
      </c>
    </row>
    <row r="1877" spans="1:18" s="4" customFormat="1" ht="15" customHeight="1">
      <c r="A1877" s="64"/>
      <c r="B1877" s="7">
        <f t="shared" si="324"/>
        <v>118</v>
      </c>
      <c r="C1877" s="211" t="s">
        <v>10</v>
      </c>
      <c r="D1877" s="263" t="s">
        <v>794</v>
      </c>
      <c r="E1877" s="263"/>
      <c r="F1877" s="263" t="s">
        <v>155</v>
      </c>
      <c r="G1877" s="263"/>
      <c r="H1877" s="263"/>
      <c r="I1877" s="263" t="s">
        <v>729</v>
      </c>
      <c r="J1877" s="16"/>
      <c r="K1877" s="1"/>
      <c r="M1877" s="1"/>
      <c r="N1877" s="1"/>
      <c r="O1877" s="1"/>
      <c r="P1877" s="1"/>
      <c r="Q1877" s="95"/>
      <c r="R1877" s="5" t="b">
        <f t="shared" si="323"/>
        <v>0</v>
      </c>
    </row>
    <row r="1878" spans="1:18" s="4" customFormat="1" ht="15" customHeight="1">
      <c r="A1878" s="64"/>
      <c r="B1878" s="7">
        <f t="shared" si="324"/>
        <v>119</v>
      </c>
      <c r="C1878" s="211" t="s">
        <v>10</v>
      </c>
      <c r="D1878" s="263" t="s">
        <v>795</v>
      </c>
      <c r="E1878" s="263"/>
      <c r="F1878" s="263" t="s">
        <v>155</v>
      </c>
      <c r="G1878" s="263"/>
      <c r="H1878" s="263"/>
      <c r="I1878" s="263" t="s">
        <v>729</v>
      </c>
      <c r="J1878" s="16"/>
      <c r="K1878" s="1"/>
      <c r="M1878" s="1"/>
      <c r="N1878" s="1"/>
      <c r="O1878" s="1"/>
      <c r="P1878" s="1"/>
      <c r="Q1878" s="95"/>
      <c r="R1878" s="5" t="b">
        <f t="shared" si="323"/>
        <v>0</v>
      </c>
    </row>
    <row r="1879" spans="1:18" s="4" customFormat="1" ht="15" customHeight="1">
      <c r="A1879" s="64"/>
      <c r="B1879" s="7">
        <f t="shared" si="324"/>
        <v>120</v>
      </c>
      <c r="C1879" s="211" t="s">
        <v>10</v>
      </c>
      <c r="D1879" s="263" t="s">
        <v>796</v>
      </c>
      <c r="E1879" s="263"/>
      <c r="F1879" s="263" t="s">
        <v>155</v>
      </c>
      <c r="G1879" s="263"/>
      <c r="H1879" s="263"/>
      <c r="I1879" s="263" t="s">
        <v>729</v>
      </c>
      <c r="J1879" s="16"/>
      <c r="K1879" s="1"/>
      <c r="M1879" s="1"/>
      <c r="N1879" s="1"/>
      <c r="O1879" s="1"/>
      <c r="P1879" s="1"/>
      <c r="Q1879" s="95"/>
      <c r="R1879" s="5" t="b">
        <f t="shared" si="323"/>
        <v>0</v>
      </c>
    </row>
    <row r="1880" spans="1:18" s="4" customFormat="1" ht="15" customHeight="1">
      <c r="A1880" s="64"/>
      <c r="B1880" s="7">
        <f t="shared" si="324"/>
        <v>121</v>
      </c>
      <c r="C1880" s="211" t="s">
        <v>10</v>
      </c>
      <c r="D1880" s="263" t="s">
        <v>797</v>
      </c>
      <c r="E1880" s="263"/>
      <c r="F1880" s="263" t="s">
        <v>155</v>
      </c>
      <c r="G1880" s="263"/>
      <c r="H1880" s="263"/>
      <c r="I1880" s="263" t="s">
        <v>729</v>
      </c>
      <c r="J1880" s="16"/>
      <c r="K1880" s="1"/>
      <c r="M1880" s="1"/>
      <c r="N1880" s="1"/>
      <c r="O1880" s="1"/>
      <c r="P1880" s="1"/>
      <c r="Q1880" s="95"/>
      <c r="R1880" s="5" t="b">
        <f t="shared" si="323"/>
        <v>0</v>
      </c>
    </row>
    <row r="1881" spans="1:18" s="4" customFormat="1" ht="15" customHeight="1">
      <c r="A1881" s="64"/>
      <c r="B1881" s="7">
        <f t="shared" si="324"/>
        <v>122</v>
      </c>
      <c r="C1881" s="211" t="s">
        <v>10</v>
      </c>
      <c r="D1881" s="263" t="s">
        <v>798</v>
      </c>
      <c r="E1881" s="263"/>
      <c r="F1881" s="263" t="s">
        <v>155</v>
      </c>
      <c r="G1881" s="263"/>
      <c r="H1881" s="263"/>
      <c r="I1881" s="263" t="s">
        <v>729</v>
      </c>
      <c r="J1881" s="16"/>
      <c r="K1881" s="1"/>
      <c r="M1881" s="1"/>
      <c r="N1881" s="1"/>
      <c r="O1881" s="1"/>
      <c r="P1881" s="1"/>
      <c r="Q1881" s="95"/>
      <c r="R1881" s="5" t="b">
        <f t="shared" si="323"/>
        <v>0</v>
      </c>
    </row>
    <row r="1882" spans="1:18" s="4" customFormat="1" ht="15" customHeight="1">
      <c r="A1882" s="64"/>
      <c r="B1882" s="7">
        <f t="shared" si="324"/>
        <v>123</v>
      </c>
      <c r="C1882" s="211" t="s">
        <v>10</v>
      </c>
      <c r="D1882" s="263" t="s">
        <v>2200</v>
      </c>
      <c r="E1882" s="263"/>
      <c r="F1882" s="263" t="s">
        <v>155</v>
      </c>
      <c r="G1882" s="263"/>
      <c r="H1882" s="263"/>
      <c r="I1882" s="263" t="s">
        <v>729</v>
      </c>
      <c r="J1882" s="16"/>
      <c r="K1882" s="1"/>
      <c r="M1882" s="1"/>
      <c r="N1882" s="1"/>
      <c r="O1882" s="1"/>
      <c r="P1882" s="1"/>
      <c r="Q1882" s="95"/>
      <c r="R1882" s="5" t="b">
        <f t="shared" si="323"/>
        <v>0</v>
      </c>
    </row>
    <row r="1883" spans="1:18" s="4" customFormat="1" ht="15" customHeight="1">
      <c r="A1883" s="64"/>
      <c r="B1883" s="7">
        <f t="shared" si="324"/>
        <v>124</v>
      </c>
      <c r="C1883" s="211" t="s">
        <v>10</v>
      </c>
      <c r="D1883" s="263" t="s">
        <v>2201</v>
      </c>
      <c r="E1883" s="263"/>
      <c r="F1883" s="263" t="s">
        <v>155</v>
      </c>
      <c r="G1883" s="263"/>
      <c r="H1883" s="263"/>
      <c r="I1883" s="263" t="s">
        <v>729</v>
      </c>
      <c r="J1883" s="16"/>
      <c r="K1883" s="1"/>
      <c r="M1883" s="1"/>
      <c r="N1883" s="1"/>
      <c r="O1883" s="1"/>
      <c r="P1883" s="1"/>
      <c r="Q1883" s="95"/>
      <c r="R1883" s="5" t="b">
        <f t="shared" si="323"/>
        <v>0</v>
      </c>
    </row>
    <row r="1884" spans="1:18" s="4" customFormat="1" ht="15" customHeight="1">
      <c r="A1884" s="64"/>
      <c r="B1884" s="7">
        <f t="shared" si="324"/>
        <v>125</v>
      </c>
      <c r="C1884" s="211" t="s">
        <v>10</v>
      </c>
      <c r="D1884" s="263" t="s">
        <v>2202</v>
      </c>
      <c r="E1884" s="263"/>
      <c r="F1884" s="263" t="s">
        <v>155</v>
      </c>
      <c r="G1884" s="263"/>
      <c r="H1884" s="263"/>
      <c r="I1884" s="263" t="s">
        <v>729</v>
      </c>
      <c r="J1884" s="16"/>
      <c r="K1884" s="1"/>
      <c r="M1884" s="1"/>
      <c r="N1884" s="1"/>
      <c r="O1884" s="1"/>
      <c r="P1884" s="1"/>
      <c r="Q1884" s="95"/>
      <c r="R1884" s="5" t="b">
        <f t="shared" si="323"/>
        <v>0</v>
      </c>
    </row>
    <row r="1885" spans="1:18" s="4" customFormat="1" ht="15" customHeight="1">
      <c r="A1885" s="64"/>
      <c r="B1885" s="7">
        <f t="shared" si="324"/>
        <v>126</v>
      </c>
      <c r="C1885" s="211" t="s">
        <v>10</v>
      </c>
      <c r="D1885" s="263" t="s">
        <v>799</v>
      </c>
      <c r="E1885" s="263"/>
      <c r="F1885" s="263" t="s">
        <v>800</v>
      </c>
      <c r="G1885" s="263"/>
      <c r="H1885" s="263"/>
      <c r="I1885" s="263" t="s">
        <v>801</v>
      </c>
      <c r="J1885" s="16"/>
      <c r="K1885" s="1"/>
      <c r="M1885" s="1"/>
      <c r="N1885" s="1"/>
      <c r="O1885" s="1"/>
      <c r="P1885" s="1"/>
      <c r="Q1885" s="95"/>
      <c r="R1885" s="5" t="b">
        <f t="shared" si="323"/>
        <v>0</v>
      </c>
    </row>
    <row r="1886" spans="1:18" s="4" customFormat="1" ht="15" customHeight="1">
      <c r="A1886" s="64"/>
      <c r="B1886" s="7">
        <f t="shared" si="324"/>
        <v>127</v>
      </c>
      <c r="C1886" s="211" t="s">
        <v>10</v>
      </c>
      <c r="D1886" s="263" t="s">
        <v>802</v>
      </c>
      <c r="E1886" s="263"/>
      <c r="F1886" s="263" t="s">
        <v>800</v>
      </c>
      <c r="G1886" s="263"/>
      <c r="H1886" s="263"/>
      <c r="I1886" s="263" t="s">
        <v>801</v>
      </c>
      <c r="J1886" s="16"/>
      <c r="K1886" s="1"/>
      <c r="M1886" s="1"/>
      <c r="N1886" s="1"/>
      <c r="O1886" s="1"/>
      <c r="P1886" s="1"/>
      <c r="Q1886" s="95"/>
      <c r="R1886" s="5" t="b">
        <f t="shared" si="323"/>
        <v>0</v>
      </c>
    </row>
    <row r="1887" spans="1:18" s="4" customFormat="1" ht="15" customHeight="1">
      <c r="A1887" s="64"/>
      <c r="B1887" s="7">
        <f t="shared" si="324"/>
        <v>128</v>
      </c>
      <c r="C1887" s="211" t="s">
        <v>10</v>
      </c>
      <c r="D1887" s="263" t="s">
        <v>803</v>
      </c>
      <c r="E1887" s="263"/>
      <c r="F1887" s="263" t="s">
        <v>800</v>
      </c>
      <c r="G1887" s="263"/>
      <c r="H1887" s="263"/>
      <c r="I1887" s="263" t="s">
        <v>801</v>
      </c>
      <c r="J1887" s="16"/>
      <c r="K1887" s="1"/>
      <c r="M1887" s="1"/>
      <c r="N1887" s="1"/>
      <c r="O1887" s="1"/>
      <c r="P1887" s="1"/>
      <c r="Q1887" s="95"/>
      <c r="R1887" s="5" t="b">
        <f t="shared" si="323"/>
        <v>0</v>
      </c>
    </row>
    <row r="1888" spans="1:18" s="4" customFormat="1" ht="15" customHeight="1">
      <c r="A1888" s="64"/>
      <c r="B1888" s="7">
        <f t="shared" si="324"/>
        <v>129</v>
      </c>
      <c r="C1888" s="211" t="s">
        <v>10</v>
      </c>
      <c r="D1888" s="263" t="s">
        <v>804</v>
      </c>
      <c r="E1888" s="263"/>
      <c r="F1888" s="263" t="s">
        <v>800</v>
      </c>
      <c r="G1888" s="263"/>
      <c r="H1888" s="263"/>
      <c r="I1888" s="263" t="s">
        <v>801</v>
      </c>
      <c r="J1888" s="16"/>
      <c r="K1888" s="1"/>
      <c r="M1888" s="1"/>
      <c r="N1888" s="1"/>
      <c r="O1888" s="1"/>
      <c r="P1888" s="1"/>
      <c r="Q1888" s="95"/>
      <c r="R1888" s="5" t="b">
        <f t="shared" ref="R1888:R1951" si="325">IF(O1888&gt;89.9999999999999%,"PAMA")</f>
        <v>0</v>
      </c>
    </row>
    <row r="1889" spans="1:18" s="4" customFormat="1" ht="15" customHeight="1">
      <c r="A1889" s="64"/>
      <c r="B1889" s="7">
        <f t="shared" si="324"/>
        <v>130</v>
      </c>
      <c r="C1889" s="211" t="s">
        <v>10</v>
      </c>
      <c r="D1889" s="263" t="s">
        <v>805</v>
      </c>
      <c r="E1889" s="263"/>
      <c r="F1889" s="263" t="s">
        <v>800</v>
      </c>
      <c r="G1889" s="263"/>
      <c r="H1889" s="263"/>
      <c r="I1889" s="263" t="s">
        <v>801</v>
      </c>
      <c r="J1889" s="16"/>
      <c r="K1889" s="1"/>
      <c r="M1889" s="1"/>
      <c r="N1889" s="1"/>
      <c r="O1889" s="1"/>
      <c r="P1889" s="1"/>
      <c r="Q1889" s="95"/>
      <c r="R1889" s="5" t="b">
        <f t="shared" si="325"/>
        <v>0</v>
      </c>
    </row>
    <row r="1890" spans="1:18" s="4" customFormat="1" ht="15" customHeight="1">
      <c r="A1890" s="64"/>
      <c r="B1890" s="7">
        <f t="shared" si="324"/>
        <v>131</v>
      </c>
      <c r="C1890" s="211" t="s">
        <v>10</v>
      </c>
      <c r="D1890" s="263" t="s">
        <v>806</v>
      </c>
      <c r="E1890" s="263"/>
      <c r="F1890" s="263" t="s">
        <v>800</v>
      </c>
      <c r="G1890" s="263"/>
      <c r="H1890" s="263"/>
      <c r="I1890" s="263" t="s">
        <v>801</v>
      </c>
      <c r="J1890" s="16"/>
      <c r="K1890" s="1"/>
      <c r="M1890" s="1"/>
      <c r="N1890" s="1"/>
      <c r="O1890" s="1"/>
      <c r="P1890" s="1"/>
      <c r="Q1890" s="95"/>
      <c r="R1890" s="5" t="b">
        <f t="shared" si="325"/>
        <v>0</v>
      </c>
    </row>
    <row r="1891" spans="1:18" s="4" customFormat="1" ht="15" customHeight="1">
      <c r="A1891" s="64"/>
      <c r="B1891" s="7">
        <f t="shared" si="324"/>
        <v>132</v>
      </c>
      <c r="C1891" s="211" t="s">
        <v>10</v>
      </c>
      <c r="D1891" s="263" t="s">
        <v>807</v>
      </c>
      <c r="E1891" s="263"/>
      <c r="F1891" s="263" t="s">
        <v>800</v>
      </c>
      <c r="G1891" s="263"/>
      <c r="H1891" s="263"/>
      <c r="I1891" s="263" t="s">
        <v>801</v>
      </c>
      <c r="J1891" s="16"/>
      <c r="K1891" s="1"/>
      <c r="M1891" s="1"/>
      <c r="N1891" s="1"/>
      <c r="O1891" s="1"/>
      <c r="P1891" s="1"/>
      <c r="Q1891" s="95"/>
      <c r="R1891" s="5" t="b">
        <f t="shared" si="325"/>
        <v>0</v>
      </c>
    </row>
    <row r="1892" spans="1:18" s="4" customFormat="1" ht="15" customHeight="1">
      <c r="A1892" s="64"/>
      <c r="B1892" s="7">
        <f t="shared" si="324"/>
        <v>133</v>
      </c>
      <c r="C1892" s="211" t="s">
        <v>10</v>
      </c>
      <c r="D1892" s="263" t="s">
        <v>808</v>
      </c>
      <c r="E1892" s="263"/>
      <c r="F1892" s="263" t="s">
        <v>800</v>
      </c>
      <c r="G1892" s="263"/>
      <c r="H1892" s="263"/>
      <c r="I1892" s="263" t="s">
        <v>801</v>
      </c>
      <c r="J1892" s="16"/>
      <c r="K1892" s="1"/>
      <c r="M1892" s="1"/>
      <c r="N1892" s="1"/>
      <c r="O1892" s="1"/>
      <c r="P1892" s="1"/>
      <c r="Q1892" s="95"/>
      <c r="R1892" s="5" t="b">
        <f t="shared" si="325"/>
        <v>0</v>
      </c>
    </row>
    <row r="1893" spans="1:18" s="4" customFormat="1" ht="15" customHeight="1">
      <c r="A1893" s="64"/>
      <c r="B1893" s="7">
        <f t="shared" si="324"/>
        <v>134</v>
      </c>
      <c r="C1893" s="211" t="s">
        <v>10</v>
      </c>
      <c r="D1893" s="263" t="s">
        <v>809</v>
      </c>
      <c r="E1893" s="263"/>
      <c r="F1893" s="263" t="s">
        <v>800</v>
      </c>
      <c r="G1893" s="263"/>
      <c r="H1893" s="263"/>
      <c r="I1893" s="263" t="s">
        <v>801</v>
      </c>
      <c r="J1893" s="16"/>
      <c r="K1893" s="1"/>
      <c r="M1893" s="1"/>
      <c r="N1893" s="1"/>
      <c r="O1893" s="1"/>
      <c r="P1893" s="1"/>
      <c r="Q1893" s="95"/>
      <c r="R1893" s="5" t="b">
        <f t="shared" si="325"/>
        <v>0</v>
      </c>
    </row>
    <row r="1894" spans="1:18" s="4" customFormat="1" ht="15" customHeight="1">
      <c r="A1894" s="64"/>
      <c r="B1894" s="7">
        <f t="shared" si="324"/>
        <v>135</v>
      </c>
      <c r="C1894" s="211" t="s">
        <v>10</v>
      </c>
      <c r="D1894" s="263" t="s">
        <v>810</v>
      </c>
      <c r="E1894" s="263"/>
      <c r="F1894" s="263" t="s">
        <v>800</v>
      </c>
      <c r="G1894" s="263"/>
      <c r="H1894" s="263"/>
      <c r="I1894" s="263" t="s">
        <v>801</v>
      </c>
      <c r="J1894" s="16"/>
      <c r="K1894" s="1"/>
      <c r="M1894" s="1"/>
      <c r="N1894" s="1"/>
      <c r="O1894" s="1"/>
      <c r="P1894" s="1"/>
      <c r="Q1894" s="95"/>
      <c r="R1894" s="5" t="b">
        <f t="shared" si="325"/>
        <v>0</v>
      </c>
    </row>
    <row r="1895" spans="1:18" s="4" customFormat="1" ht="15" customHeight="1">
      <c r="A1895" s="64"/>
      <c r="B1895" s="7">
        <f t="shared" si="324"/>
        <v>136</v>
      </c>
      <c r="C1895" s="211" t="s">
        <v>10</v>
      </c>
      <c r="D1895" s="263" t="s">
        <v>811</v>
      </c>
      <c r="E1895" s="263"/>
      <c r="F1895" s="263" t="s">
        <v>800</v>
      </c>
      <c r="G1895" s="263"/>
      <c r="H1895" s="263"/>
      <c r="I1895" s="263" t="s">
        <v>801</v>
      </c>
      <c r="J1895" s="16"/>
      <c r="K1895" s="1"/>
      <c r="M1895" s="1"/>
      <c r="N1895" s="1"/>
      <c r="O1895" s="1"/>
      <c r="P1895" s="1"/>
      <c r="Q1895" s="95"/>
      <c r="R1895" s="5" t="b">
        <f t="shared" si="325"/>
        <v>0</v>
      </c>
    </row>
    <row r="1896" spans="1:18" s="4" customFormat="1" ht="15" customHeight="1">
      <c r="A1896" s="64"/>
      <c r="B1896" s="7">
        <f t="shared" si="324"/>
        <v>137</v>
      </c>
      <c r="C1896" s="211" t="s">
        <v>10</v>
      </c>
      <c r="D1896" s="263" t="s">
        <v>812</v>
      </c>
      <c r="E1896" s="263"/>
      <c r="F1896" s="263" t="s">
        <v>800</v>
      </c>
      <c r="G1896" s="263"/>
      <c r="H1896" s="263"/>
      <c r="I1896" s="263" t="s">
        <v>801</v>
      </c>
      <c r="J1896" s="16"/>
      <c r="K1896" s="1"/>
      <c r="M1896" s="1"/>
      <c r="N1896" s="1"/>
      <c r="O1896" s="1"/>
      <c r="P1896" s="1"/>
      <c r="Q1896" s="95"/>
      <c r="R1896" s="5" t="b">
        <f t="shared" si="325"/>
        <v>0</v>
      </c>
    </row>
    <row r="1897" spans="1:18" s="4" customFormat="1" ht="15" customHeight="1">
      <c r="A1897" s="64"/>
      <c r="B1897" s="7">
        <f t="shared" si="324"/>
        <v>138</v>
      </c>
      <c r="C1897" s="211" t="s">
        <v>10</v>
      </c>
      <c r="D1897" s="263" t="s">
        <v>813</v>
      </c>
      <c r="E1897" s="263"/>
      <c r="F1897" s="263" t="s">
        <v>800</v>
      </c>
      <c r="G1897" s="263"/>
      <c r="H1897" s="263"/>
      <c r="I1897" s="263" t="s">
        <v>801</v>
      </c>
      <c r="J1897" s="16"/>
      <c r="K1897" s="1"/>
      <c r="M1897" s="1"/>
      <c r="N1897" s="1"/>
      <c r="O1897" s="1"/>
      <c r="P1897" s="1"/>
      <c r="Q1897" s="95"/>
      <c r="R1897" s="5" t="b">
        <f t="shared" si="325"/>
        <v>0</v>
      </c>
    </row>
    <row r="1898" spans="1:18" s="4" customFormat="1" ht="15" customHeight="1">
      <c r="A1898" s="64"/>
      <c r="B1898" s="7">
        <f t="shared" ref="B1898:B1961" si="326">B1897+1</f>
        <v>139</v>
      </c>
      <c r="C1898" s="211" t="s">
        <v>10</v>
      </c>
      <c r="D1898" s="263" t="s">
        <v>814</v>
      </c>
      <c r="E1898" s="263"/>
      <c r="F1898" s="263" t="s">
        <v>800</v>
      </c>
      <c r="G1898" s="263"/>
      <c r="H1898" s="263"/>
      <c r="I1898" s="263" t="s">
        <v>801</v>
      </c>
      <c r="J1898" s="16"/>
      <c r="K1898" s="1"/>
      <c r="M1898" s="1"/>
      <c r="N1898" s="1"/>
      <c r="O1898" s="1"/>
      <c r="P1898" s="1"/>
      <c r="Q1898" s="95"/>
      <c r="R1898" s="5" t="b">
        <f t="shared" si="325"/>
        <v>0</v>
      </c>
    </row>
    <row r="1899" spans="1:18" s="4" customFormat="1" ht="15" customHeight="1">
      <c r="A1899" s="64"/>
      <c r="B1899" s="7">
        <f t="shared" si="326"/>
        <v>140</v>
      </c>
      <c r="C1899" s="211" t="s">
        <v>10</v>
      </c>
      <c r="D1899" s="263" t="s">
        <v>815</v>
      </c>
      <c r="E1899" s="263"/>
      <c r="F1899" s="263" t="s">
        <v>800</v>
      </c>
      <c r="G1899" s="263"/>
      <c r="H1899" s="263"/>
      <c r="I1899" s="263" t="s">
        <v>801</v>
      </c>
      <c r="J1899" s="16"/>
      <c r="K1899" s="1"/>
      <c r="M1899" s="1"/>
      <c r="N1899" s="1"/>
      <c r="O1899" s="1"/>
      <c r="P1899" s="1"/>
      <c r="Q1899" s="95"/>
      <c r="R1899" s="5" t="b">
        <f t="shared" si="325"/>
        <v>0</v>
      </c>
    </row>
    <row r="1900" spans="1:18" s="4" customFormat="1" ht="15" customHeight="1">
      <c r="A1900" s="64"/>
      <c r="B1900" s="7">
        <f t="shared" si="326"/>
        <v>141</v>
      </c>
      <c r="C1900" s="211" t="s">
        <v>10</v>
      </c>
      <c r="D1900" s="263" t="s">
        <v>816</v>
      </c>
      <c r="E1900" s="263"/>
      <c r="F1900" s="263" t="s">
        <v>800</v>
      </c>
      <c r="G1900" s="263"/>
      <c r="H1900" s="263"/>
      <c r="I1900" s="263" t="s">
        <v>801</v>
      </c>
      <c r="J1900" s="16"/>
      <c r="K1900" s="1"/>
      <c r="M1900" s="1"/>
      <c r="N1900" s="1"/>
      <c r="O1900" s="1"/>
      <c r="P1900" s="1"/>
      <c r="Q1900" s="95"/>
      <c r="R1900" s="5" t="b">
        <f t="shared" si="325"/>
        <v>0</v>
      </c>
    </row>
    <row r="1901" spans="1:18" s="4" customFormat="1" ht="15" customHeight="1">
      <c r="A1901" s="64"/>
      <c r="B1901" s="7">
        <f t="shared" si="326"/>
        <v>142</v>
      </c>
      <c r="C1901" s="211" t="s">
        <v>10</v>
      </c>
      <c r="D1901" s="263" t="s">
        <v>817</v>
      </c>
      <c r="E1901" s="263"/>
      <c r="F1901" s="263" t="s">
        <v>800</v>
      </c>
      <c r="G1901" s="263"/>
      <c r="H1901" s="263"/>
      <c r="I1901" s="263" t="s">
        <v>801</v>
      </c>
      <c r="J1901" s="16"/>
      <c r="K1901" s="1"/>
      <c r="M1901" s="1"/>
      <c r="N1901" s="1"/>
      <c r="O1901" s="1"/>
      <c r="P1901" s="1"/>
      <c r="Q1901" s="95"/>
      <c r="R1901" s="5" t="b">
        <f t="shared" si="325"/>
        <v>0</v>
      </c>
    </row>
    <row r="1902" spans="1:18" s="4" customFormat="1" ht="15" customHeight="1">
      <c r="A1902" s="64"/>
      <c r="B1902" s="7">
        <f t="shared" si="326"/>
        <v>143</v>
      </c>
      <c r="C1902" s="211" t="s">
        <v>10</v>
      </c>
      <c r="D1902" s="263" t="s">
        <v>818</v>
      </c>
      <c r="E1902" s="263"/>
      <c r="F1902" s="263" t="s">
        <v>800</v>
      </c>
      <c r="G1902" s="263"/>
      <c r="H1902" s="263"/>
      <c r="I1902" s="263" t="s">
        <v>801</v>
      </c>
      <c r="J1902" s="16"/>
      <c r="K1902" s="1"/>
      <c r="M1902" s="1"/>
      <c r="N1902" s="1"/>
      <c r="O1902" s="1"/>
      <c r="P1902" s="1"/>
      <c r="Q1902" s="95"/>
      <c r="R1902" s="5" t="b">
        <f t="shared" si="325"/>
        <v>0</v>
      </c>
    </row>
    <row r="1903" spans="1:18" s="4" customFormat="1" ht="15" customHeight="1">
      <c r="A1903" s="64"/>
      <c r="B1903" s="7">
        <f t="shared" si="326"/>
        <v>144</v>
      </c>
      <c r="C1903" s="211" t="s">
        <v>10</v>
      </c>
      <c r="D1903" s="263" t="s">
        <v>819</v>
      </c>
      <c r="E1903" s="263"/>
      <c r="F1903" s="263" t="s">
        <v>800</v>
      </c>
      <c r="G1903" s="263"/>
      <c r="H1903" s="263"/>
      <c r="I1903" s="263" t="s">
        <v>801</v>
      </c>
      <c r="J1903" s="16"/>
      <c r="K1903" s="1"/>
      <c r="M1903" s="1"/>
      <c r="N1903" s="1"/>
      <c r="O1903" s="1"/>
      <c r="P1903" s="1"/>
      <c r="Q1903" s="95"/>
      <c r="R1903" s="5" t="b">
        <f t="shared" si="325"/>
        <v>0</v>
      </c>
    </row>
    <row r="1904" spans="1:18" s="4" customFormat="1" ht="15" customHeight="1">
      <c r="A1904" s="64"/>
      <c r="B1904" s="7">
        <f t="shared" si="326"/>
        <v>145</v>
      </c>
      <c r="C1904" s="211" t="s">
        <v>10</v>
      </c>
      <c r="D1904" s="263" t="s">
        <v>820</v>
      </c>
      <c r="E1904" s="263"/>
      <c r="F1904" s="263" t="s">
        <v>800</v>
      </c>
      <c r="G1904" s="263"/>
      <c r="H1904" s="263"/>
      <c r="I1904" s="263" t="s">
        <v>801</v>
      </c>
      <c r="J1904" s="16"/>
      <c r="K1904" s="1"/>
      <c r="M1904" s="1"/>
      <c r="N1904" s="1"/>
      <c r="O1904" s="1"/>
      <c r="P1904" s="1"/>
      <c r="Q1904" s="95"/>
      <c r="R1904" s="5" t="b">
        <f t="shared" si="325"/>
        <v>0</v>
      </c>
    </row>
    <row r="1905" spans="1:18" s="4" customFormat="1" ht="15" customHeight="1">
      <c r="A1905" s="64"/>
      <c r="B1905" s="7">
        <f t="shared" si="326"/>
        <v>146</v>
      </c>
      <c r="C1905" s="211" t="s">
        <v>10</v>
      </c>
      <c r="D1905" s="263" t="s">
        <v>821</v>
      </c>
      <c r="E1905" s="263"/>
      <c r="F1905" s="263" t="s">
        <v>800</v>
      </c>
      <c r="G1905" s="263"/>
      <c r="H1905" s="263"/>
      <c r="I1905" s="263" t="s">
        <v>801</v>
      </c>
      <c r="J1905" s="16"/>
      <c r="K1905" s="1"/>
      <c r="M1905" s="1"/>
      <c r="N1905" s="1"/>
      <c r="O1905" s="1"/>
      <c r="P1905" s="1"/>
      <c r="Q1905" s="95"/>
      <c r="R1905" s="5" t="b">
        <f t="shared" si="325"/>
        <v>0</v>
      </c>
    </row>
    <row r="1906" spans="1:18" s="4" customFormat="1" ht="15" customHeight="1">
      <c r="A1906" s="64"/>
      <c r="B1906" s="7">
        <f t="shared" si="326"/>
        <v>147</v>
      </c>
      <c r="C1906" s="211" t="s">
        <v>10</v>
      </c>
      <c r="D1906" s="263" t="s">
        <v>822</v>
      </c>
      <c r="E1906" s="263"/>
      <c r="F1906" s="263" t="s">
        <v>800</v>
      </c>
      <c r="G1906" s="263"/>
      <c r="H1906" s="263"/>
      <c r="I1906" s="263" t="s">
        <v>801</v>
      </c>
      <c r="J1906" s="16"/>
      <c r="K1906" s="1"/>
      <c r="M1906" s="1"/>
      <c r="N1906" s="1"/>
      <c r="O1906" s="1"/>
      <c r="P1906" s="1"/>
      <c r="Q1906" s="95"/>
      <c r="R1906" s="5" t="b">
        <f t="shared" si="325"/>
        <v>0</v>
      </c>
    </row>
    <row r="1907" spans="1:18" s="4" customFormat="1" ht="15" customHeight="1">
      <c r="A1907" s="64"/>
      <c r="B1907" s="7">
        <f t="shared" si="326"/>
        <v>148</v>
      </c>
      <c r="C1907" s="211" t="s">
        <v>10</v>
      </c>
      <c r="D1907" s="263" t="s">
        <v>823</v>
      </c>
      <c r="E1907" s="263"/>
      <c r="F1907" s="263" t="s">
        <v>800</v>
      </c>
      <c r="G1907" s="263"/>
      <c r="H1907" s="263"/>
      <c r="I1907" s="263" t="s">
        <v>801</v>
      </c>
      <c r="J1907" s="16"/>
      <c r="K1907" s="1"/>
      <c r="M1907" s="1"/>
      <c r="N1907" s="1"/>
      <c r="O1907" s="1"/>
      <c r="P1907" s="1"/>
      <c r="Q1907" s="95"/>
      <c r="R1907" s="5" t="b">
        <f t="shared" si="325"/>
        <v>0</v>
      </c>
    </row>
    <row r="1908" spans="1:18" s="4" customFormat="1" ht="15" customHeight="1">
      <c r="A1908" s="64"/>
      <c r="B1908" s="7">
        <f t="shared" si="326"/>
        <v>149</v>
      </c>
      <c r="C1908" s="211" t="s">
        <v>10</v>
      </c>
      <c r="D1908" s="263" t="s">
        <v>824</v>
      </c>
      <c r="E1908" s="263"/>
      <c r="F1908" s="263" t="s">
        <v>800</v>
      </c>
      <c r="G1908" s="263"/>
      <c r="H1908" s="263"/>
      <c r="I1908" s="263" t="s">
        <v>801</v>
      </c>
      <c r="J1908" s="16"/>
      <c r="K1908" s="1"/>
      <c r="M1908" s="1"/>
      <c r="N1908" s="1"/>
      <c r="O1908" s="1"/>
      <c r="P1908" s="1"/>
      <c r="Q1908" s="95"/>
      <c r="R1908" s="5" t="b">
        <f t="shared" si="325"/>
        <v>0</v>
      </c>
    </row>
    <row r="1909" spans="1:18" s="4" customFormat="1" ht="15" customHeight="1">
      <c r="A1909" s="64"/>
      <c r="B1909" s="7">
        <f t="shared" si="326"/>
        <v>150</v>
      </c>
      <c r="C1909" s="211" t="s">
        <v>10</v>
      </c>
      <c r="D1909" s="263" t="s">
        <v>825</v>
      </c>
      <c r="E1909" s="263"/>
      <c r="F1909" s="263" t="s">
        <v>800</v>
      </c>
      <c r="G1909" s="263"/>
      <c r="H1909" s="263"/>
      <c r="I1909" s="263" t="s">
        <v>801</v>
      </c>
      <c r="J1909" s="16"/>
      <c r="K1909" s="1"/>
      <c r="M1909" s="1"/>
      <c r="N1909" s="1"/>
      <c r="O1909" s="1"/>
      <c r="P1909" s="1"/>
      <c r="Q1909" s="95"/>
      <c r="R1909" s="5" t="b">
        <f t="shared" si="325"/>
        <v>0</v>
      </c>
    </row>
    <row r="1910" spans="1:18" s="4" customFormat="1" ht="15" customHeight="1">
      <c r="A1910" s="64"/>
      <c r="B1910" s="7">
        <f t="shared" si="326"/>
        <v>151</v>
      </c>
      <c r="C1910" s="211" t="s">
        <v>10</v>
      </c>
      <c r="D1910" s="263" t="s">
        <v>826</v>
      </c>
      <c r="E1910" s="263"/>
      <c r="F1910" s="263" t="s">
        <v>800</v>
      </c>
      <c r="G1910" s="263"/>
      <c r="H1910" s="263"/>
      <c r="I1910" s="263" t="s">
        <v>801</v>
      </c>
      <c r="J1910" s="16"/>
      <c r="K1910" s="1"/>
      <c r="M1910" s="1"/>
      <c r="N1910" s="1"/>
      <c r="O1910" s="1"/>
      <c r="P1910" s="1"/>
      <c r="Q1910" s="95"/>
      <c r="R1910" s="5" t="b">
        <f t="shared" si="325"/>
        <v>0</v>
      </c>
    </row>
    <row r="1911" spans="1:18" s="4" customFormat="1" ht="15" customHeight="1">
      <c r="A1911" s="64"/>
      <c r="B1911" s="7">
        <f t="shared" si="326"/>
        <v>152</v>
      </c>
      <c r="C1911" s="211" t="s">
        <v>10</v>
      </c>
      <c r="D1911" s="263" t="s">
        <v>827</v>
      </c>
      <c r="E1911" s="263"/>
      <c r="F1911" s="263" t="s">
        <v>800</v>
      </c>
      <c r="G1911" s="263"/>
      <c r="H1911" s="263"/>
      <c r="I1911" s="263" t="s">
        <v>801</v>
      </c>
      <c r="J1911" s="16"/>
      <c r="K1911" s="1"/>
      <c r="M1911" s="1"/>
      <c r="N1911" s="1"/>
      <c r="O1911" s="1"/>
      <c r="P1911" s="1"/>
      <c r="Q1911" s="95"/>
      <c r="R1911" s="5" t="b">
        <f t="shared" si="325"/>
        <v>0</v>
      </c>
    </row>
    <row r="1912" spans="1:18" s="4" customFormat="1" ht="15" customHeight="1">
      <c r="A1912" s="64"/>
      <c r="B1912" s="7">
        <f t="shared" si="326"/>
        <v>153</v>
      </c>
      <c r="C1912" s="211" t="s">
        <v>10</v>
      </c>
      <c r="D1912" s="263" t="s">
        <v>828</v>
      </c>
      <c r="E1912" s="263"/>
      <c r="F1912" s="263" t="s">
        <v>800</v>
      </c>
      <c r="G1912" s="263"/>
      <c r="H1912" s="263"/>
      <c r="I1912" s="263" t="s">
        <v>801</v>
      </c>
      <c r="J1912" s="16"/>
      <c r="K1912" s="1"/>
      <c r="M1912" s="1"/>
      <c r="N1912" s="1"/>
      <c r="O1912" s="1"/>
      <c r="P1912" s="1"/>
      <c r="Q1912" s="95"/>
      <c r="R1912" s="5" t="b">
        <f t="shared" si="325"/>
        <v>0</v>
      </c>
    </row>
    <row r="1913" spans="1:18" s="4" customFormat="1" ht="15" customHeight="1">
      <c r="A1913" s="64"/>
      <c r="B1913" s="7">
        <f t="shared" si="326"/>
        <v>154</v>
      </c>
      <c r="C1913" s="211" t="s">
        <v>10</v>
      </c>
      <c r="D1913" s="263" t="s">
        <v>829</v>
      </c>
      <c r="E1913" s="263"/>
      <c r="F1913" s="263" t="s">
        <v>800</v>
      </c>
      <c r="G1913" s="263"/>
      <c r="H1913" s="263"/>
      <c r="I1913" s="263" t="s">
        <v>801</v>
      </c>
      <c r="J1913" s="16"/>
      <c r="K1913" s="1"/>
      <c r="M1913" s="1"/>
      <c r="N1913" s="1"/>
      <c r="O1913" s="1"/>
      <c r="P1913" s="1"/>
      <c r="Q1913" s="95"/>
      <c r="R1913" s="5" t="b">
        <f t="shared" si="325"/>
        <v>0</v>
      </c>
    </row>
    <row r="1914" spans="1:18" s="4" customFormat="1" ht="15" customHeight="1">
      <c r="A1914" s="64"/>
      <c r="B1914" s="7">
        <f t="shared" si="326"/>
        <v>155</v>
      </c>
      <c r="C1914" s="211" t="s">
        <v>10</v>
      </c>
      <c r="D1914" s="263" t="s">
        <v>830</v>
      </c>
      <c r="E1914" s="263"/>
      <c r="F1914" s="263" t="s">
        <v>800</v>
      </c>
      <c r="G1914" s="263"/>
      <c r="H1914" s="263"/>
      <c r="I1914" s="263" t="s">
        <v>801</v>
      </c>
      <c r="J1914" s="16"/>
      <c r="K1914" s="1"/>
      <c r="M1914" s="1"/>
      <c r="N1914" s="1"/>
      <c r="O1914" s="1"/>
      <c r="P1914" s="1"/>
      <c r="Q1914" s="95"/>
      <c r="R1914" s="5" t="b">
        <f t="shared" si="325"/>
        <v>0</v>
      </c>
    </row>
    <row r="1915" spans="1:18" s="4" customFormat="1" ht="15" customHeight="1">
      <c r="A1915" s="64"/>
      <c r="B1915" s="7">
        <f t="shared" si="326"/>
        <v>156</v>
      </c>
      <c r="C1915" s="211" t="s">
        <v>10</v>
      </c>
      <c r="D1915" s="263" t="s">
        <v>831</v>
      </c>
      <c r="E1915" s="263"/>
      <c r="F1915" s="263" t="s">
        <v>800</v>
      </c>
      <c r="G1915" s="263"/>
      <c r="H1915" s="263"/>
      <c r="I1915" s="263" t="s">
        <v>801</v>
      </c>
      <c r="J1915" s="16"/>
      <c r="K1915" s="1"/>
      <c r="M1915" s="1"/>
      <c r="N1915" s="1"/>
      <c r="O1915" s="1"/>
      <c r="P1915" s="1"/>
      <c r="Q1915" s="95"/>
      <c r="R1915" s="5" t="b">
        <f t="shared" si="325"/>
        <v>0</v>
      </c>
    </row>
    <row r="1916" spans="1:18" s="4" customFormat="1" ht="15" customHeight="1">
      <c r="A1916" s="64"/>
      <c r="B1916" s="7">
        <f t="shared" si="326"/>
        <v>157</v>
      </c>
      <c r="C1916" s="211" t="s">
        <v>10</v>
      </c>
      <c r="D1916" s="263" t="s">
        <v>832</v>
      </c>
      <c r="E1916" s="263"/>
      <c r="F1916" s="263" t="s">
        <v>800</v>
      </c>
      <c r="G1916" s="263"/>
      <c r="H1916" s="263"/>
      <c r="I1916" s="263" t="s">
        <v>801</v>
      </c>
      <c r="J1916" s="16"/>
      <c r="K1916" s="1"/>
      <c r="M1916" s="1"/>
      <c r="N1916" s="1"/>
      <c r="O1916" s="1"/>
      <c r="P1916" s="1"/>
      <c r="Q1916" s="95"/>
      <c r="R1916" s="5" t="b">
        <f t="shared" si="325"/>
        <v>0</v>
      </c>
    </row>
    <row r="1917" spans="1:18" s="4" customFormat="1" ht="15" customHeight="1">
      <c r="A1917" s="64"/>
      <c r="B1917" s="7">
        <f t="shared" si="326"/>
        <v>158</v>
      </c>
      <c r="C1917" s="211" t="s">
        <v>10</v>
      </c>
      <c r="D1917" s="263" t="s">
        <v>833</v>
      </c>
      <c r="E1917" s="263"/>
      <c r="F1917" s="263" t="s">
        <v>800</v>
      </c>
      <c r="G1917" s="263"/>
      <c r="H1917" s="263"/>
      <c r="I1917" s="263" t="s">
        <v>801</v>
      </c>
      <c r="J1917" s="16"/>
      <c r="K1917" s="1"/>
      <c r="M1917" s="1"/>
      <c r="N1917" s="1"/>
      <c r="O1917" s="1"/>
      <c r="P1917" s="1"/>
      <c r="Q1917" s="95"/>
      <c r="R1917" s="5" t="b">
        <f t="shared" si="325"/>
        <v>0</v>
      </c>
    </row>
    <row r="1918" spans="1:18" s="4" customFormat="1" ht="15" customHeight="1">
      <c r="A1918" s="64"/>
      <c r="B1918" s="7">
        <f t="shared" si="326"/>
        <v>159</v>
      </c>
      <c r="C1918" s="211" t="s">
        <v>10</v>
      </c>
      <c r="D1918" s="263" t="s">
        <v>834</v>
      </c>
      <c r="E1918" s="263"/>
      <c r="F1918" s="263" t="s">
        <v>800</v>
      </c>
      <c r="G1918" s="263"/>
      <c r="H1918" s="263"/>
      <c r="I1918" s="263" t="s">
        <v>801</v>
      </c>
      <c r="J1918" s="16"/>
      <c r="K1918" s="1"/>
      <c r="M1918" s="1"/>
      <c r="N1918" s="1"/>
      <c r="O1918" s="1"/>
      <c r="P1918" s="1"/>
      <c r="Q1918" s="95"/>
      <c r="R1918" s="5" t="b">
        <f t="shared" si="325"/>
        <v>0</v>
      </c>
    </row>
    <row r="1919" spans="1:18" s="4" customFormat="1" ht="15" customHeight="1">
      <c r="A1919" s="64"/>
      <c r="B1919" s="7">
        <f t="shared" si="326"/>
        <v>160</v>
      </c>
      <c r="C1919" s="211" t="s">
        <v>10</v>
      </c>
      <c r="D1919" s="263" t="s">
        <v>835</v>
      </c>
      <c r="E1919" s="263"/>
      <c r="F1919" s="263" t="s">
        <v>800</v>
      </c>
      <c r="G1919" s="263"/>
      <c r="H1919" s="263"/>
      <c r="I1919" s="263" t="s">
        <v>801</v>
      </c>
      <c r="J1919" s="16"/>
      <c r="K1919" s="1"/>
      <c r="M1919" s="1"/>
      <c r="N1919" s="1"/>
      <c r="O1919" s="1"/>
      <c r="P1919" s="1"/>
      <c r="Q1919" s="95"/>
      <c r="R1919" s="5" t="b">
        <f t="shared" si="325"/>
        <v>0</v>
      </c>
    </row>
    <row r="1920" spans="1:18" s="4" customFormat="1" ht="15" customHeight="1">
      <c r="A1920" s="64"/>
      <c r="B1920" s="7">
        <f t="shared" si="326"/>
        <v>161</v>
      </c>
      <c r="C1920" s="211" t="s">
        <v>10</v>
      </c>
      <c r="D1920" s="263" t="s">
        <v>836</v>
      </c>
      <c r="E1920" s="263"/>
      <c r="F1920" s="263" t="s">
        <v>800</v>
      </c>
      <c r="G1920" s="263"/>
      <c r="H1920" s="263"/>
      <c r="I1920" s="263" t="s">
        <v>801</v>
      </c>
      <c r="J1920" s="16"/>
      <c r="K1920" s="1"/>
      <c r="M1920" s="1"/>
      <c r="N1920" s="1"/>
      <c r="O1920" s="1"/>
      <c r="P1920" s="1"/>
      <c r="Q1920" s="95"/>
      <c r="R1920" s="5" t="b">
        <f t="shared" si="325"/>
        <v>0</v>
      </c>
    </row>
    <row r="1921" spans="1:18" s="4" customFormat="1" ht="15" customHeight="1">
      <c r="A1921" s="64"/>
      <c r="B1921" s="7">
        <f t="shared" si="326"/>
        <v>162</v>
      </c>
      <c r="C1921" s="211" t="s">
        <v>10</v>
      </c>
      <c r="D1921" s="263" t="s">
        <v>837</v>
      </c>
      <c r="E1921" s="263"/>
      <c r="F1921" s="263" t="s">
        <v>800</v>
      </c>
      <c r="G1921" s="263"/>
      <c r="H1921" s="263"/>
      <c r="I1921" s="263" t="s">
        <v>801</v>
      </c>
      <c r="J1921" s="16"/>
      <c r="K1921" s="1"/>
      <c r="M1921" s="1"/>
      <c r="N1921" s="1"/>
      <c r="O1921" s="1"/>
      <c r="P1921" s="1"/>
      <c r="Q1921" s="95"/>
      <c r="R1921" s="5" t="b">
        <f t="shared" si="325"/>
        <v>0</v>
      </c>
    </row>
    <row r="1922" spans="1:18" s="4" customFormat="1" ht="15" customHeight="1">
      <c r="A1922" s="64"/>
      <c r="B1922" s="7">
        <f t="shared" si="326"/>
        <v>163</v>
      </c>
      <c r="C1922" s="211" t="s">
        <v>10</v>
      </c>
      <c r="D1922" s="263" t="s">
        <v>838</v>
      </c>
      <c r="E1922" s="263"/>
      <c r="F1922" s="263" t="s">
        <v>800</v>
      </c>
      <c r="G1922" s="263"/>
      <c r="H1922" s="263"/>
      <c r="I1922" s="263" t="s">
        <v>801</v>
      </c>
      <c r="J1922" s="16"/>
      <c r="K1922" s="1"/>
      <c r="M1922" s="1"/>
      <c r="N1922" s="1"/>
      <c r="O1922" s="1"/>
      <c r="P1922" s="1"/>
      <c r="Q1922" s="95"/>
      <c r="R1922" s="5" t="b">
        <f t="shared" si="325"/>
        <v>0</v>
      </c>
    </row>
    <row r="1923" spans="1:18" s="4" customFormat="1" ht="15" customHeight="1">
      <c r="A1923" s="64"/>
      <c r="B1923" s="7">
        <f t="shared" si="326"/>
        <v>164</v>
      </c>
      <c r="C1923" s="211" t="s">
        <v>10</v>
      </c>
      <c r="D1923" s="263" t="s">
        <v>839</v>
      </c>
      <c r="E1923" s="263"/>
      <c r="F1923" s="263" t="s">
        <v>800</v>
      </c>
      <c r="G1923" s="263"/>
      <c r="H1923" s="263"/>
      <c r="I1923" s="263" t="s">
        <v>801</v>
      </c>
      <c r="J1923" s="16"/>
      <c r="K1923" s="1"/>
      <c r="M1923" s="1"/>
      <c r="N1923" s="1"/>
      <c r="O1923" s="1"/>
      <c r="P1923" s="1"/>
      <c r="Q1923" s="95"/>
      <c r="R1923" s="5" t="b">
        <f t="shared" si="325"/>
        <v>0</v>
      </c>
    </row>
    <row r="1924" spans="1:18" s="4" customFormat="1" ht="15" customHeight="1">
      <c r="A1924" s="64"/>
      <c r="B1924" s="7">
        <f t="shared" si="326"/>
        <v>165</v>
      </c>
      <c r="C1924" s="211" t="s">
        <v>10</v>
      </c>
      <c r="D1924" s="263" t="s">
        <v>840</v>
      </c>
      <c r="E1924" s="263"/>
      <c r="F1924" s="263" t="s">
        <v>800</v>
      </c>
      <c r="G1924" s="263"/>
      <c r="H1924" s="263"/>
      <c r="I1924" s="263" t="s">
        <v>801</v>
      </c>
      <c r="J1924" s="16"/>
      <c r="K1924" s="1"/>
      <c r="M1924" s="1"/>
      <c r="N1924" s="1"/>
      <c r="O1924" s="1"/>
      <c r="P1924" s="1"/>
      <c r="Q1924" s="95"/>
      <c r="R1924" s="5" t="b">
        <f t="shared" si="325"/>
        <v>0</v>
      </c>
    </row>
    <row r="1925" spans="1:18" s="4" customFormat="1" ht="15" customHeight="1">
      <c r="A1925" s="64"/>
      <c r="B1925" s="7">
        <f t="shared" si="326"/>
        <v>166</v>
      </c>
      <c r="C1925" s="211" t="s">
        <v>10</v>
      </c>
      <c r="D1925" s="263" t="s">
        <v>841</v>
      </c>
      <c r="E1925" s="263"/>
      <c r="F1925" s="263" t="s">
        <v>800</v>
      </c>
      <c r="G1925" s="263"/>
      <c r="H1925" s="263"/>
      <c r="I1925" s="263" t="s">
        <v>801</v>
      </c>
      <c r="J1925" s="16"/>
      <c r="K1925" s="1"/>
      <c r="M1925" s="1"/>
      <c r="N1925" s="1"/>
      <c r="O1925" s="1"/>
      <c r="P1925" s="1"/>
      <c r="Q1925" s="95"/>
      <c r="R1925" s="5" t="b">
        <f t="shared" si="325"/>
        <v>0</v>
      </c>
    </row>
    <row r="1926" spans="1:18" s="4" customFormat="1" ht="15" customHeight="1">
      <c r="A1926" s="64"/>
      <c r="B1926" s="7">
        <f t="shared" si="326"/>
        <v>167</v>
      </c>
      <c r="C1926" s="211" t="s">
        <v>10</v>
      </c>
      <c r="D1926" s="263" t="s">
        <v>842</v>
      </c>
      <c r="E1926" s="263"/>
      <c r="F1926" s="263" t="s">
        <v>800</v>
      </c>
      <c r="G1926" s="263"/>
      <c r="H1926" s="263"/>
      <c r="I1926" s="263" t="s">
        <v>801</v>
      </c>
      <c r="J1926" s="16"/>
      <c r="K1926" s="1"/>
      <c r="M1926" s="1"/>
      <c r="N1926" s="1"/>
      <c r="O1926" s="1"/>
      <c r="P1926" s="1"/>
      <c r="Q1926" s="95"/>
      <c r="R1926" s="5" t="b">
        <f t="shared" si="325"/>
        <v>0</v>
      </c>
    </row>
    <row r="1927" spans="1:18" s="4" customFormat="1" ht="15" customHeight="1">
      <c r="A1927" s="64"/>
      <c r="B1927" s="7">
        <f t="shared" si="326"/>
        <v>168</v>
      </c>
      <c r="C1927" s="211" t="s">
        <v>10</v>
      </c>
      <c r="D1927" s="263" t="s">
        <v>843</v>
      </c>
      <c r="E1927" s="263"/>
      <c r="F1927" s="263" t="s">
        <v>800</v>
      </c>
      <c r="G1927" s="263"/>
      <c r="H1927" s="263"/>
      <c r="I1927" s="263" t="s">
        <v>801</v>
      </c>
      <c r="J1927" s="16"/>
      <c r="K1927" s="1"/>
      <c r="M1927" s="1"/>
      <c r="N1927" s="1"/>
      <c r="O1927" s="1"/>
      <c r="P1927" s="1"/>
      <c r="Q1927" s="95"/>
      <c r="R1927" s="5" t="b">
        <f t="shared" si="325"/>
        <v>0</v>
      </c>
    </row>
    <row r="1928" spans="1:18" s="4" customFormat="1" ht="15" customHeight="1">
      <c r="A1928" s="64"/>
      <c r="B1928" s="7">
        <f t="shared" si="326"/>
        <v>169</v>
      </c>
      <c r="C1928" s="211" t="s">
        <v>10</v>
      </c>
      <c r="D1928" s="263" t="s">
        <v>844</v>
      </c>
      <c r="E1928" s="263"/>
      <c r="F1928" s="263" t="s">
        <v>800</v>
      </c>
      <c r="G1928" s="263"/>
      <c r="H1928" s="263"/>
      <c r="I1928" s="263" t="s">
        <v>801</v>
      </c>
      <c r="J1928" s="16"/>
      <c r="K1928" s="1"/>
      <c r="M1928" s="1"/>
      <c r="N1928" s="1"/>
      <c r="O1928" s="1"/>
      <c r="P1928" s="1"/>
      <c r="Q1928" s="95"/>
      <c r="R1928" s="5" t="b">
        <f t="shared" si="325"/>
        <v>0</v>
      </c>
    </row>
    <row r="1929" spans="1:18" s="4" customFormat="1" ht="15" customHeight="1">
      <c r="A1929" s="64"/>
      <c r="B1929" s="7">
        <f t="shared" si="326"/>
        <v>170</v>
      </c>
      <c r="C1929" s="211" t="s">
        <v>10</v>
      </c>
      <c r="D1929" s="263" t="s">
        <v>845</v>
      </c>
      <c r="E1929" s="263"/>
      <c r="F1929" s="263" t="s">
        <v>800</v>
      </c>
      <c r="G1929" s="263"/>
      <c r="H1929" s="263"/>
      <c r="I1929" s="263" t="s">
        <v>801</v>
      </c>
      <c r="J1929" s="16"/>
      <c r="K1929" s="1"/>
      <c r="M1929" s="1"/>
      <c r="N1929" s="1"/>
      <c r="O1929" s="1"/>
      <c r="P1929" s="1"/>
      <c r="Q1929" s="95"/>
      <c r="R1929" s="5" t="b">
        <f t="shared" si="325"/>
        <v>0</v>
      </c>
    </row>
    <row r="1930" spans="1:18" s="4" customFormat="1" ht="15" customHeight="1">
      <c r="A1930" s="64"/>
      <c r="B1930" s="7">
        <f t="shared" si="326"/>
        <v>171</v>
      </c>
      <c r="C1930" s="211" t="s">
        <v>10</v>
      </c>
      <c r="D1930" s="263" t="s">
        <v>846</v>
      </c>
      <c r="E1930" s="263"/>
      <c r="F1930" s="263" t="s">
        <v>800</v>
      </c>
      <c r="G1930" s="263"/>
      <c r="H1930" s="263"/>
      <c r="I1930" s="263" t="s">
        <v>801</v>
      </c>
      <c r="J1930" s="16"/>
      <c r="K1930" s="1"/>
      <c r="M1930" s="1"/>
      <c r="N1930" s="1"/>
      <c r="O1930" s="1"/>
      <c r="P1930" s="1"/>
      <c r="Q1930" s="95"/>
      <c r="R1930" s="5" t="b">
        <f t="shared" si="325"/>
        <v>0</v>
      </c>
    </row>
    <row r="1931" spans="1:18" s="4" customFormat="1" ht="15" customHeight="1">
      <c r="A1931" s="64"/>
      <c r="B1931" s="7">
        <f t="shared" si="326"/>
        <v>172</v>
      </c>
      <c r="C1931" s="211" t="s">
        <v>10</v>
      </c>
      <c r="D1931" s="263" t="s">
        <v>847</v>
      </c>
      <c r="E1931" s="263"/>
      <c r="F1931" s="263" t="s">
        <v>800</v>
      </c>
      <c r="G1931" s="263"/>
      <c r="H1931" s="263"/>
      <c r="I1931" s="263" t="s">
        <v>801</v>
      </c>
      <c r="J1931" s="16"/>
      <c r="K1931" s="1"/>
      <c r="M1931" s="1"/>
      <c r="N1931" s="1"/>
      <c r="O1931" s="1"/>
      <c r="P1931" s="1"/>
      <c r="Q1931" s="95"/>
      <c r="R1931" s="5" t="b">
        <f t="shared" si="325"/>
        <v>0</v>
      </c>
    </row>
    <row r="1932" spans="1:18" s="4" customFormat="1" ht="15" customHeight="1">
      <c r="A1932" s="64"/>
      <c r="B1932" s="7">
        <f t="shared" si="326"/>
        <v>173</v>
      </c>
      <c r="C1932" s="211" t="s">
        <v>10</v>
      </c>
      <c r="D1932" s="263" t="s">
        <v>848</v>
      </c>
      <c r="E1932" s="263"/>
      <c r="F1932" s="263" t="s">
        <v>800</v>
      </c>
      <c r="G1932" s="263"/>
      <c r="H1932" s="263"/>
      <c r="I1932" s="263" t="s">
        <v>801</v>
      </c>
      <c r="J1932" s="16"/>
      <c r="K1932" s="1"/>
      <c r="M1932" s="1"/>
      <c r="N1932" s="1"/>
      <c r="O1932" s="1"/>
      <c r="P1932" s="1"/>
      <c r="Q1932" s="95"/>
      <c r="R1932" s="5" t="b">
        <f t="shared" si="325"/>
        <v>0</v>
      </c>
    </row>
    <row r="1933" spans="1:18" s="4" customFormat="1" ht="15" customHeight="1">
      <c r="A1933" s="64"/>
      <c r="B1933" s="7">
        <f t="shared" si="326"/>
        <v>174</v>
      </c>
      <c r="C1933" s="211" t="s">
        <v>10</v>
      </c>
      <c r="D1933" s="263" t="s">
        <v>849</v>
      </c>
      <c r="E1933" s="263"/>
      <c r="F1933" s="263" t="s">
        <v>800</v>
      </c>
      <c r="G1933" s="263"/>
      <c r="H1933" s="263"/>
      <c r="I1933" s="263" t="s">
        <v>801</v>
      </c>
      <c r="J1933" s="16"/>
      <c r="K1933" s="1"/>
      <c r="M1933" s="1"/>
      <c r="N1933" s="1"/>
      <c r="O1933" s="1"/>
      <c r="P1933" s="1"/>
      <c r="Q1933" s="95"/>
      <c r="R1933" s="5" t="b">
        <f t="shared" si="325"/>
        <v>0</v>
      </c>
    </row>
    <row r="1934" spans="1:18" s="4" customFormat="1" ht="15" customHeight="1">
      <c r="A1934" s="64"/>
      <c r="B1934" s="7">
        <f t="shared" si="326"/>
        <v>175</v>
      </c>
      <c r="C1934" s="211" t="s">
        <v>10</v>
      </c>
      <c r="D1934" s="263" t="s">
        <v>850</v>
      </c>
      <c r="E1934" s="263"/>
      <c r="F1934" s="263" t="s">
        <v>800</v>
      </c>
      <c r="G1934" s="263"/>
      <c r="H1934" s="263"/>
      <c r="I1934" s="263" t="s">
        <v>801</v>
      </c>
      <c r="J1934" s="16"/>
      <c r="K1934" s="1"/>
      <c r="M1934" s="1"/>
      <c r="N1934" s="1"/>
      <c r="O1934" s="1"/>
      <c r="P1934" s="1"/>
      <c r="Q1934" s="95"/>
      <c r="R1934" s="5" t="b">
        <f t="shared" si="325"/>
        <v>0</v>
      </c>
    </row>
    <row r="1935" spans="1:18" s="4" customFormat="1" ht="15" customHeight="1">
      <c r="A1935" s="64"/>
      <c r="B1935" s="7">
        <f t="shared" si="326"/>
        <v>176</v>
      </c>
      <c r="C1935" s="211" t="s">
        <v>10</v>
      </c>
      <c r="D1935" s="263" t="s">
        <v>851</v>
      </c>
      <c r="E1935" s="263"/>
      <c r="F1935" s="263" t="s">
        <v>157</v>
      </c>
      <c r="G1935" s="263"/>
      <c r="H1935" s="263"/>
      <c r="I1935" s="263"/>
      <c r="J1935" s="16"/>
      <c r="K1935" s="1"/>
      <c r="M1935" s="1"/>
      <c r="N1935" s="1"/>
      <c r="O1935" s="1"/>
      <c r="P1935" s="1"/>
      <c r="Q1935" s="95"/>
      <c r="R1935" s="5" t="b">
        <f t="shared" si="325"/>
        <v>0</v>
      </c>
    </row>
    <row r="1936" spans="1:18" s="4" customFormat="1" ht="15" customHeight="1">
      <c r="A1936" s="64"/>
      <c r="B1936" s="7">
        <f t="shared" si="326"/>
        <v>177</v>
      </c>
      <c r="C1936" s="211" t="s">
        <v>10</v>
      </c>
      <c r="D1936" s="263" t="s">
        <v>852</v>
      </c>
      <c r="E1936" s="263"/>
      <c r="F1936" s="263" t="s">
        <v>157</v>
      </c>
      <c r="G1936" s="263"/>
      <c r="H1936" s="263"/>
      <c r="I1936" s="263"/>
      <c r="J1936" s="16"/>
      <c r="K1936" s="1"/>
      <c r="M1936" s="1"/>
      <c r="N1936" s="1"/>
      <c r="O1936" s="1"/>
      <c r="P1936" s="1"/>
      <c r="Q1936" s="95"/>
      <c r="R1936" s="5" t="b">
        <f t="shared" si="325"/>
        <v>0</v>
      </c>
    </row>
    <row r="1937" spans="1:18" s="4" customFormat="1" ht="15" customHeight="1">
      <c r="A1937" s="64"/>
      <c r="B1937" s="7">
        <f t="shared" si="326"/>
        <v>178</v>
      </c>
      <c r="C1937" s="211" t="s">
        <v>10</v>
      </c>
      <c r="D1937" s="263" t="s">
        <v>853</v>
      </c>
      <c r="E1937" s="263"/>
      <c r="F1937" s="263" t="s">
        <v>157</v>
      </c>
      <c r="G1937" s="263"/>
      <c r="H1937" s="263"/>
      <c r="I1937" s="263"/>
      <c r="J1937" s="16"/>
      <c r="K1937" s="1"/>
      <c r="M1937" s="1"/>
      <c r="N1937" s="1"/>
      <c r="O1937" s="1"/>
      <c r="P1937" s="1"/>
      <c r="Q1937" s="95"/>
      <c r="R1937" s="5" t="b">
        <f t="shared" si="325"/>
        <v>0</v>
      </c>
    </row>
    <row r="1938" spans="1:18" s="4" customFormat="1" ht="15" customHeight="1">
      <c r="A1938" s="64"/>
      <c r="B1938" s="7">
        <f t="shared" si="326"/>
        <v>179</v>
      </c>
      <c r="C1938" s="211" t="s">
        <v>10</v>
      </c>
      <c r="D1938" s="263" t="s">
        <v>854</v>
      </c>
      <c r="E1938" s="263"/>
      <c r="F1938" s="263" t="s">
        <v>157</v>
      </c>
      <c r="G1938" s="263"/>
      <c r="H1938" s="263"/>
      <c r="I1938" s="263"/>
      <c r="J1938" s="16"/>
      <c r="K1938" s="1"/>
      <c r="M1938" s="1"/>
      <c r="N1938" s="1"/>
      <c r="O1938" s="1"/>
      <c r="P1938" s="1"/>
      <c r="Q1938" s="95"/>
      <c r="R1938" s="5" t="b">
        <f t="shared" si="325"/>
        <v>0</v>
      </c>
    </row>
    <row r="1939" spans="1:18" s="4" customFormat="1" ht="15" customHeight="1">
      <c r="A1939" s="64"/>
      <c r="B1939" s="7">
        <f t="shared" si="326"/>
        <v>180</v>
      </c>
      <c r="C1939" s="211" t="s">
        <v>10</v>
      </c>
      <c r="D1939" s="263" t="s">
        <v>855</v>
      </c>
      <c r="E1939" s="263"/>
      <c r="F1939" s="263" t="s">
        <v>157</v>
      </c>
      <c r="G1939" s="263"/>
      <c r="H1939" s="263"/>
      <c r="I1939" s="263"/>
      <c r="J1939" s="16"/>
      <c r="K1939" s="1"/>
      <c r="M1939" s="1"/>
      <c r="N1939" s="1"/>
      <c r="O1939" s="1"/>
      <c r="P1939" s="1"/>
      <c r="Q1939" s="95"/>
      <c r="R1939" s="5" t="b">
        <f t="shared" si="325"/>
        <v>0</v>
      </c>
    </row>
    <row r="1940" spans="1:18" s="4" customFormat="1" ht="15" customHeight="1">
      <c r="A1940" s="64"/>
      <c r="B1940" s="7">
        <f t="shared" si="326"/>
        <v>181</v>
      </c>
      <c r="C1940" s="211" t="s">
        <v>10</v>
      </c>
      <c r="D1940" s="263" t="s">
        <v>856</v>
      </c>
      <c r="E1940" s="263"/>
      <c r="F1940" s="263" t="s">
        <v>857</v>
      </c>
      <c r="G1940" s="263"/>
      <c r="H1940" s="263"/>
      <c r="I1940" s="263"/>
      <c r="J1940" s="16"/>
      <c r="K1940" s="1"/>
      <c r="M1940" s="1"/>
      <c r="N1940" s="1"/>
      <c r="O1940" s="1"/>
      <c r="P1940" s="1"/>
      <c r="Q1940" s="95"/>
      <c r="R1940" s="5" t="b">
        <f t="shared" si="325"/>
        <v>0</v>
      </c>
    </row>
    <row r="1941" spans="1:18" s="4" customFormat="1" ht="15" customHeight="1">
      <c r="A1941" s="64"/>
      <c r="B1941" s="7">
        <f t="shared" si="326"/>
        <v>182</v>
      </c>
      <c r="C1941" s="211" t="s">
        <v>10</v>
      </c>
      <c r="D1941" s="263" t="s">
        <v>858</v>
      </c>
      <c r="E1941" s="263"/>
      <c r="F1941" s="263" t="s">
        <v>857</v>
      </c>
      <c r="G1941" s="263"/>
      <c r="H1941" s="263"/>
      <c r="I1941" s="263"/>
      <c r="J1941" s="16"/>
      <c r="K1941" s="1"/>
      <c r="M1941" s="1"/>
      <c r="N1941" s="1"/>
      <c r="O1941" s="1"/>
      <c r="P1941" s="1"/>
      <c r="Q1941" s="95"/>
      <c r="R1941" s="5" t="b">
        <f t="shared" si="325"/>
        <v>0</v>
      </c>
    </row>
    <row r="1942" spans="1:18" s="4" customFormat="1" ht="15" customHeight="1">
      <c r="A1942" s="64"/>
      <c r="B1942" s="7">
        <f t="shared" si="326"/>
        <v>183</v>
      </c>
      <c r="C1942" s="211" t="s">
        <v>10</v>
      </c>
      <c r="D1942" s="263" t="s">
        <v>859</v>
      </c>
      <c r="E1942" s="263"/>
      <c r="F1942" s="263" t="s">
        <v>857</v>
      </c>
      <c r="G1942" s="263"/>
      <c r="H1942" s="263"/>
      <c r="I1942" s="263"/>
      <c r="J1942" s="16"/>
      <c r="K1942" s="1"/>
      <c r="M1942" s="1"/>
      <c r="N1942" s="1"/>
      <c r="O1942" s="1"/>
      <c r="P1942" s="1"/>
      <c r="Q1942" s="95"/>
      <c r="R1942" s="5" t="b">
        <f t="shared" si="325"/>
        <v>0</v>
      </c>
    </row>
    <row r="1943" spans="1:18" s="4" customFormat="1" ht="15" customHeight="1">
      <c r="A1943" s="64"/>
      <c r="B1943" s="7">
        <f t="shared" si="326"/>
        <v>184</v>
      </c>
      <c r="C1943" s="211" t="s">
        <v>10</v>
      </c>
      <c r="D1943" s="263" t="s">
        <v>860</v>
      </c>
      <c r="E1943" s="263"/>
      <c r="F1943" s="263" t="s">
        <v>157</v>
      </c>
      <c r="G1943" s="263"/>
      <c r="H1943" s="263"/>
      <c r="I1943" s="263"/>
      <c r="J1943" s="16"/>
      <c r="K1943" s="1"/>
      <c r="M1943" s="1"/>
      <c r="N1943" s="1"/>
      <c r="O1943" s="1"/>
      <c r="P1943" s="1"/>
      <c r="Q1943" s="95"/>
      <c r="R1943" s="5" t="b">
        <f t="shared" si="325"/>
        <v>0</v>
      </c>
    </row>
    <row r="1944" spans="1:18" s="4" customFormat="1" ht="15" customHeight="1">
      <c r="A1944" s="64"/>
      <c r="B1944" s="7">
        <f t="shared" si="326"/>
        <v>185</v>
      </c>
      <c r="C1944" s="211" t="s">
        <v>10</v>
      </c>
      <c r="D1944" s="263" t="s">
        <v>861</v>
      </c>
      <c r="E1944" s="263"/>
      <c r="F1944" s="263" t="s">
        <v>157</v>
      </c>
      <c r="G1944" s="263"/>
      <c r="H1944" s="263"/>
      <c r="I1944" s="263" t="s">
        <v>862</v>
      </c>
      <c r="J1944" s="16"/>
      <c r="K1944" s="1"/>
      <c r="M1944" s="1"/>
      <c r="N1944" s="1"/>
      <c r="O1944" s="1"/>
      <c r="P1944" s="1"/>
      <c r="Q1944" s="95"/>
      <c r="R1944" s="5" t="b">
        <f t="shared" si="325"/>
        <v>0</v>
      </c>
    </row>
    <row r="1945" spans="1:18" s="4" customFormat="1" ht="15" customHeight="1">
      <c r="A1945" s="64"/>
      <c r="B1945" s="7">
        <f t="shared" si="326"/>
        <v>186</v>
      </c>
      <c r="C1945" s="211" t="s">
        <v>10</v>
      </c>
      <c r="D1945" s="263" t="s">
        <v>863</v>
      </c>
      <c r="E1945" s="263"/>
      <c r="F1945" s="263" t="s">
        <v>157</v>
      </c>
      <c r="G1945" s="263"/>
      <c r="H1945" s="263"/>
      <c r="I1945" s="263"/>
      <c r="J1945" s="16"/>
      <c r="K1945" s="1"/>
      <c r="M1945" s="1"/>
      <c r="N1945" s="1"/>
      <c r="O1945" s="1"/>
      <c r="P1945" s="1"/>
      <c r="Q1945" s="95"/>
      <c r="R1945" s="5" t="b">
        <f t="shared" si="325"/>
        <v>0</v>
      </c>
    </row>
    <row r="1946" spans="1:18" s="4" customFormat="1" ht="15" customHeight="1">
      <c r="A1946" s="64"/>
      <c r="B1946" s="7">
        <f t="shared" si="326"/>
        <v>187</v>
      </c>
      <c r="C1946" s="211" t="s">
        <v>10</v>
      </c>
      <c r="D1946" s="263" t="s">
        <v>864</v>
      </c>
      <c r="E1946" s="263"/>
      <c r="F1946" s="263" t="s">
        <v>157</v>
      </c>
      <c r="G1946" s="263"/>
      <c r="H1946" s="263"/>
      <c r="I1946" s="263"/>
      <c r="J1946" s="16"/>
      <c r="K1946" s="1"/>
      <c r="M1946" s="1"/>
      <c r="N1946" s="1"/>
      <c r="O1946" s="1"/>
      <c r="P1946" s="1"/>
      <c r="Q1946" s="95"/>
      <c r="R1946" s="5" t="b">
        <f t="shared" si="325"/>
        <v>0</v>
      </c>
    </row>
    <row r="1947" spans="1:18" s="4" customFormat="1" ht="15" customHeight="1">
      <c r="A1947" s="64"/>
      <c r="B1947" s="7">
        <f t="shared" si="326"/>
        <v>188</v>
      </c>
      <c r="C1947" s="211" t="s">
        <v>10</v>
      </c>
      <c r="D1947" s="263" t="s">
        <v>865</v>
      </c>
      <c r="E1947" s="263"/>
      <c r="F1947" s="263" t="s">
        <v>157</v>
      </c>
      <c r="G1947" s="263"/>
      <c r="H1947" s="263"/>
      <c r="I1947" s="263"/>
      <c r="J1947" s="16"/>
      <c r="K1947" s="1"/>
      <c r="M1947" s="1"/>
      <c r="N1947" s="1"/>
      <c r="O1947" s="1"/>
      <c r="P1947" s="1"/>
      <c r="Q1947" s="95"/>
      <c r="R1947" s="5" t="b">
        <f t="shared" si="325"/>
        <v>0</v>
      </c>
    </row>
    <row r="1948" spans="1:18" s="4" customFormat="1" ht="15" customHeight="1">
      <c r="A1948" s="64"/>
      <c r="B1948" s="7">
        <f t="shared" si="326"/>
        <v>189</v>
      </c>
      <c r="C1948" s="211" t="s">
        <v>10</v>
      </c>
      <c r="D1948" s="263" t="s">
        <v>866</v>
      </c>
      <c r="E1948" s="263"/>
      <c r="F1948" s="263" t="s">
        <v>157</v>
      </c>
      <c r="G1948" s="263"/>
      <c r="H1948" s="263"/>
      <c r="I1948" s="263"/>
      <c r="J1948" s="16"/>
      <c r="K1948" s="1"/>
      <c r="M1948" s="1"/>
      <c r="N1948" s="1"/>
      <c r="O1948" s="1"/>
      <c r="P1948" s="1"/>
      <c r="Q1948" s="95"/>
      <c r="R1948" s="5" t="b">
        <f t="shared" si="325"/>
        <v>0</v>
      </c>
    </row>
    <row r="1949" spans="1:18" s="4" customFormat="1" ht="15" customHeight="1">
      <c r="A1949" s="64"/>
      <c r="B1949" s="7">
        <f t="shared" si="326"/>
        <v>190</v>
      </c>
      <c r="C1949" s="211" t="s">
        <v>10</v>
      </c>
      <c r="D1949" s="263" t="s">
        <v>867</v>
      </c>
      <c r="E1949" s="263"/>
      <c r="F1949" s="263" t="s">
        <v>157</v>
      </c>
      <c r="G1949" s="263"/>
      <c r="H1949" s="263"/>
      <c r="I1949" s="263"/>
      <c r="J1949" s="16"/>
      <c r="K1949" s="1"/>
      <c r="M1949" s="1"/>
      <c r="N1949" s="1"/>
      <c r="O1949" s="1"/>
      <c r="P1949" s="1"/>
      <c r="Q1949" s="95"/>
      <c r="R1949" s="5" t="b">
        <f t="shared" si="325"/>
        <v>0</v>
      </c>
    </row>
    <row r="1950" spans="1:18" s="4" customFormat="1" ht="15" customHeight="1">
      <c r="A1950" s="64"/>
      <c r="B1950" s="7">
        <f t="shared" si="326"/>
        <v>191</v>
      </c>
      <c r="C1950" s="211" t="s">
        <v>10</v>
      </c>
      <c r="D1950" s="263" t="s">
        <v>868</v>
      </c>
      <c r="E1950" s="263"/>
      <c r="F1950" s="263" t="s">
        <v>157</v>
      </c>
      <c r="G1950" s="263"/>
      <c r="H1950" s="263"/>
      <c r="I1950" s="263"/>
      <c r="J1950" s="16"/>
      <c r="K1950" s="1"/>
      <c r="M1950" s="1"/>
      <c r="N1950" s="1"/>
      <c r="O1950" s="1"/>
      <c r="P1950" s="1"/>
      <c r="Q1950" s="95"/>
      <c r="R1950" s="5" t="b">
        <f t="shared" si="325"/>
        <v>0</v>
      </c>
    </row>
    <row r="1951" spans="1:18" s="4" customFormat="1" ht="15" customHeight="1">
      <c r="A1951" s="64"/>
      <c r="B1951" s="7">
        <f t="shared" si="326"/>
        <v>192</v>
      </c>
      <c r="C1951" s="211" t="s">
        <v>10</v>
      </c>
      <c r="D1951" s="263" t="s">
        <v>869</v>
      </c>
      <c r="E1951" s="263"/>
      <c r="F1951" s="263" t="s">
        <v>157</v>
      </c>
      <c r="G1951" s="263"/>
      <c r="H1951" s="263"/>
      <c r="I1951" s="263"/>
      <c r="J1951" s="16"/>
      <c r="K1951" s="1"/>
      <c r="M1951" s="1"/>
      <c r="N1951" s="1"/>
      <c r="O1951" s="1"/>
      <c r="P1951" s="1"/>
      <c r="Q1951" s="95"/>
      <c r="R1951" s="5" t="b">
        <f t="shared" si="325"/>
        <v>0</v>
      </c>
    </row>
    <row r="1952" spans="1:18" s="4" customFormat="1" ht="15" customHeight="1">
      <c r="A1952" s="64"/>
      <c r="B1952" s="7">
        <f t="shared" si="326"/>
        <v>193</v>
      </c>
      <c r="C1952" s="211" t="s">
        <v>10</v>
      </c>
      <c r="D1952" s="263" t="s">
        <v>870</v>
      </c>
      <c r="E1952" s="263"/>
      <c r="F1952" s="263" t="s">
        <v>157</v>
      </c>
      <c r="G1952" s="263"/>
      <c r="H1952" s="263"/>
      <c r="I1952" s="263"/>
      <c r="J1952" s="16"/>
      <c r="K1952" s="1"/>
      <c r="M1952" s="1"/>
      <c r="N1952" s="1"/>
      <c r="O1952" s="1"/>
      <c r="P1952" s="1"/>
      <c r="Q1952" s="95"/>
      <c r="R1952" s="5" t="b">
        <f t="shared" ref="R1952:R2015" si="327">IF(O1952&gt;89.9999999999999%,"PAMA")</f>
        <v>0</v>
      </c>
    </row>
    <row r="1953" spans="1:18" s="4" customFormat="1" ht="15" customHeight="1">
      <c r="A1953" s="64"/>
      <c r="B1953" s="7">
        <f t="shared" si="326"/>
        <v>194</v>
      </c>
      <c r="C1953" s="211" t="s">
        <v>10</v>
      </c>
      <c r="D1953" s="263" t="s">
        <v>871</v>
      </c>
      <c r="E1953" s="263"/>
      <c r="F1953" s="263" t="s">
        <v>157</v>
      </c>
      <c r="G1953" s="263"/>
      <c r="H1953" s="263"/>
      <c r="I1953" s="263"/>
      <c r="J1953" s="16"/>
      <c r="K1953" s="1"/>
      <c r="M1953" s="1"/>
      <c r="N1953" s="1"/>
      <c r="O1953" s="1"/>
      <c r="P1953" s="1"/>
      <c r="Q1953" s="95"/>
      <c r="R1953" s="5" t="b">
        <f t="shared" si="327"/>
        <v>0</v>
      </c>
    </row>
    <row r="1954" spans="1:18" s="4" customFormat="1" ht="15" customHeight="1">
      <c r="A1954" s="64"/>
      <c r="B1954" s="7">
        <f t="shared" si="326"/>
        <v>195</v>
      </c>
      <c r="C1954" s="211" t="s">
        <v>10</v>
      </c>
      <c r="D1954" s="263" t="s">
        <v>872</v>
      </c>
      <c r="E1954" s="263"/>
      <c r="F1954" s="263" t="s">
        <v>157</v>
      </c>
      <c r="G1954" s="263"/>
      <c r="H1954" s="263"/>
      <c r="I1954" s="263"/>
      <c r="J1954" s="16"/>
      <c r="K1954" s="1"/>
      <c r="M1954" s="1"/>
      <c r="N1954" s="1"/>
      <c r="O1954" s="1"/>
      <c r="P1954" s="1"/>
      <c r="Q1954" s="95"/>
      <c r="R1954" s="5" t="b">
        <f t="shared" si="327"/>
        <v>0</v>
      </c>
    </row>
    <row r="1955" spans="1:18" s="4" customFormat="1" ht="15" customHeight="1">
      <c r="A1955" s="64"/>
      <c r="B1955" s="7">
        <f t="shared" si="326"/>
        <v>196</v>
      </c>
      <c r="C1955" s="211" t="s">
        <v>10</v>
      </c>
      <c r="D1955" s="263" t="s">
        <v>873</v>
      </c>
      <c r="E1955" s="263"/>
      <c r="F1955" s="263" t="s">
        <v>157</v>
      </c>
      <c r="G1955" s="263"/>
      <c r="H1955" s="263"/>
      <c r="I1955" s="263" t="s">
        <v>874</v>
      </c>
      <c r="J1955" s="16"/>
      <c r="K1955" s="1"/>
      <c r="M1955" s="1"/>
      <c r="N1955" s="1"/>
      <c r="O1955" s="1"/>
      <c r="P1955" s="1"/>
      <c r="Q1955" s="95"/>
      <c r="R1955" s="5" t="b">
        <f t="shared" si="327"/>
        <v>0</v>
      </c>
    </row>
    <row r="1956" spans="1:18" s="4" customFormat="1" ht="15" customHeight="1">
      <c r="A1956" s="64"/>
      <c r="B1956" s="7">
        <f t="shared" si="326"/>
        <v>197</v>
      </c>
      <c r="C1956" s="211" t="s">
        <v>10</v>
      </c>
      <c r="D1956" s="263" t="s">
        <v>875</v>
      </c>
      <c r="E1956" s="263"/>
      <c r="F1956" s="263" t="s">
        <v>857</v>
      </c>
      <c r="G1956" s="263"/>
      <c r="H1956" s="263"/>
      <c r="I1956" s="263"/>
      <c r="J1956" s="16"/>
      <c r="K1956" s="1"/>
      <c r="M1956" s="1"/>
      <c r="N1956" s="1"/>
      <c r="O1956" s="1"/>
      <c r="P1956" s="1"/>
      <c r="Q1956" s="95"/>
      <c r="R1956" s="5" t="b">
        <f t="shared" si="327"/>
        <v>0</v>
      </c>
    </row>
    <row r="1957" spans="1:18" s="4" customFormat="1" ht="15" customHeight="1">
      <c r="A1957" s="64"/>
      <c r="B1957" s="7">
        <f t="shared" si="326"/>
        <v>198</v>
      </c>
      <c r="C1957" s="211" t="s">
        <v>10</v>
      </c>
      <c r="D1957" s="263" t="s">
        <v>876</v>
      </c>
      <c r="E1957" s="263"/>
      <c r="F1957" s="263" t="s">
        <v>857</v>
      </c>
      <c r="G1957" s="263"/>
      <c r="H1957" s="263"/>
      <c r="I1957" s="263"/>
      <c r="J1957" s="16"/>
      <c r="K1957" s="1"/>
      <c r="M1957" s="1"/>
      <c r="N1957" s="1"/>
      <c r="O1957" s="1"/>
      <c r="P1957" s="1"/>
      <c r="Q1957" s="95"/>
      <c r="R1957" s="5" t="b">
        <f t="shared" si="327"/>
        <v>0</v>
      </c>
    </row>
    <row r="1958" spans="1:18" s="4" customFormat="1" ht="15" customHeight="1">
      <c r="A1958" s="64"/>
      <c r="B1958" s="7">
        <f t="shared" si="326"/>
        <v>199</v>
      </c>
      <c r="C1958" s="211" t="s">
        <v>10</v>
      </c>
      <c r="D1958" s="263" t="s">
        <v>877</v>
      </c>
      <c r="E1958" s="263"/>
      <c r="F1958" s="263" t="s">
        <v>157</v>
      </c>
      <c r="G1958" s="263"/>
      <c r="H1958" s="263"/>
      <c r="I1958" s="263"/>
      <c r="J1958" s="16"/>
      <c r="K1958" s="1"/>
      <c r="M1958" s="1"/>
      <c r="N1958" s="1"/>
      <c r="O1958" s="1"/>
      <c r="P1958" s="1"/>
      <c r="Q1958" s="95"/>
      <c r="R1958" s="5" t="b">
        <f t="shared" si="327"/>
        <v>0</v>
      </c>
    </row>
    <row r="1959" spans="1:18" s="4" customFormat="1" ht="15" customHeight="1">
      <c r="A1959" s="64"/>
      <c r="B1959" s="7">
        <f t="shared" si="326"/>
        <v>200</v>
      </c>
      <c r="C1959" s="211" t="s">
        <v>10</v>
      </c>
      <c r="D1959" s="263" t="s">
        <v>878</v>
      </c>
      <c r="E1959" s="263"/>
      <c r="F1959" s="263" t="s">
        <v>157</v>
      </c>
      <c r="G1959" s="263"/>
      <c r="H1959" s="263"/>
      <c r="I1959" s="263"/>
      <c r="J1959" s="16"/>
      <c r="K1959" s="1"/>
      <c r="M1959" s="1"/>
      <c r="N1959" s="1"/>
      <c r="O1959" s="1"/>
      <c r="P1959" s="1"/>
      <c r="Q1959" s="95"/>
      <c r="R1959" s="5" t="b">
        <f t="shared" si="327"/>
        <v>0</v>
      </c>
    </row>
    <row r="1960" spans="1:18" s="4" customFormat="1" ht="15" customHeight="1">
      <c r="A1960" s="64"/>
      <c r="B1960" s="7">
        <f t="shared" si="326"/>
        <v>201</v>
      </c>
      <c r="C1960" s="211" t="s">
        <v>10</v>
      </c>
      <c r="D1960" s="263" t="s">
        <v>879</v>
      </c>
      <c r="E1960" s="263"/>
      <c r="F1960" s="263" t="s">
        <v>157</v>
      </c>
      <c r="G1960" s="263"/>
      <c r="H1960" s="263"/>
      <c r="I1960" s="263"/>
      <c r="J1960" s="16"/>
      <c r="K1960" s="1"/>
      <c r="M1960" s="1"/>
      <c r="N1960" s="1"/>
      <c r="O1960" s="1"/>
      <c r="P1960" s="1"/>
      <c r="Q1960" s="95"/>
      <c r="R1960" s="5" t="b">
        <f t="shared" si="327"/>
        <v>0</v>
      </c>
    </row>
    <row r="1961" spans="1:18" s="4" customFormat="1" ht="15" customHeight="1">
      <c r="A1961" s="64"/>
      <c r="B1961" s="7">
        <f t="shared" si="326"/>
        <v>202</v>
      </c>
      <c r="C1961" s="211" t="s">
        <v>10</v>
      </c>
      <c r="D1961" s="263" t="s">
        <v>880</v>
      </c>
      <c r="E1961" s="263"/>
      <c r="F1961" s="263" t="s">
        <v>157</v>
      </c>
      <c r="G1961" s="263"/>
      <c r="H1961" s="263"/>
      <c r="I1961" s="263"/>
      <c r="J1961" s="16"/>
      <c r="K1961" s="1"/>
      <c r="M1961" s="1"/>
      <c r="N1961" s="1"/>
      <c r="O1961" s="1"/>
      <c r="P1961" s="1"/>
      <c r="Q1961" s="95"/>
      <c r="R1961" s="5" t="b">
        <f t="shared" si="327"/>
        <v>0</v>
      </c>
    </row>
    <row r="1962" spans="1:18" s="4" customFormat="1" ht="15" customHeight="1">
      <c r="A1962" s="64"/>
      <c r="B1962" s="7">
        <f t="shared" ref="B1962:B2025" si="328">B1961+1</f>
        <v>203</v>
      </c>
      <c r="C1962" s="211" t="s">
        <v>10</v>
      </c>
      <c r="D1962" s="263" t="s">
        <v>881</v>
      </c>
      <c r="E1962" s="263"/>
      <c r="F1962" s="263" t="s">
        <v>157</v>
      </c>
      <c r="G1962" s="263"/>
      <c r="H1962" s="263"/>
      <c r="I1962" s="263"/>
      <c r="J1962" s="16"/>
      <c r="K1962" s="1"/>
      <c r="M1962" s="1"/>
      <c r="N1962" s="1"/>
      <c r="O1962" s="1"/>
      <c r="P1962" s="1"/>
      <c r="Q1962" s="95"/>
      <c r="R1962" s="5" t="b">
        <f t="shared" si="327"/>
        <v>0</v>
      </c>
    </row>
    <row r="1963" spans="1:18" s="4" customFormat="1" ht="15" customHeight="1">
      <c r="A1963" s="64"/>
      <c r="B1963" s="7">
        <f t="shared" si="328"/>
        <v>204</v>
      </c>
      <c r="C1963" s="211" t="s">
        <v>10</v>
      </c>
      <c r="D1963" s="263" t="s">
        <v>882</v>
      </c>
      <c r="E1963" s="263"/>
      <c r="F1963" s="263" t="s">
        <v>157</v>
      </c>
      <c r="G1963" s="263"/>
      <c r="H1963" s="263"/>
      <c r="I1963" s="263"/>
      <c r="J1963" s="16"/>
      <c r="K1963" s="1"/>
      <c r="M1963" s="1"/>
      <c r="N1963" s="1"/>
      <c r="O1963" s="1"/>
      <c r="P1963" s="1"/>
      <c r="Q1963" s="95"/>
      <c r="R1963" s="5" t="b">
        <f t="shared" si="327"/>
        <v>0</v>
      </c>
    </row>
    <row r="1964" spans="1:18" s="4" customFormat="1" ht="15" customHeight="1">
      <c r="A1964" s="64"/>
      <c r="B1964" s="7">
        <f t="shared" si="328"/>
        <v>205</v>
      </c>
      <c r="C1964" s="211" t="s">
        <v>10</v>
      </c>
      <c r="D1964" s="263" t="s">
        <v>883</v>
      </c>
      <c r="E1964" s="263"/>
      <c r="F1964" s="263" t="s">
        <v>157</v>
      </c>
      <c r="G1964" s="263"/>
      <c r="H1964" s="263"/>
      <c r="I1964" s="263"/>
      <c r="J1964" s="16"/>
      <c r="K1964" s="1"/>
      <c r="M1964" s="1"/>
      <c r="N1964" s="1"/>
      <c r="O1964" s="1"/>
      <c r="P1964" s="1"/>
      <c r="Q1964" s="95"/>
      <c r="R1964" s="5" t="b">
        <f t="shared" si="327"/>
        <v>0</v>
      </c>
    </row>
    <row r="1965" spans="1:18" s="4" customFormat="1" ht="15" customHeight="1">
      <c r="A1965" s="64"/>
      <c r="B1965" s="7">
        <f t="shared" si="328"/>
        <v>206</v>
      </c>
      <c r="C1965" s="211" t="s">
        <v>10</v>
      </c>
      <c r="D1965" s="263" t="s">
        <v>884</v>
      </c>
      <c r="E1965" s="263"/>
      <c r="F1965" s="263" t="s">
        <v>157</v>
      </c>
      <c r="G1965" s="263"/>
      <c r="H1965" s="263"/>
      <c r="I1965" s="263"/>
      <c r="J1965" s="16"/>
      <c r="K1965" s="1"/>
      <c r="M1965" s="1"/>
      <c r="N1965" s="1"/>
      <c r="O1965" s="1"/>
      <c r="P1965" s="1"/>
      <c r="Q1965" s="95"/>
      <c r="R1965" s="5" t="b">
        <f t="shared" si="327"/>
        <v>0</v>
      </c>
    </row>
    <row r="1966" spans="1:18" s="4" customFormat="1" ht="15" customHeight="1">
      <c r="A1966" s="64"/>
      <c r="B1966" s="7">
        <f t="shared" si="328"/>
        <v>207</v>
      </c>
      <c r="C1966" s="211" t="s">
        <v>10</v>
      </c>
      <c r="D1966" s="263" t="s">
        <v>885</v>
      </c>
      <c r="E1966" s="263"/>
      <c r="F1966" s="263" t="s">
        <v>157</v>
      </c>
      <c r="G1966" s="263"/>
      <c r="H1966" s="263"/>
      <c r="I1966" s="263"/>
      <c r="J1966" s="16"/>
      <c r="K1966" s="1"/>
      <c r="M1966" s="1"/>
      <c r="N1966" s="1"/>
      <c r="O1966" s="1"/>
      <c r="P1966" s="1"/>
      <c r="Q1966" s="95"/>
      <c r="R1966" s="5" t="b">
        <f t="shared" si="327"/>
        <v>0</v>
      </c>
    </row>
    <row r="1967" spans="1:18" s="4" customFormat="1" ht="15" customHeight="1">
      <c r="A1967" s="64"/>
      <c r="B1967" s="7">
        <f t="shared" si="328"/>
        <v>208</v>
      </c>
      <c r="C1967" s="211" t="s">
        <v>10</v>
      </c>
      <c r="D1967" s="263" t="s">
        <v>886</v>
      </c>
      <c r="E1967" s="263"/>
      <c r="F1967" s="263" t="s">
        <v>157</v>
      </c>
      <c r="G1967" s="263"/>
      <c r="H1967" s="263"/>
      <c r="I1967" s="263" t="s">
        <v>874</v>
      </c>
      <c r="J1967" s="16"/>
      <c r="K1967" s="1"/>
      <c r="M1967" s="1"/>
      <c r="N1967" s="1"/>
      <c r="O1967" s="1"/>
      <c r="P1967" s="1"/>
      <c r="Q1967" s="95"/>
      <c r="R1967" s="5" t="b">
        <f t="shared" si="327"/>
        <v>0</v>
      </c>
    </row>
    <row r="1968" spans="1:18" s="4" customFormat="1" ht="15" customHeight="1">
      <c r="A1968" s="64"/>
      <c r="B1968" s="7">
        <f t="shared" si="328"/>
        <v>209</v>
      </c>
      <c r="C1968" s="211" t="s">
        <v>10</v>
      </c>
      <c r="D1968" s="263" t="s">
        <v>887</v>
      </c>
      <c r="E1968" s="263"/>
      <c r="F1968" s="263" t="s">
        <v>157</v>
      </c>
      <c r="G1968" s="263"/>
      <c r="H1968" s="263"/>
      <c r="I1968" s="263" t="s">
        <v>874</v>
      </c>
      <c r="J1968" s="16"/>
      <c r="K1968" s="1"/>
      <c r="M1968" s="1"/>
      <c r="N1968" s="1"/>
      <c r="O1968" s="1"/>
      <c r="P1968" s="1"/>
      <c r="Q1968" s="95"/>
      <c r="R1968" s="5" t="b">
        <f t="shared" si="327"/>
        <v>0</v>
      </c>
    </row>
    <row r="1969" spans="1:18" s="4" customFormat="1" ht="15" customHeight="1">
      <c r="A1969" s="64"/>
      <c r="B1969" s="7">
        <f t="shared" si="328"/>
        <v>210</v>
      </c>
      <c r="C1969" s="211" t="s">
        <v>10</v>
      </c>
      <c r="D1969" s="263" t="s">
        <v>888</v>
      </c>
      <c r="E1969" s="263"/>
      <c r="F1969" s="263" t="s">
        <v>889</v>
      </c>
      <c r="G1969" s="263"/>
      <c r="H1969" s="263"/>
      <c r="I1969" s="263"/>
      <c r="J1969" s="16"/>
      <c r="K1969" s="1"/>
      <c r="M1969" s="1"/>
      <c r="N1969" s="1"/>
      <c r="O1969" s="1"/>
      <c r="P1969" s="1"/>
      <c r="Q1969" s="95"/>
      <c r="R1969" s="5" t="b">
        <f t="shared" si="327"/>
        <v>0</v>
      </c>
    </row>
    <row r="1970" spans="1:18" s="4" customFormat="1" ht="15" customHeight="1">
      <c r="A1970" s="64"/>
      <c r="B1970" s="7">
        <f t="shared" si="328"/>
        <v>211</v>
      </c>
      <c r="C1970" s="211" t="s">
        <v>10</v>
      </c>
      <c r="D1970" s="263" t="s">
        <v>890</v>
      </c>
      <c r="E1970" s="263"/>
      <c r="F1970" s="263" t="s">
        <v>889</v>
      </c>
      <c r="G1970" s="263"/>
      <c r="H1970" s="263"/>
      <c r="I1970" s="263"/>
      <c r="J1970" s="16"/>
      <c r="K1970" s="1"/>
      <c r="M1970" s="1"/>
      <c r="N1970" s="1"/>
      <c r="O1970" s="1"/>
      <c r="P1970" s="1"/>
      <c r="Q1970" s="95"/>
      <c r="R1970" s="5" t="b">
        <f t="shared" si="327"/>
        <v>0</v>
      </c>
    </row>
    <row r="1971" spans="1:18" s="4" customFormat="1" ht="15" customHeight="1">
      <c r="A1971" s="64"/>
      <c r="B1971" s="7">
        <f t="shared" si="328"/>
        <v>212</v>
      </c>
      <c r="C1971" s="211" t="s">
        <v>10</v>
      </c>
      <c r="D1971" s="263" t="s">
        <v>891</v>
      </c>
      <c r="E1971" s="263"/>
      <c r="F1971" s="263" t="s">
        <v>157</v>
      </c>
      <c r="G1971" s="263"/>
      <c r="H1971" s="263"/>
      <c r="I1971" s="263"/>
      <c r="J1971" s="16"/>
      <c r="K1971" s="1"/>
      <c r="M1971" s="1"/>
      <c r="N1971" s="1"/>
      <c r="O1971" s="1"/>
      <c r="P1971" s="1"/>
      <c r="Q1971" s="95"/>
      <c r="R1971" s="5" t="b">
        <f t="shared" si="327"/>
        <v>0</v>
      </c>
    </row>
    <row r="1972" spans="1:18" s="4" customFormat="1" ht="15" customHeight="1">
      <c r="A1972" s="64"/>
      <c r="B1972" s="7">
        <f t="shared" si="328"/>
        <v>213</v>
      </c>
      <c r="C1972" s="211" t="s">
        <v>10</v>
      </c>
      <c r="D1972" s="263" t="s">
        <v>892</v>
      </c>
      <c r="E1972" s="263"/>
      <c r="F1972" s="263" t="s">
        <v>889</v>
      </c>
      <c r="G1972" s="263"/>
      <c r="H1972" s="263"/>
      <c r="I1972" s="263"/>
      <c r="J1972" s="16"/>
      <c r="K1972" s="1"/>
      <c r="M1972" s="1"/>
      <c r="N1972" s="1"/>
      <c r="O1972" s="1"/>
      <c r="P1972" s="1"/>
      <c r="Q1972" s="95"/>
      <c r="R1972" s="5" t="b">
        <f t="shared" si="327"/>
        <v>0</v>
      </c>
    </row>
    <row r="1973" spans="1:18" s="4" customFormat="1" ht="15" customHeight="1">
      <c r="A1973" s="64"/>
      <c r="B1973" s="7">
        <f t="shared" si="328"/>
        <v>214</v>
      </c>
      <c r="C1973" s="211" t="s">
        <v>10</v>
      </c>
      <c r="D1973" s="263" t="s">
        <v>893</v>
      </c>
      <c r="E1973" s="263"/>
      <c r="F1973" s="263" t="s">
        <v>157</v>
      </c>
      <c r="G1973" s="263"/>
      <c r="H1973" s="263"/>
      <c r="I1973" s="263"/>
      <c r="J1973" s="16"/>
      <c r="K1973" s="1"/>
      <c r="M1973" s="1"/>
      <c r="N1973" s="1"/>
      <c r="O1973" s="1"/>
      <c r="P1973" s="1"/>
      <c r="Q1973" s="95"/>
      <c r="R1973" s="5" t="b">
        <f t="shared" si="327"/>
        <v>0</v>
      </c>
    </row>
    <row r="1974" spans="1:18" s="4" customFormat="1" ht="15" customHeight="1">
      <c r="A1974" s="64"/>
      <c r="B1974" s="7">
        <f t="shared" si="328"/>
        <v>215</v>
      </c>
      <c r="C1974" s="211" t="s">
        <v>10</v>
      </c>
      <c r="D1974" s="263" t="s">
        <v>894</v>
      </c>
      <c r="E1974" s="263"/>
      <c r="F1974" s="263" t="s">
        <v>889</v>
      </c>
      <c r="G1974" s="263"/>
      <c r="H1974" s="263"/>
      <c r="I1974" s="263"/>
      <c r="J1974" s="16"/>
      <c r="K1974" s="1"/>
      <c r="M1974" s="1"/>
      <c r="N1974" s="1"/>
      <c r="O1974" s="1"/>
      <c r="P1974" s="1"/>
      <c r="Q1974" s="95"/>
      <c r="R1974" s="5" t="b">
        <f t="shared" si="327"/>
        <v>0</v>
      </c>
    </row>
    <row r="1975" spans="1:18" s="4" customFormat="1" ht="15" customHeight="1">
      <c r="A1975" s="64"/>
      <c r="B1975" s="7">
        <f t="shared" si="328"/>
        <v>216</v>
      </c>
      <c r="C1975" s="211" t="s">
        <v>10</v>
      </c>
      <c r="D1975" s="263" t="s">
        <v>895</v>
      </c>
      <c r="E1975" s="263"/>
      <c r="F1975" s="263" t="s">
        <v>889</v>
      </c>
      <c r="G1975" s="263"/>
      <c r="H1975" s="263"/>
      <c r="I1975" s="263"/>
      <c r="J1975" s="16"/>
      <c r="K1975" s="1"/>
      <c r="M1975" s="1"/>
      <c r="N1975" s="1"/>
      <c r="O1975" s="1"/>
      <c r="P1975" s="1"/>
      <c r="Q1975" s="95"/>
      <c r="R1975" s="5" t="b">
        <f t="shared" si="327"/>
        <v>0</v>
      </c>
    </row>
    <row r="1976" spans="1:18" s="4" customFormat="1" ht="15" customHeight="1">
      <c r="A1976" s="64"/>
      <c r="B1976" s="7">
        <f t="shared" si="328"/>
        <v>217</v>
      </c>
      <c r="C1976" s="211" t="s">
        <v>10</v>
      </c>
      <c r="D1976" s="263" t="s">
        <v>896</v>
      </c>
      <c r="E1976" s="263"/>
      <c r="F1976" s="263" t="s">
        <v>889</v>
      </c>
      <c r="G1976" s="263"/>
      <c r="H1976" s="263"/>
      <c r="I1976" s="263"/>
      <c r="J1976" s="16"/>
      <c r="K1976" s="1"/>
      <c r="M1976" s="1"/>
      <c r="N1976" s="1"/>
      <c r="O1976" s="1"/>
      <c r="P1976" s="1"/>
      <c r="Q1976" s="95"/>
      <c r="R1976" s="5" t="b">
        <f t="shared" si="327"/>
        <v>0</v>
      </c>
    </row>
    <row r="1977" spans="1:18" s="4" customFormat="1" ht="15" customHeight="1">
      <c r="A1977" s="64"/>
      <c r="B1977" s="7">
        <f t="shared" si="328"/>
        <v>218</v>
      </c>
      <c r="C1977" s="211" t="s">
        <v>10</v>
      </c>
      <c r="D1977" s="263" t="s">
        <v>897</v>
      </c>
      <c r="E1977" s="263"/>
      <c r="F1977" s="263" t="s">
        <v>889</v>
      </c>
      <c r="G1977" s="263"/>
      <c r="H1977" s="263"/>
      <c r="I1977" s="263"/>
      <c r="J1977" s="16"/>
      <c r="K1977" s="1"/>
      <c r="M1977" s="1"/>
      <c r="N1977" s="1"/>
      <c r="O1977" s="1"/>
      <c r="P1977" s="1"/>
      <c r="Q1977" s="95"/>
      <c r="R1977" s="5" t="b">
        <f t="shared" si="327"/>
        <v>0</v>
      </c>
    </row>
    <row r="1978" spans="1:18" s="4" customFormat="1" ht="15" customHeight="1">
      <c r="A1978" s="64"/>
      <c r="B1978" s="7">
        <f t="shared" si="328"/>
        <v>219</v>
      </c>
      <c r="C1978" s="211" t="s">
        <v>10</v>
      </c>
      <c r="D1978" s="263" t="s">
        <v>898</v>
      </c>
      <c r="E1978" s="263"/>
      <c r="F1978" s="263" t="s">
        <v>157</v>
      </c>
      <c r="G1978" s="263"/>
      <c r="H1978" s="263"/>
      <c r="I1978" s="263"/>
      <c r="J1978" s="16"/>
      <c r="K1978" s="1"/>
      <c r="M1978" s="1"/>
      <c r="N1978" s="1"/>
      <c r="O1978" s="1"/>
      <c r="P1978" s="1"/>
      <c r="Q1978" s="95"/>
      <c r="R1978" s="5" t="b">
        <f t="shared" si="327"/>
        <v>0</v>
      </c>
    </row>
    <row r="1979" spans="1:18" s="4" customFormat="1" ht="15" customHeight="1">
      <c r="A1979" s="64"/>
      <c r="B1979" s="7">
        <f t="shared" si="328"/>
        <v>220</v>
      </c>
      <c r="C1979" s="211" t="s">
        <v>10</v>
      </c>
      <c r="D1979" s="263" t="s">
        <v>899</v>
      </c>
      <c r="E1979" s="263"/>
      <c r="F1979" s="263" t="s">
        <v>157</v>
      </c>
      <c r="G1979" s="263"/>
      <c r="H1979" s="263"/>
      <c r="I1979" s="263"/>
      <c r="J1979" s="16"/>
      <c r="K1979" s="1"/>
      <c r="M1979" s="1"/>
      <c r="N1979" s="1"/>
      <c r="O1979" s="1"/>
      <c r="P1979" s="1"/>
      <c r="Q1979" s="95"/>
      <c r="R1979" s="5" t="b">
        <f t="shared" si="327"/>
        <v>0</v>
      </c>
    </row>
    <row r="1980" spans="1:18" s="4" customFormat="1" ht="15" customHeight="1">
      <c r="A1980" s="64"/>
      <c r="B1980" s="7">
        <f t="shared" si="328"/>
        <v>221</v>
      </c>
      <c r="C1980" s="211" t="s">
        <v>10</v>
      </c>
      <c r="D1980" s="263" t="s">
        <v>900</v>
      </c>
      <c r="E1980" s="263"/>
      <c r="F1980" s="263" t="s">
        <v>157</v>
      </c>
      <c r="G1980" s="263"/>
      <c r="H1980" s="263"/>
      <c r="I1980" s="263"/>
      <c r="J1980" s="16"/>
      <c r="K1980" s="1"/>
      <c r="M1980" s="1"/>
      <c r="N1980" s="1"/>
      <c r="O1980" s="1"/>
      <c r="P1980" s="1"/>
      <c r="Q1980" s="95"/>
      <c r="R1980" s="5" t="b">
        <f t="shared" si="327"/>
        <v>0</v>
      </c>
    </row>
    <row r="1981" spans="1:18" s="4" customFormat="1" ht="15" customHeight="1">
      <c r="A1981" s="64"/>
      <c r="B1981" s="7">
        <f t="shared" si="328"/>
        <v>222</v>
      </c>
      <c r="C1981" s="211" t="s">
        <v>10</v>
      </c>
      <c r="D1981" s="263" t="s">
        <v>901</v>
      </c>
      <c r="E1981" s="263"/>
      <c r="F1981" s="263" t="s">
        <v>157</v>
      </c>
      <c r="G1981" s="263"/>
      <c r="H1981" s="263"/>
      <c r="I1981" s="263"/>
      <c r="J1981" s="16"/>
      <c r="K1981" s="1"/>
      <c r="M1981" s="1"/>
      <c r="N1981" s="1"/>
      <c r="O1981" s="1"/>
      <c r="P1981" s="1"/>
      <c r="Q1981" s="95"/>
      <c r="R1981" s="5" t="b">
        <f t="shared" si="327"/>
        <v>0</v>
      </c>
    </row>
    <row r="1982" spans="1:18" s="4" customFormat="1" ht="15" customHeight="1">
      <c r="A1982" s="64"/>
      <c r="B1982" s="7">
        <f t="shared" si="328"/>
        <v>223</v>
      </c>
      <c r="C1982" s="211" t="s">
        <v>10</v>
      </c>
      <c r="D1982" s="263" t="s">
        <v>902</v>
      </c>
      <c r="E1982" s="263"/>
      <c r="F1982" s="263" t="s">
        <v>157</v>
      </c>
      <c r="G1982" s="263"/>
      <c r="H1982" s="263"/>
      <c r="I1982" s="263"/>
      <c r="J1982" s="16"/>
      <c r="K1982" s="1"/>
      <c r="M1982" s="1"/>
      <c r="N1982" s="1"/>
      <c r="O1982" s="1"/>
      <c r="P1982" s="1"/>
      <c r="Q1982" s="95"/>
      <c r="R1982" s="5" t="b">
        <f t="shared" si="327"/>
        <v>0</v>
      </c>
    </row>
    <row r="1983" spans="1:18" s="4" customFormat="1" ht="15" customHeight="1">
      <c r="A1983" s="64"/>
      <c r="B1983" s="7">
        <f t="shared" si="328"/>
        <v>224</v>
      </c>
      <c r="C1983" s="211" t="s">
        <v>10</v>
      </c>
      <c r="D1983" s="263" t="s">
        <v>903</v>
      </c>
      <c r="E1983" s="263"/>
      <c r="F1983" s="263" t="s">
        <v>904</v>
      </c>
      <c r="G1983" s="263"/>
      <c r="H1983" s="263"/>
      <c r="I1983" s="263"/>
      <c r="J1983" s="16"/>
      <c r="K1983" s="1"/>
      <c r="M1983" s="1"/>
      <c r="N1983" s="1"/>
      <c r="O1983" s="1"/>
      <c r="P1983" s="1"/>
      <c r="Q1983" s="95"/>
      <c r="R1983" s="5" t="b">
        <f t="shared" si="327"/>
        <v>0</v>
      </c>
    </row>
    <row r="1984" spans="1:18" s="4" customFormat="1" ht="15" customHeight="1">
      <c r="A1984" s="64"/>
      <c r="B1984" s="7">
        <f t="shared" si="328"/>
        <v>225</v>
      </c>
      <c r="C1984" s="211" t="s">
        <v>10</v>
      </c>
      <c r="D1984" s="263" t="s">
        <v>905</v>
      </c>
      <c r="E1984" s="263"/>
      <c r="F1984" s="263" t="s">
        <v>904</v>
      </c>
      <c r="G1984" s="263"/>
      <c r="H1984" s="263"/>
      <c r="I1984" s="263"/>
      <c r="J1984" s="16"/>
      <c r="K1984" s="1"/>
      <c r="M1984" s="1"/>
      <c r="N1984" s="1"/>
      <c r="O1984" s="1"/>
      <c r="P1984" s="1"/>
      <c r="Q1984" s="95"/>
      <c r="R1984" s="5" t="b">
        <f t="shared" si="327"/>
        <v>0</v>
      </c>
    </row>
    <row r="1985" spans="1:18" s="4" customFormat="1" ht="15" customHeight="1">
      <c r="A1985" s="64"/>
      <c r="B1985" s="7">
        <f t="shared" si="328"/>
        <v>226</v>
      </c>
      <c r="C1985" s="211" t="s">
        <v>10</v>
      </c>
      <c r="D1985" s="263" t="s">
        <v>906</v>
      </c>
      <c r="E1985" s="263"/>
      <c r="F1985" s="263" t="s">
        <v>904</v>
      </c>
      <c r="G1985" s="263"/>
      <c r="H1985" s="263"/>
      <c r="I1985" s="263"/>
      <c r="J1985" s="16"/>
      <c r="K1985" s="1"/>
      <c r="M1985" s="1"/>
      <c r="N1985" s="1"/>
      <c r="O1985" s="1"/>
      <c r="P1985" s="1"/>
      <c r="Q1985" s="95"/>
      <c r="R1985" s="5" t="b">
        <f t="shared" si="327"/>
        <v>0</v>
      </c>
    </row>
    <row r="1986" spans="1:18" s="4" customFormat="1" ht="15" customHeight="1">
      <c r="A1986" s="64"/>
      <c r="B1986" s="7">
        <f t="shared" si="328"/>
        <v>227</v>
      </c>
      <c r="C1986" s="211" t="s">
        <v>10</v>
      </c>
      <c r="D1986" s="263" t="s">
        <v>907</v>
      </c>
      <c r="E1986" s="263"/>
      <c r="F1986" s="263" t="s">
        <v>904</v>
      </c>
      <c r="G1986" s="263"/>
      <c r="H1986" s="263"/>
      <c r="I1986" s="263"/>
      <c r="J1986" s="16"/>
      <c r="K1986" s="1"/>
      <c r="M1986" s="1"/>
      <c r="N1986" s="1"/>
      <c r="O1986" s="1"/>
      <c r="P1986" s="1"/>
      <c r="Q1986" s="95"/>
      <c r="R1986" s="5" t="b">
        <f t="shared" si="327"/>
        <v>0</v>
      </c>
    </row>
    <row r="1987" spans="1:18" s="4" customFormat="1" ht="15" customHeight="1">
      <c r="A1987" s="64"/>
      <c r="B1987" s="7">
        <f t="shared" si="328"/>
        <v>228</v>
      </c>
      <c r="C1987" s="211" t="s">
        <v>10</v>
      </c>
      <c r="D1987" s="263" t="s">
        <v>908</v>
      </c>
      <c r="E1987" s="263"/>
      <c r="F1987" s="263" t="s">
        <v>904</v>
      </c>
      <c r="G1987" s="263"/>
      <c r="H1987" s="263"/>
      <c r="I1987" s="263"/>
      <c r="J1987" s="16"/>
      <c r="K1987" s="1"/>
      <c r="M1987" s="1"/>
      <c r="N1987" s="1"/>
      <c r="O1987" s="1"/>
      <c r="P1987" s="1"/>
      <c r="Q1987" s="95"/>
      <c r="R1987" s="5" t="b">
        <f t="shared" si="327"/>
        <v>0</v>
      </c>
    </row>
    <row r="1988" spans="1:18" s="4" customFormat="1" ht="15" customHeight="1">
      <c r="A1988" s="64"/>
      <c r="B1988" s="7">
        <f t="shared" si="328"/>
        <v>229</v>
      </c>
      <c r="C1988" s="211" t="s">
        <v>10</v>
      </c>
      <c r="D1988" s="263" t="s">
        <v>909</v>
      </c>
      <c r="E1988" s="263"/>
      <c r="F1988" s="263" t="s">
        <v>904</v>
      </c>
      <c r="G1988" s="263"/>
      <c r="H1988" s="263"/>
      <c r="I1988" s="263"/>
      <c r="J1988" s="16"/>
      <c r="K1988" s="1"/>
      <c r="M1988" s="1"/>
      <c r="N1988" s="1"/>
      <c r="O1988" s="1"/>
      <c r="P1988" s="1"/>
      <c r="Q1988" s="95"/>
      <c r="R1988" s="5" t="b">
        <f t="shared" si="327"/>
        <v>0</v>
      </c>
    </row>
    <row r="1989" spans="1:18" s="4" customFormat="1" ht="15" customHeight="1">
      <c r="A1989" s="64"/>
      <c r="B1989" s="7">
        <f t="shared" si="328"/>
        <v>230</v>
      </c>
      <c r="C1989" s="211" t="s">
        <v>10</v>
      </c>
      <c r="D1989" s="263" t="s">
        <v>910</v>
      </c>
      <c r="E1989" s="263"/>
      <c r="F1989" s="263" t="s">
        <v>904</v>
      </c>
      <c r="G1989" s="263"/>
      <c r="H1989" s="263"/>
      <c r="I1989" s="263"/>
      <c r="J1989" s="16"/>
      <c r="K1989" s="1"/>
      <c r="M1989" s="1"/>
      <c r="N1989" s="1"/>
      <c r="O1989" s="1"/>
      <c r="P1989" s="1"/>
      <c r="Q1989" s="95"/>
      <c r="R1989" s="5" t="b">
        <f t="shared" si="327"/>
        <v>0</v>
      </c>
    </row>
    <row r="1990" spans="1:18" s="4" customFormat="1" ht="15" customHeight="1">
      <c r="A1990" s="64"/>
      <c r="B1990" s="7">
        <f t="shared" si="328"/>
        <v>231</v>
      </c>
      <c r="C1990" s="211" t="s">
        <v>10</v>
      </c>
      <c r="D1990" s="263" t="s">
        <v>911</v>
      </c>
      <c r="E1990" s="263"/>
      <c r="F1990" s="263" t="s">
        <v>904</v>
      </c>
      <c r="G1990" s="263"/>
      <c r="H1990" s="263"/>
      <c r="I1990" s="263"/>
      <c r="J1990" s="16"/>
      <c r="K1990" s="1"/>
      <c r="M1990" s="1"/>
      <c r="N1990" s="1"/>
      <c r="O1990" s="1"/>
      <c r="P1990" s="1"/>
      <c r="Q1990" s="95"/>
      <c r="R1990" s="5" t="b">
        <f t="shared" si="327"/>
        <v>0</v>
      </c>
    </row>
    <row r="1991" spans="1:18" s="4" customFormat="1" ht="15" customHeight="1">
      <c r="A1991" s="64"/>
      <c r="B1991" s="7">
        <f t="shared" si="328"/>
        <v>232</v>
      </c>
      <c r="C1991" s="211" t="s">
        <v>10</v>
      </c>
      <c r="D1991" s="263" t="s">
        <v>912</v>
      </c>
      <c r="E1991" s="263"/>
      <c r="F1991" s="263" t="s">
        <v>904</v>
      </c>
      <c r="G1991" s="263"/>
      <c r="H1991" s="263"/>
      <c r="I1991" s="263"/>
      <c r="J1991" s="16"/>
      <c r="K1991" s="1"/>
      <c r="M1991" s="1"/>
      <c r="N1991" s="1"/>
      <c r="O1991" s="1"/>
      <c r="P1991" s="1"/>
      <c r="Q1991" s="95"/>
      <c r="R1991" s="5" t="b">
        <f t="shared" si="327"/>
        <v>0</v>
      </c>
    </row>
    <row r="1992" spans="1:18" s="4" customFormat="1" ht="15" customHeight="1">
      <c r="A1992" s="64"/>
      <c r="B1992" s="7">
        <f t="shared" si="328"/>
        <v>233</v>
      </c>
      <c r="C1992" s="211" t="s">
        <v>10</v>
      </c>
      <c r="D1992" s="263" t="s">
        <v>913</v>
      </c>
      <c r="E1992" s="263"/>
      <c r="F1992" s="263" t="s">
        <v>904</v>
      </c>
      <c r="G1992" s="263"/>
      <c r="H1992" s="263"/>
      <c r="I1992" s="263"/>
      <c r="J1992" s="16"/>
      <c r="K1992" s="1"/>
      <c r="M1992" s="1"/>
      <c r="N1992" s="1"/>
      <c r="O1992" s="1"/>
      <c r="P1992" s="1"/>
      <c r="Q1992" s="95"/>
      <c r="R1992" s="5" t="b">
        <f t="shared" si="327"/>
        <v>0</v>
      </c>
    </row>
    <row r="1993" spans="1:18" s="4" customFormat="1" ht="15" customHeight="1">
      <c r="A1993" s="64"/>
      <c r="B1993" s="7">
        <f t="shared" si="328"/>
        <v>234</v>
      </c>
      <c r="C1993" s="211" t="s">
        <v>10</v>
      </c>
      <c r="D1993" s="263" t="s">
        <v>914</v>
      </c>
      <c r="E1993" s="263"/>
      <c r="F1993" s="263" t="s">
        <v>904</v>
      </c>
      <c r="G1993" s="263"/>
      <c r="H1993" s="263"/>
      <c r="I1993" s="263"/>
      <c r="J1993" s="16"/>
      <c r="K1993" s="1"/>
      <c r="M1993" s="1"/>
      <c r="N1993" s="1"/>
      <c r="O1993" s="1"/>
      <c r="P1993" s="1"/>
      <c r="Q1993" s="95"/>
      <c r="R1993" s="5" t="b">
        <f t="shared" si="327"/>
        <v>0</v>
      </c>
    </row>
    <row r="1994" spans="1:18" s="4" customFormat="1" ht="15" customHeight="1">
      <c r="A1994" s="64"/>
      <c r="B1994" s="7">
        <f t="shared" si="328"/>
        <v>235</v>
      </c>
      <c r="C1994" s="211" t="s">
        <v>10</v>
      </c>
      <c r="D1994" s="263" t="s">
        <v>915</v>
      </c>
      <c r="E1994" s="263"/>
      <c r="F1994" s="263" t="s">
        <v>904</v>
      </c>
      <c r="G1994" s="263"/>
      <c r="H1994" s="263"/>
      <c r="I1994" s="263"/>
      <c r="J1994" s="16"/>
      <c r="K1994" s="1"/>
      <c r="M1994" s="1"/>
      <c r="N1994" s="1"/>
      <c r="O1994" s="1"/>
      <c r="P1994" s="1"/>
      <c r="Q1994" s="95"/>
      <c r="R1994" s="5" t="b">
        <f t="shared" si="327"/>
        <v>0</v>
      </c>
    </row>
    <row r="1995" spans="1:18" s="4" customFormat="1" ht="15" customHeight="1">
      <c r="A1995" s="64"/>
      <c r="B1995" s="7">
        <f t="shared" si="328"/>
        <v>236</v>
      </c>
      <c r="C1995" s="211" t="s">
        <v>10</v>
      </c>
      <c r="D1995" s="263" t="s">
        <v>916</v>
      </c>
      <c r="E1995" s="263"/>
      <c r="F1995" s="263" t="s">
        <v>904</v>
      </c>
      <c r="G1995" s="263"/>
      <c r="H1995" s="263"/>
      <c r="I1995" s="263"/>
      <c r="J1995" s="16"/>
      <c r="K1995" s="1"/>
      <c r="M1995" s="1"/>
      <c r="N1995" s="1"/>
      <c r="O1995" s="1"/>
      <c r="P1995" s="1"/>
      <c r="Q1995" s="95"/>
      <c r="R1995" s="5" t="b">
        <f t="shared" si="327"/>
        <v>0</v>
      </c>
    </row>
    <row r="1996" spans="1:18" s="4" customFormat="1" ht="15" customHeight="1">
      <c r="A1996" s="64"/>
      <c r="B1996" s="7">
        <f t="shared" si="328"/>
        <v>237</v>
      </c>
      <c r="C1996" s="211" t="s">
        <v>10</v>
      </c>
      <c r="D1996" s="263" t="s">
        <v>917</v>
      </c>
      <c r="E1996" s="263"/>
      <c r="F1996" s="263" t="s">
        <v>904</v>
      </c>
      <c r="G1996" s="263"/>
      <c r="H1996" s="263"/>
      <c r="I1996" s="263"/>
      <c r="J1996" s="16"/>
      <c r="K1996" s="1"/>
      <c r="M1996" s="1"/>
      <c r="N1996" s="1"/>
      <c r="O1996" s="1"/>
      <c r="P1996" s="1"/>
      <c r="Q1996" s="95"/>
      <c r="R1996" s="5" t="b">
        <f t="shared" si="327"/>
        <v>0</v>
      </c>
    </row>
    <row r="1997" spans="1:18" s="4" customFormat="1" ht="15" customHeight="1">
      <c r="A1997" s="64"/>
      <c r="B1997" s="7">
        <f t="shared" si="328"/>
        <v>238</v>
      </c>
      <c r="C1997" s="211" t="s">
        <v>10</v>
      </c>
      <c r="D1997" s="263" t="s">
        <v>918</v>
      </c>
      <c r="E1997" s="263"/>
      <c r="F1997" s="263" t="s">
        <v>904</v>
      </c>
      <c r="G1997" s="263"/>
      <c r="H1997" s="263"/>
      <c r="I1997" s="263"/>
      <c r="J1997" s="16"/>
      <c r="K1997" s="1"/>
      <c r="M1997" s="1"/>
      <c r="N1997" s="1"/>
      <c r="O1997" s="1"/>
      <c r="P1997" s="1"/>
      <c r="Q1997" s="95"/>
      <c r="R1997" s="5" t="b">
        <f t="shared" si="327"/>
        <v>0</v>
      </c>
    </row>
    <row r="1998" spans="1:18" s="4" customFormat="1" ht="15" customHeight="1">
      <c r="A1998" s="64"/>
      <c r="B1998" s="7">
        <f t="shared" si="328"/>
        <v>239</v>
      </c>
      <c r="C1998" s="211" t="s">
        <v>10</v>
      </c>
      <c r="D1998" s="263" t="s">
        <v>919</v>
      </c>
      <c r="E1998" s="263"/>
      <c r="F1998" s="263" t="s">
        <v>904</v>
      </c>
      <c r="G1998" s="263"/>
      <c r="H1998" s="263"/>
      <c r="I1998" s="263"/>
      <c r="J1998" s="16"/>
      <c r="K1998" s="1"/>
      <c r="M1998" s="1"/>
      <c r="N1998" s="1"/>
      <c r="O1998" s="1"/>
      <c r="P1998" s="1"/>
      <c r="Q1998" s="95"/>
      <c r="R1998" s="5" t="b">
        <f t="shared" si="327"/>
        <v>0</v>
      </c>
    </row>
    <row r="1999" spans="1:18" s="4" customFormat="1" ht="15" customHeight="1">
      <c r="A1999" s="64"/>
      <c r="B1999" s="7">
        <f t="shared" si="328"/>
        <v>240</v>
      </c>
      <c r="C1999" s="211" t="s">
        <v>10</v>
      </c>
      <c r="D1999" s="263" t="s">
        <v>920</v>
      </c>
      <c r="E1999" s="263"/>
      <c r="F1999" s="263" t="s">
        <v>904</v>
      </c>
      <c r="G1999" s="263"/>
      <c r="H1999" s="263"/>
      <c r="I1999" s="263"/>
      <c r="J1999" s="16"/>
      <c r="K1999" s="1"/>
      <c r="M1999" s="1"/>
      <c r="N1999" s="1"/>
      <c r="O1999" s="1"/>
      <c r="P1999" s="1"/>
      <c r="Q1999" s="95"/>
      <c r="R1999" s="5" t="b">
        <f t="shared" si="327"/>
        <v>0</v>
      </c>
    </row>
    <row r="2000" spans="1:18" s="4" customFormat="1" ht="15" customHeight="1">
      <c r="A2000" s="64"/>
      <c r="B2000" s="7">
        <f t="shared" si="328"/>
        <v>241</v>
      </c>
      <c r="C2000" s="211" t="s">
        <v>10</v>
      </c>
      <c r="D2000" s="263" t="s">
        <v>921</v>
      </c>
      <c r="E2000" s="263"/>
      <c r="F2000" s="263" t="s">
        <v>904</v>
      </c>
      <c r="G2000" s="263"/>
      <c r="H2000" s="263"/>
      <c r="I2000" s="263"/>
      <c r="J2000" s="16"/>
      <c r="K2000" s="1"/>
      <c r="M2000" s="1"/>
      <c r="N2000" s="1"/>
      <c r="O2000" s="1"/>
      <c r="P2000" s="1"/>
      <c r="Q2000" s="95"/>
      <c r="R2000" s="5" t="b">
        <f t="shared" si="327"/>
        <v>0</v>
      </c>
    </row>
    <row r="2001" spans="1:18" s="4" customFormat="1" ht="15" customHeight="1">
      <c r="A2001" s="64"/>
      <c r="B2001" s="7">
        <f t="shared" si="328"/>
        <v>242</v>
      </c>
      <c r="C2001" s="211" t="s">
        <v>10</v>
      </c>
      <c r="D2001" s="263" t="s">
        <v>922</v>
      </c>
      <c r="E2001" s="263"/>
      <c r="F2001" s="263" t="s">
        <v>904</v>
      </c>
      <c r="G2001" s="263"/>
      <c r="H2001" s="263"/>
      <c r="I2001" s="263"/>
      <c r="J2001" s="16"/>
      <c r="K2001" s="1"/>
      <c r="M2001" s="1"/>
      <c r="N2001" s="1"/>
      <c r="O2001" s="1"/>
      <c r="P2001" s="1"/>
      <c r="Q2001" s="95"/>
      <c r="R2001" s="5" t="b">
        <f t="shared" si="327"/>
        <v>0</v>
      </c>
    </row>
    <row r="2002" spans="1:18" s="4" customFormat="1" ht="15" customHeight="1">
      <c r="A2002" s="64"/>
      <c r="B2002" s="7">
        <f t="shared" si="328"/>
        <v>243</v>
      </c>
      <c r="C2002" s="211" t="s">
        <v>10</v>
      </c>
      <c r="D2002" s="263" t="s">
        <v>923</v>
      </c>
      <c r="E2002" s="263"/>
      <c r="F2002" s="263" t="s">
        <v>904</v>
      </c>
      <c r="G2002" s="263"/>
      <c r="H2002" s="263"/>
      <c r="I2002" s="263"/>
      <c r="J2002" s="16"/>
      <c r="K2002" s="1"/>
      <c r="M2002" s="1"/>
      <c r="N2002" s="1"/>
      <c r="O2002" s="1"/>
      <c r="P2002" s="1"/>
      <c r="Q2002" s="95"/>
      <c r="R2002" s="5" t="b">
        <f t="shared" si="327"/>
        <v>0</v>
      </c>
    </row>
    <row r="2003" spans="1:18" s="4" customFormat="1" ht="15" customHeight="1">
      <c r="A2003" s="64"/>
      <c r="B2003" s="7">
        <f t="shared" si="328"/>
        <v>244</v>
      </c>
      <c r="C2003" s="211" t="s">
        <v>10</v>
      </c>
      <c r="D2003" s="263" t="s">
        <v>924</v>
      </c>
      <c r="E2003" s="263"/>
      <c r="F2003" s="263" t="s">
        <v>904</v>
      </c>
      <c r="G2003" s="263"/>
      <c r="H2003" s="263"/>
      <c r="I2003" s="263"/>
      <c r="J2003" s="16"/>
      <c r="K2003" s="1"/>
      <c r="M2003" s="1"/>
      <c r="N2003" s="1"/>
      <c r="O2003" s="1"/>
      <c r="P2003" s="1"/>
      <c r="Q2003" s="95"/>
      <c r="R2003" s="5" t="b">
        <f t="shared" si="327"/>
        <v>0</v>
      </c>
    </row>
    <row r="2004" spans="1:18" s="4" customFormat="1" ht="15" customHeight="1">
      <c r="A2004" s="64"/>
      <c r="B2004" s="7">
        <f t="shared" si="328"/>
        <v>245</v>
      </c>
      <c r="C2004" s="211" t="s">
        <v>10</v>
      </c>
      <c r="D2004" s="263" t="s">
        <v>925</v>
      </c>
      <c r="E2004" s="263"/>
      <c r="F2004" s="263" t="s">
        <v>904</v>
      </c>
      <c r="G2004" s="263"/>
      <c r="H2004" s="263"/>
      <c r="I2004" s="263"/>
      <c r="J2004" s="16"/>
      <c r="K2004" s="1"/>
      <c r="M2004" s="1"/>
      <c r="N2004" s="1"/>
      <c r="O2004" s="1"/>
      <c r="P2004" s="1"/>
      <c r="Q2004" s="95"/>
      <c r="R2004" s="5" t="b">
        <f t="shared" si="327"/>
        <v>0</v>
      </c>
    </row>
    <row r="2005" spans="1:18" s="4" customFormat="1" ht="15" customHeight="1">
      <c r="A2005" s="64"/>
      <c r="B2005" s="7">
        <f t="shared" si="328"/>
        <v>246</v>
      </c>
      <c r="C2005" s="211" t="s">
        <v>10</v>
      </c>
      <c r="D2005" s="263" t="s">
        <v>926</v>
      </c>
      <c r="E2005" s="263"/>
      <c r="F2005" s="263" t="s">
        <v>904</v>
      </c>
      <c r="G2005" s="263"/>
      <c r="H2005" s="263"/>
      <c r="I2005" s="263"/>
      <c r="J2005" s="16"/>
      <c r="K2005" s="1"/>
      <c r="M2005" s="1"/>
      <c r="N2005" s="1"/>
      <c r="O2005" s="1"/>
      <c r="P2005" s="1"/>
      <c r="Q2005" s="95"/>
      <c r="R2005" s="5" t="b">
        <f t="shared" si="327"/>
        <v>0</v>
      </c>
    </row>
    <row r="2006" spans="1:18" s="4" customFormat="1" ht="15" customHeight="1">
      <c r="A2006" s="64"/>
      <c r="B2006" s="7">
        <f t="shared" si="328"/>
        <v>247</v>
      </c>
      <c r="C2006" s="211" t="s">
        <v>10</v>
      </c>
      <c r="D2006" s="263" t="s">
        <v>927</v>
      </c>
      <c r="E2006" s="263"/>
      <c r="F2006" s="263" t="s">
        <v>904</v>
      </c>
      <c r="G2006" s="263"/>
      <c r="H2006" s="263"/>
      <c r="I2006" s="263"/>
      <c r="J2006" s="16"/>
      <c r="K2006" s="1"/>
      <c r="M2006" s="1"/>
      <c r="N2006" s="1"/>
      <c r="O2006" s="1"/>
      <c r="P2006" s="1"/>
      <c r="Q2006" s="95"/>
      <c r="R2006" s="5" t="b">
        <f t="shared" si="327"/>
        <v>0</v>
      </c>
    </row>
    <row r="2007" spans="1:18" s="4" customFormat="1" ht="15" customHeight="1">
      <c r="A2007" s="64"/>
      <c r="B2007" s="7">
        <f t="shared" si="328"/>
        <v>248</v>
      </c>
      <c r="C2007" s="211" t="s">
        <v>10</v>
      </c>
      <c r="D2007" s="263" t="s">
        <v>928</v>
      </c>
      <c r="E2007" s="263"/>
      <c r="F2007" s="263" t="s">
        <v>904</v>
      </c>
      <c r="G2007" s="263"/>
      <c r="H2007" s="263"/>
      <c r="I2007" s="263"/>
      <c r="J2007" s="16"/>
      <c r="K2007" s="1"/>
      <c r="M2007" s="1"/>
      <c r="N2007" s="1"/>
      <c r="O2007" s="1"/>
      <c r="P2007" s="1"/>
      <c r="Q2007" s="95"/>
      <c r="R2007" s="5" t="b">
        <f t="shared" si="327"/>
        <v>0</v>
      </c>
    </row>
    <row r="2008" spans="1:18" s="4" customFormat="1" ht="15" customHeight="1">
      <c r="A2008" s="64"/>
      <c r="B2008" s="7">
        <f t="shared" si="328"/>
        <v>249</v>
      </c>
      <c r="C2008" s="211" t="s">
        <v>10</v>
      </c>
      <c r="D2008" s="263" t="s">
        <v>929</v>
      </c>
      <c r="E2008" s="263"/>
      <c r="F2008" s="263" t="s">
        <v>930</v>
      </c>
      <c r="G2008" s="263"/>
      <c r="H2008" s="263"/>
      <c r="I2008" s="263"/>
      <c r="J2008" s="16"/>
      <c r="K2008" s="1"/>
      <c r="M2008" s="1"/>
      <c r="N2008" s="1"/>
      <c r="O2008" s="1"/>
      <c r="P2008" s="1"/>
      <c r="Q2008" s="95"/>
      <c r="R2008" s="5" t="b">
        <f t="shared" si="327"/>
        <v>0</v>
      </c>
    </row>
    <row r="2009" spans="1:18" s="4" customFormat="1" ht="15" customHeight="1">
      <c r="A2009" s="64"/>
      <c r="B2009" s="7">
        <f t="shared" si="328"/>
        <v>250</v>
      </c>
      <c r="C2009" s="211" t="s">
        <v>10</v>
      </c>
      <c r="D2009" s="263" t="s">
        <v>931</v>
      </c>
      <c r="E2009" s="263"/>
      <c r="F2009" s="263" t="s">
        <v>930</v>
      </c>
      <c r="G2009" s="263"/>
      <c r="H2009" s="263"/>
      <c r="I2009" s="263"/>
      <c r="J2009" s="16"/>
      <c r="K2009" s="1"/>
      <c r="M2009" s="1"/>
      <c r="N2009" s="1"/>
      <c r="O2009" s="1"/>
      <c r="P2009" s="1"/>
      <c r="Q2009" s="95"/>
      <c r="R2009" s="5" t="b">
        <f t="shared" si="327"/>
        <v>0</v>
      </c>
    </row>
    <row r="2010" spans="1:18" s="4" customFormat="1" ht="15" customHeight="1">
      <c r="A2010" s="64"/>
      <c r="B2010" s="7">
        <f t="shared" si="328"/>
        <v>251</v>
      </c>
      <c r="C2010" s="211" t="s">
        <v>10</v>
      </c>
      <c r="D2010" s="263" t="s">
        <v>932</v>
      </c>
      <c r="E2010" s="263"/>
      <c r="F2010" s="263" t="s">
        <v>930</v>
      </c>
      <c r="G2010" s="263"/>
      <c r="H2010" s="263"/>
      <c r="I2010" s="263"/>
      <c r="J2010" s="16"/>
      <c r="K2010" s="1"/>
      <c r="M2010" s="1"/>
      <c r="N2010" s="1"/>
      <c r="O2010" s="1"/>
      <c r="P2010" s="1"/>
      <c r="Q2010" s="95"/>
      <c r="R2010" s="5" t="b">
        <f t="shared" si="327"/>
        <v>0</v>
      </c>
    </row>
    <row r="2011" spans="1:18" s="4" customFormat="1" ht="15" customHeight="1">
      <c r="A2011" s="64"/>
      <c r="B2011" s="7">
        <f t="shared" si="328"/>
        <v>252</v>
      </c>
      <c r="C2011" s="211" t="s">
        <v>10</v>
      </c>
      <c r="D2011" s="263" t="s">
        <v>933</v>
      </c>
      <c r="E2011" s="263"/>
      <c r="F2011" s="263" t="s">
        <v>934</v>
      </c>
      <c r="G2011" s="263"/>
      <c r="H2011" s="263"/>
      <c r="I2011" s="263"/>
      <c r="J2011" s="16"/>
      <c r="K2011" s="1"/>
      <c r="M2011" s="1"/>
      <c r="N2011" s="1"/>
      <c r="O2011" s="1"/>
      <c r="P2011" s="1"/>
      <c r="Q2011" s="95"/>
      <c r="R2011" s="5" t="b">
        <f t="shared" si="327"/>
        <v>0</v>
      </c>
    </row>
    <row r="2012" spans="1:18" s="4" customFormat="1" ht="15" customHeight="1">
      <c r="A2012" s="64"/>
      <c r="B2012" s="7">
        <f t="shared" si="328"/>
        <v>253</v>
      </c>
      <c r="C2012" s="211" t="s">
        <v>10</v>
      </c>
      <c r="D2012" s="263" t="s">
        <v>935</v>
      </c>
      <c r="E2012" s="263"/>
      <c r="F2012" s="263" t="s">
        <v>936</v>
      </c>
      <c r="G2012" s="263"/>
      <c r="H2012" s="263"/>
      <c r="I2012" s="263"/>
      <c r="J2012" s="16"/>
      <c r="K2012" s="1"/>
      <c r="M2012" s="1"/>
      <c r="N2012" s="1"/>
      <c r="O2012" s="1"/>
      <c r="P2012" s="1"/>
      <c r="Q2012" s="95"/>
      <c r="R2012" s="5" t="b">
        <f t="shared" si="327"/>
        <v>0</v>
      </c>
    </row>
    <row r="2013" spans="1:18" s="4" customFormat="1" ht="15" customHeight="1">
      <c r="A2013" s="64"/>
      <c r="B2013" s="7">
        <f t="shared" si="328"/>
        <v>254</v>
      </c>
      <c r="C2013" s="211" t="s">
        <v>10</v>
      </c>
      <c r="D2013" s="263" t="s">
        <v>937</v>
      </c>
      <c r="E2013" s="263"/>
      <c r="F2013" s="263" t="s">
        <v>936</v>
      </c>
      <c r="G2013" s="263"/>
      <c r="H2013" s="263"/>
      <c r="I2013" s="263"/>
      <c r="J2013" s="16"/>
      <c r="K2013" s="1"/>
      <c r="M2013" s="1"/>
      <c r="N2013" s="1"/>
      <c r="O2013" s="1"/>
      <c r="P2013" s="1"/>
      <c r="Q2013" s="95"/>
      <c r="R2013" s="5" t="b">
        <f t="shared" si="327"/>
        <v>0</v>
      </c>
    </row>
    <row r="2014" spans="1:18" s="4" customFormat="1" ht="15" customHeight="1">
      <c r="A2014" s="64"/>
      <c r="B2014" s="7">
        <f t="shared" si="328"/>
        <v>255</v>
      </c>
      <c r="C2014" s="211" t="s">
        <v>10</v>
      </c>
      <c r="D2014" s="263" t="s">
        <v>938</v>
      </c>
      <c r="E2014" s="263"/>
      <c r="F2014" s="263" t="s">
        <v>939</v>
      </c>
      <c r="G2014" s="263"/>
      <c r="H2014" s="263"/>
      <c r="I2014" s="263"/>
      <c r="J2014" s="16"/>
      <c r="M2014" s="1"/>
      <c r="N2014" s="1"/>
      <c r="O2014" s="1"/>
      <c r="P2014" s="1"/>
      <c r="Q2014" s="95"/>
      <c r="R2014" s="5" t="b">
        <f t="shared" si="327"/>
        <v>0</v>
      </c>
    </row>
    <row r="2015" spans="1:18" s="4" customFormat="1" ht="15" customHeight="1">
      <c r="A2015" s="64"/>
      <c r="B2015" s="7">
        <f t="shared" si="328"/>
        <v>256</v>
      </c>
      <c r="C2015" s="211" t="s">
        <v>10</v>
      </c>
      <c r="D2015" s="263" t="s">
        <v>940</v>
      </c>
      <c r="E2015" s="263"/>
      <c r="F2015" s="263" t="s">
        <v>939</v>
      </c>
      <c r="G2015" s="263"/>
      <c r="H2015" s="263"/>
      <c r="I2015" s="263"/>
      <c r="J2015" s="16"/>
      <c r="K2015" s="1"/>
      <c r="M2015" s="1"/>
      <c r="N2015" s="1"/>
      <c r="O2015" s="1"/>
      <c r="P2015" s="1"/>
      <c r="Q2015" s="95"/>
      <c r="R2015" s="5" t="b">
        <f t="shared" si="327"/>
        <v>0</v>
      </c>
    </row>
    <row r="2016" spans="1:18" s="4" customFormat="1" ht="15" customHeight="1">
      <c r="A2016" s="64"/>
      <c r="B2016" s="7">
        <f t="shared" si="328"/>
        <v>257</v>
      </c>
      <c r="C2016" s="211" t="s">
        <v>10</v>
      </c>
      <c r="D2016" s="263" t="s">
        <v>941</v>
      </c>
      <c r="E2016" s="263"/>
      <c r="F2016" s="263" t="s">
        <v>942</v>
      </c>
      <c r="G2016" s="263"/>
      <c r="H2016" s="263"/>
      <c r="I2016" s="263"/>
      <c r="J2016" s="16"/>
      <c r="K2016" s="1"/>
      <c r="M2016" s="1"/>
      <c r="N2016" s="1"/>
      <c r="O2016" s="1"/>
      <c r="P2016" s="1"/>
      <c r="Q2016" s="95"/>
      <c r="R2016" s="5" t="b">
        <f t="shared" ref="R2016:R2028" si="329">IF(O2016&gt;89.9999999999999%,"PAMA")</f>
        <v>0</v>
      </c>
    </row>
    <row r="2017" spans="1:22" s="4" customFormat="1" ht="15" customHeight="1">
      <c r="A2017" s="64"/>
      <c r="B2017" s="7">
        <f t="shared" si="328"/>
        <v>258</v>
      </c>
      <c r="C2017" s="211" t="s">
        <v>10</v>
      </c>
      <c r="D2017" s="263" t="s">
        <v>943</v>
      </c>
      <c r="E2017" s="263"/>
      <c r="F2017" s="263" t="s">
        <v>942</v>
      </c>
      <c r="G2017" s="263"/>
      <c r="H2017" s="263"/>
      <c r="I2017" s="263"/>
      <c r="J2017" s="16"/>
      <c r="K2017" s="1"/>
      <c r="M2017" s="1"/>
      <c r="N2017" s="1"/>
      <c r="O2017" s="1"/>
      <c r="P2017" s="1"/>
      <c r="Q2017" s="95"/>
      <c r="R2017" s="5" t="b">
        <f t="shared" si="329"/>
        <v>0</v>
      </c>
    </row>
    <row r="2018" spans="1:22" s="4" customFormat="1" ht="15" customHeight="1">
      <c r="A2018" s="64"/>
      <c r="B2018" s="7">
        <f t="shared" si="328"/>
        <v>259</v>
      </c>
      <c r="C2018" s="211" t="s">
        <v>10</v>
      </c>
      <c r="D2018" s="263" t="s">
        <v>944</v>
      </c>
      <c r="E2018" s="263"/>
      <c r="F2018" s="263" t="s">
        <v>942</v>
      </c>
      <c r="G2018" s="263"/>
      <c r="H2018" s="263"/>
      <c r="I2018" s="263"/>
      <c r="J2018" s="16"/>
      <c r="K2018" s="1"/>
      <c r="M2018" s="1"/>
      <c r="N2018" s="1"/>
      <c r="O2018" s="1"/>
      <c r="P2018" s="1"/>
      <c r="Q2018" s="95"/>
      <c r="R2018" s="5" t="b">
        <f t="shared" si="329"/>
        <v>0</v>
      </c>
    </row>
    <row r="2019" spans="1:22" s="4" customFormat="1" ht="15" customHeight="1">
      <c r="A2019" s="64"/>
      <c r="B2019" s="7">
        <f t="shared" si="328"/>
        <v>260</v>
      </c>
      <c r="C2019" s="211" t="s">
        <v>10</v>
      </c>
      <c r="D2019" s="263" t="s">
        <v>945</v>
      </c>
      <c r="E2019" s="263"/>
      <c r="F2019" s="263" t="s">
        <v>942</v>
      </c>
      <c r="G2019" s="263"/>
      <c r="H2019" s="263"/>
      <c r="I2019" s="263"/>
      <c r="J2019" s="16"/>
      <c r="K2019" s="1"/>
      <c r="M2019" s="1"/>
      <c r="N2019" s="1"/>
      <c r="O2019" s="1"/>
      <c r="P2019" s="1"/>
      <c r="Q2019" s="95"/>
      <c r="R2019" s="5" t="b">
        <f t="shared" si="329"/>
        <v>0</v>
      </c>
    </row>
    <row r="2020" spans="1:22" s="4" customFormat="1" ht="15" customHeight="1">
      <c r="A2020" s="64"/>
      <c r="B2020" s="7">
        <f t="shared" si="328"/>
        <v>261</v>
      </c>
      <c r="C2020" s="211" t="s">
        <v>10</v>
      </c>
      <c r="D2020" s="263" t="s">
        <v>946</v>
      </c>
      <c r="E2020" s="263"/>
      <c r="F2020" s="263" t="s">
        <v>942</v>
      </c>
      <c r="G2020" s="263"/>
      <c r="H2020" s="263"/>
      <c r="I2020" s="263"/>
      <c r="J2020" s="16"/>
      <c r="K2020" s="1"/>
      <c r="M2020" s="1"/>
      <c r="N2020" s="1"/>
      <c r="O2020" s="1"/>
      <c r="P2020" s="1"/>
      <c r="Q2020" s="95"/>
      <c r="R2020" s="5" t="b">
        <f t="shared" si="329"/>
        <v>0</v>
      </c>
    </row>
    <row r="2021" spans="1:22" s="4" customFormat="1" ht="15" customHeight="1">
      <c r="A2021" s="64"/>
      <c r="B2021" s="7">
        <f t="shared" si="328"/>
        <v>262</v>
      </c>
      <c r="C2021" s="211" t="s">
        <v>10</v>
      </c>
      <c r="D2021" s="263" t="s">
        <v>947</v>
      </c>
      <c r="E2021" s="263"/>
      <c r="F2021" s="263" t="s">
        <v>942</v>
      </c>
      <c r="G2021" s="263"/>
      <c r="H2021" s="263"/>
      <c r="I2021" s="263"/>
      <c r="J2021" s="16"/>
      <c r="K2021" s="1"/>
      <c r="M2021" s="1"/>
      <c r="N2021" s="1"/>
      <c r="O2021" s="1"/>
      <c r="P2021" s="1"/>
      <c r="Q2021" s="95"/>
      <c r="R2021" s="5" t="b">
        <f t="shared" si="329"/>
        <v>0</v>
      </c>
    </row>
    <row r="2022" spans="1:22" s="4" customFormat="1" ht="15" customHeight="1">
      <c r="A2022" s="64"/>
      <c r="B2022" s="7">
        <f t="shared" si="328"/>
        <v>263</v>
      </c>
      <c r="C2022" s="211" t="s">
        <v>10</v>
      </c>
      <c r="D2022" s="263" t="s">
        <v>948</v>
      </c>
      <c r="E2022" s="263"/>
      <c r="F2022" s="263" t="s">
        <v>942</v>
      </c>
      <c r="G2022" s="263"/>
      <c r="H2022" s="263"/>
      <c r="I2022" s="263"/>
      <c r="J2022" s="16"/>
      <c r="K2022" s="1"/>
      <c r="M2022" s="1"/>
      <c r="N2022" s="1"/>
      <c r="O2022" s="1"/>
      <c r="P2022" s="1"/>
      <c r="Q2022" s="95"/>
      <c r="R2022" s="5" t="b">
        <f t="shared" si="329"/>
        <v>0</v>
      </c>
    </row>
    <row r="2023" spans="1:22" s="4" customFormat="1" ht="15" customHeight="1">
      <c r="A2023" s="64"/>
      <c r="B2023" s="7">
        <f t="shared" si="328"/>
        <v>264</v>
      </c>
      <c r="C2023" s="211" t="s">
        <v>10</v>
      </c>
      <c r="D2023" s="263" t="s">
        <v>949</v>
      </c>
      <c r="E2023" s="263"/>
      <c r="F2023" s="263" t="s">
        <v>942</v>
      </c>
      <c r="G2023" s="263"/>
      <c r="H2023" s="263"/>
      <c r="I2023" s="263"/>
      <c r="J2023" s="16"/>
      <c r="K2023" s="1"/>
      <c r="M2023" s="1"/>
      <c r="N2023" s="1"/>
      <c r="O2023" s="1"/>
      <c r="P2023" s="1"/>
      <c r="Q2023" s="95"/>
      <c r="R2023" s="5" t="b">
        <f t="shared" si="329"/>
        <v>0</v>
      </c>
    </row>
    <row r="2024" spans="1:22" s="4" customFormat="1" ht="15" customHeight="1">
      <c r="A2024" s="64"/>
      <c r="B2024" s="7">
        <f t="shared" si="328"/>
        <v>265</v>
      </c>
      <c r="C2024" s="211" t="s">
        <v>10</v>
      </c>
      <c r="D2024" s="263" t="s">
        <v>950</v>
      </c>
      <c r="E2024" s="263"/>
      <c r="F2024" s="263" t="s">
        <v>942</v>
      </c>
      <c r="G2024" s="263"/>
      <c r="H2024" s="263"/>
      <c r="I2024" s="263"/>
      <c r="J2024" s="16"/>
      <c r="K2024" s="1"/>
      <c r="M2024" s="1"/>
      <c r="N2024" s="1"/>
      <c r="O2024" s="1"/>
      <c r="P2024" s="1"/>
      <c r="Q2024" s="95"/>
      <c r="R2024" s="5" t="b">
        <f t="shared" si="329"/>
        <v>0</v>
      </c>
    </row>
    <row r="2025" spans="1:22" s="4" customFormat="1" ht="15" customHeight="1">
      <c r="A2025" s="64"/>
      <c r="B2025" s="7">
        <f t="shared" si="328"/>
        <v>266</v>
      </c>
      <c r="C2025" s="211" t="s">
        <v>10</v>
      </c>
      <c r="D2025" s="263" t="s">
        <v>951</v>
      </c>
      <c r="E2025" s="263"/>
      <c r="F2025" s="263" t="s">
        <v>942</v>
      </c>
      <c r="G2025" s="263"/>
      <c r="H2025" s="263"/>
      <c r="I2025" s="263"/>
      <c r="J2025" s="16"/>
      <c r="K2025" s="1"/>
      <c r="M2025" s="1"/>
      <c r="N2025" s="1"/>
      <c r="O2025" s="1"/>
      <c r="P2025" s="1"/>
      <c r="Q2025" s="95"/>
      <c r="R2025" s="5" t="b">
        <f t="shared" si="329"/>
        <v>0</v>
      </c>
    </row>
    <row r="2026" spans="1:22" s="4" customFormat="1" ht="15" customHeight="1">
      <c r="A2026" s="64"/>
      <c r="B2026" s="7">
        <f>B2025+1</f>
        <v>267</v>
      </c>
      <c r="C2026" s="211" t="s">
        <v>10</v>
      </c>
      <c r="D2026" s="263" t="s">
        <v>952</v>
      </c>
      <c r="E2026" s="263"/>
      <c r="F2026" s="263" t="s">
        <v>953</v>
      </c>
      <c r="G2026" s="263"/>
      <c r="H2026" s="263"/>
      <c r="I2026" s="263"/>
      <c r="J2026" s="16"/>
      <c r="K2026" s="1"/>
      <c r="M2026" s="1"/>
      <c r="N2026" s="1"/>
      <c r="O2026" s="1"/>
      <c r="P2026" s="1"/>
      <c r="Q2026" s="95"/>
      <c r="R2026" s="5" t="b">
        <f t="shared" si="329"/>
        <v>0</v>
      </c>
    </row>
    <row r="2027" spans="1:22" s="4" customFormat="1" ht="15" customHeight="1">
      <c r="A2027" s="64"/>
      <c r="B2027" s="7">
        <f>B2026+1</f>
        <v>268</v>
      </c>
      <c r="C2027" s="211" t="s">
        <v>10</v>
      </c>
      <c r="D2027" s="263" t="s">
        <v>954</v>
      </c>
      <c r="E2027" s="263"/>
      <c r="F2027" s="263" t="s">
        <v>953</v>
      </c>
      <c r="G2027" s="263"/>
      <c r="H2027" s="263"/>
      <c r="I2027" s="263"/>
      <c r="J2027" s="16"/>
      <c r="K2027" s="1"/>
      <c r="M2027" s="1"/>
      <c r="N2027" s="1"/>
      <c r="O2027" s="1"/>
      <c r="P2027" s="1"/>
      <c r="Q2027" s="95"/>
      <c r="R2027" s="5" t="b">
        <f t="shared" si="329"/>
        <v>0</v>
      </c>
    </row>
    <row r="2028" spans="1:22" s="4" customFormat="1" ht="15" customHeight="1" thickBot="1">
      <c r="A2028" s="69"/>
      <c r="B2028" s="324" t="s">
        <v>22</v>
      </c>
      <c r="C2028" s="325"/>
      <c r="D2028" s="325"/>
      <c r="E2028" s="326"/>
      <c r="F2028" s="70">
        <f>COUNTA(F1760:F2024)</f>
        <v>265</v>
      </c>
      <c r="G2028" s="71"/>
      <c r="H2028" s="72"/>
      <c r="I2028" s="72"/>
      <c r="J2028" s="113"/>
      <c r="K2028" s="96"/>
      <c r="L2028" s="96"/>
      <c r="M2028" s="96"/>
      <c r="N2028" s="96"/>
      <c r="O2028" s="96"/>
      <c r="P2028" s="96"/>
      <c r="Q2028" s="97"/>
      <c r="R2028" s="5" t="b">
        <f t="shared" si="329"/>
        <v>0</v>
      </c>
    </row>
    <row r="2029" spans="1:22" s="4" customFormat="1" ht="15" customHeight="1">
      <c r="A2029" s="1"/>
      <c r="B2029" s="1"/>
      <c r="C2029" s="1"/>
      <c r="D2029" s="1"/>
      <c r="E2029" s="1"/>
      <c r="F2029" s="2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5"/>
    </row>
    <row r="2030" spans="1:22" s="4" customFormat="1" ht="15" customHeight="1">
      <c r="A2030" s="1"/>
      <c r="B2030" s="1"/>
      <c r="C2030" s="1"/>
      <c r="D2030" s="1"/>
      <c r="E2030" s="1"/>
      <c r="F2030" s="2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5"/>
    </row>
    <row r="2031" spans="1:22" ht="15" customHeight="1">
      <c r="T2031" s="4"/>
      <c r="V2031" s="4"/>
    </row>
    <row r="2032" spans="1:22" ht="15" customHeight="1">
      <c r="T2032" s="4"/>
    </row>
    <row r="2033" spans="20:20" ht="15" customHeight="1">
      <c r="T2033" s="4"/>
    </row>
  </sheetData>
  <mergeCells count="39">
    <mergeCell ref="B101:Q101"/>
    <mergeCell ref="B122:E122"/>
    <mergeCell ref="B590:Q590"/>
    <mergeCell ref="B744:E744"/>
    <mergeCell ref="B78:Q78"/>
    <mergeCell ref="B99:E99"/>
    <mergeCell ref="B434:E434"/>
    <mergeCell ref="A1:Q1"/>
    <mergeCell ref="A2:Q2"/>
    <mergeCell ref="B1225:E1225"/>
    <mergeCell ref="B32:E32"/>
    <mergeCell ref="B279:E279"/>
    <mergeCell ref="A3:C3"/>
    <mergeCell ref="A6:C6"/>
    <mergeCell ref="A7:C7"/>
    <mergeCell ref="D7:E7"/>
    <mergeCell ref="B54:E54"/>
    <mergeCell ref="B76:E76"/>
    <mergeCell ref="B11:Q11"/>
    <mergeCell ref="B33:Q33"/>
    <mergeCell ref="B55:Q55"/>
    <mergeCell ref="B125:Q125"/>
    <mergeCell ref="B280:Q280"/>
    <mergeCell ref="B745:Q745"/>
    <mergeCell ref="B899:E899"/>
    <mergeCell ref="B903:Q903"/>
    <mergeCell ref="B1226:Q1226"/>
    <mergeCell ref="B435:Q435"/>
    <mergeCell ref="B589:E589"/>
    <mergeCell ref="B1548:E1548"/>
    <mergeCell ref="B1549:Q1549"/>
    <mergeCell ref="B2028:E2028"/>
    <mergeCell ref="B1759:I1759"/>
    <mergeCell ref="B1606:E1606"/>
    <mergeCell ref="B1758:E1758"/>
    <mergeCell ref="B1607:Q1607"/>
    <mergeCell ref="B1664:E1664"/>
    <mergeCell ref="B1665:Q1665"/>
    <mergeCell ref="B1722:E1722"/>
  </mergeCells>
  <phoneticPr fontId="86" type="noConversion"/>
  <dataValidations count="2">
    <dataValidation type="list" allowBlank="1" showInputMessage="1" showErrorMessage="1" sqref="D3" xr:uid="{00000000-0002-0000-0200-000000000000}">
      <formula1>$T$4:$T$18</formula1>
    </dataValidation>
    <dataValidation type="list" allowBlank="1" showInputMessage="1" showErrorMessage="1" sqref="D6" xr:uid="{00000000-0002-0000-0200-000001000000}">
      <formula1>$U$4:$U$15</formula1>
    </dataValidation>
  </dataValidations>
  <printOptions horizontalCentered="1"/>
  <pageMargins left="0.4" right="0.4" top="0.7" bottom="0.7" header="0" footer="0.3"/>
  <pageSetup paperSize="9" scale="49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594"/>
  <sheetViews>
    <sheetView showGridLines="0" view="pageBreakPreview" topLeftCell="F1" zoomScaleNormal="100" zoomScaleSheetLayoutView="100" workbookViewId="0">
      <selection activeCell="I1748" sqref="I1748"/>
    </sheetView>
  </sheetViews>
  <sheetFormatPr defaultColWidth="9.140625" defaultRowHeight="12.75"/>
  <cols>
    <col min="1" max="1" width="3.85546875" style="14" customWidth="1"/>
    <col min="2" max="2" width="4.140625" style="14" customWidth="1"/>
    <col min="3" max="3" width="12" style="14" customWidth="1"/>
    <col min="4" max="4" width="17.85546875" style="14" customWidth="1"/>
    <col min="5" max="5" width="16.140625" style="14" customWidth="1"/>
    <col min="6" max="6" width="14.28515625" style="14" customWidth="1"/>
    <col min="7" max="7" width="11" style="14" customWidth="1"/>
    <col min="8" max="8" width="14.85546875" style="14" customWidth="1"/>
    <col min="9" max="9" width="16.85546875" style="14" customWidth="1"/>
    <col min="10" max="10" width="14.28515625" style="14" customWidth="1"/>
    <col min="11" max="16" width="8.85546875" style="1" customWidth="1"/>
    <col min="17" max="17" width="15.42578125" style="1" customWidth="1"/>
    <col min="18" max="18" width="18.140625" style="14" hidden="1" customWidth="1"/>
    <col min="19" max="20" width="9.140625" style="14"/>
    <col min="21" max="22" width="16.42578125" style="14" hidden="1" customWidth="1"/>
    <col min="23" max="16384" width="9.140625" style="14"/>
  </cols>
  <sheetData>
    <row r="1" spans="1:23" s="52" customFormat="1" ht="24" customHeight="1">
      <c r="A1" s="339" t="s">
        <v>249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1"/>
    </row>
    <row r="2" spans="1:23" s="52" customFormat="1" ht="15" customHeight="1" thickBot="1">
      <c r="A2" s="342" t="s">
        <v>260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4"/>
    </row>
    <row r="3" spans="1:23" s="52" customFormat="1" ht="15" customHeight="1" thickTop="1">
      <c r="A3" s="345" t="s">
        <v>250</v>
      </c>
      <c r="B3" s="346"/>
      <c r="C3" s="346"/>
      <c r="D3" s="53" t="s">
        <v>261</v>
      </c>
      <c r="E3" s="54"/>
      <c r="F3" s="54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  <c r="U3" s="52" t="s">
        <v>250</v>
      </c>
      <c r="V3" s="52" t="s">
        <v>251</v>
      </c>
    </row>
    <row r="4" spans="1:23" s="52" customFormat="1" ht="15" customHeight="1">
      <c r="A4" s="81"/>
      <c r="B4" s="82"/>
      <c r="C4" s="82"/>
      <c r="D4" s="57" t="s">
        <v>252</v>
      </c>
      <c r="E4" s="58"/>
      <c r="F4" s="58"/>
      <c r="G4" s="4"/>
      <c r="H4" s="4"/>
      <c r="I4" s="4"/>
      <c r="J4" s="4"/>
      <c r="K4" s="4"/>
      <c r="L4" s="4"/>
      <c r="M4" s="4"/>
      <c r="N4" s="4"/>
      <c r="O4" s="4"/>
      <c r="P4" s="4"/>
      <c r="Q4" s="59"/>
      <c r="U4" s="52" t="s">
        <v>185</v>
      </c>
      <c r="V4" s="63" t="s">
        <v>467</v>
      </c>
    </row>
    <row r="5" spans="1:23" s="52" customFormat="1" ht="15" customHeight="1">
      <c r="A5" s="81"/>
      <c r="B5" s="82"/>
      <c r="C5" s="82"/>
      <c r="D5" s="57" t="s">
        <v>253</v>
      </c>
      <c r="E5" s="58"/>
      <c r="F5" s="58"/>
      <c r="G5" s="4"/>
      <c r="H5" s="4"/>
      <c r="I5" s="4"/>
      <c r="J5" s="4"/>
      <c r="K5" s="4"/>
      <c r="L5" s="4"/>
      <c r="M5" s="4"/>
      <c r="N5" s="4"/>
      <c r="O5" s="4"/>
      <c r="P5" s="4"/>
      <c r="Q5" s="59"/>
      <c r="U5" s="52" t="s">
        <v>261</v>
      </c>
      <c r="V5" s="63" t="s">
        <v>465</v>
      </c>
    </row>
    <row r="6" spans="1:23" s="52" customFormat="1" ht="15" customHeight="1">
      <c r="A6" s="347" t="s">
        <v>254</v>
      </c>
      <c r="B6" s="348"/>
      <c r="C6" s="348"/>
      <c r="D6" s="58" t="s">
        <v>466</v>
      </c>
      <c r="E6" s="58"/>
      <c r="F6" s="58"/>
      <c r="G6" s="4"/>
      <c r="H6" s="4"/>
      <c r="I6" s="4"/>
      <c r="J6" s="4"/>
      <c r="K6" s="4"/>
      <c r="L6" s="4"/>
      <c r="M6" s="4"/>
      <c r="N6" s="4"/>
      <c r="O6" s="4"/>
      <c r="P6" s="4"/>
      <c r="Q6" s="59"/>
      <c r="U6" s="52" t="s">
        <v>187</v>
      </c>
      <c r="V6" s="63" t="s">
        <v>466</v>
      </c>
    </row>
    <row r="7" spans="1:23" s="1" customFormat="1" ht="15" customHeight="1" thickBot="1">
      <c r="A7" s="349" t="s">
        <v>255</v>
      </c>
      <c r="B7" s="350"/>
      <c r="C7" s="350"/>
      <c r="D7" s="351">
        <f>+Pama!D7</f>
        <v>44652</v>
      </c>
      <c r="E7" s="351"/>
      <c r="F7" s="60"/>
      <c r="G7" s="61"/>
      <c r="H7" s="61"/>
      <c r="I7" s="84"/>
      <c r="J7" s="84"/>
      <c r="K7" s="84"/>
      <c r="L7" s="84"/>
      <c r="M7" s="84"/>
      <c r="N7" s="84"/>
      <c r="O7" s="84"/>
      <c r="P7" s="84"/>
      <c r="Q7" s="62" t="s">
        <v>541</v>
      </c>
      <c r="S7" s="52"/>
      <c r="T7" s="52"/>
      <c r="U7" s="52" t="s">
        <v>256</v>
      </c>
      <c r="V7" s="63" t="s">
        <v>340</v>
      </c>
      <c r="W7" s="52"/>
    </row>
    <row r="8" spans="1:23" s="4" customFormat="1" ht="15" customHeight="1" thickTop="1">
      <c r="A8" s="64"/>
      <c r="F8" s="16"/>
      <c r="Q8" s="59"/>
      <c r="U8" s="52" t="s">
        <v>191</v>
      </c>
      <c r="V8" s="63" t="s">
        <v>468</v>
      </c>
      <c r="W8" s="1"/>
    </row>
    <row r="9" spans="1:23" s="4" customFormat="1" ht="15" customHeight="1">
      <c r="A9" s="65" t="s">
        <v>0</v>
      </c>
      <c r="B9" s="66" t="s">
        <v>1</v>
      </c>
      <c r="F9" s="16"/>
      <c r="K9" s="93"/>
      <c r="Q9" s="59"/>
      <c r="U9" s="52" t="s">
        <v>434</v>
      </c>
      <c r="V9" s="52" t="s">
        <v>259</v>
      </c>
    </row>
    <row r="10" spans="1:23" s="4" customFormat="1" ht="15" customHeight="1">
      <c r="A10" s="64"/>
      <c r="B10" s="6" t="s">
        <v>2</v>
      </c>
      <c r="C10" s="6" t="s">
        <v>3</v>
      </c>
      <c r="D10" s="6" t="s">
        <v>4</v>
      </c>
      <c r="E10" s="6" t="s">
        <v>5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267</v>
      </c>
      <c r="K10" s="6" t="s">
        <v>262</v>
      </c>
      <c r="L10" s="6" t="s">
        <v>268</v>
      </c>
      <c r="M10" s="6" t="s">
        <v>269</v>
      </c>
      <c r="N10" s="6" t="s">
        <v>263</v>
      </c>
      <c r="O10" s="6" t="s">
        <v>264</v>
      </c>
      <c r="P10" s="6" t="s">
        <v>265</v>
      </c>
      <c r="Q10" s="67" t="s">
        <v>266</v>
      </c>
      <c r="R10" s="16"/>
      <c r="U10" s="52" t="s">
        <v>257</v>
      </c>
      <c r="V10" s="52"/>
    </row>
    <row r="11" spans="1:23" s="11" customFormat="1" ht="15" customHeight="1">
      <c r="A11" s="64"/>
      <c r="B11" s="12">
        <v>1</v>
      </c>
      <c r="C11" s="7" t="s">
        <v>955</v>
      </c>
      <c r="D11" s="13" t="s">
        <v>956</v>
      </c>
      <c r="E11" s="209" t="s">
        <v>1832</v>
      </c>
      <c r="F11" s="13" t="s">
        <v>957</v>
      </c>
      <c r="G11" s="13" t="s">
        <v>958</v>
      </c>
      <c r="H11" s="7" t="s">
        <v>959</v>
      </c>
      <c r="I11" s="13" t="s">
        <v>960</v>
      </c>
      <c r="J11" s="135">
        <v>50507.970338983047</v>
      </c>
      <c r="K11" s="116">
        <v>66.344000000000008</v>
      </c>
      <c r="L11" s="116">
        <v>348.49999999988358</v>
      </c>
      <c r="M11" s="116">
        <v>271.50000000011636</v>
      </c>
      <c r="N11" s="129">
        <f t="shared" ref="N11" si="0">+K11/(K11+L11)</f>
        <v>0.15992517669297043</v>
      </c>
      <c r="O11" s="129">
        <f t="shared" ref="O11" si="1">+(K11+M11)/(K11+L11+M11)</f>
        <v>0.49223712890346005</v>
      </c>
      <c r="P11" s="129">
        <f t="shared" ref="P11" si="2">+K11/(K11+M11)</f>
        <v>0.19637465812616817</v>
      </c>
      <c r="Q11" s="114">
        <f t="shared" ref="Q11" si="3">+J11/K11</f>
        <v>761.30426774061016</v>
      </c>
      <c r="R11" s="5" t="b">
        <f>IF(O11&gt;89.9999999999999%,"Sims")</f>
        <v>0</v>
      </c>
      <c r="U11" s="52" t="s">
        <v>339</v>
      </c>
      <c r="V11" s="52"/>
      <c r="W11" s="4"/>
    </row>
    <row r="12" spans="1:23" s="11" customFormat="1" ht="15" customHeight="1">
      <c r="A12" s="75"/>
      <c r="B12" s="12">
        <f t="shared" ref="B12:B26" si="4">+B11+1</f>
        <v>2</v>
      </c>
      <c r="C12" s="7" t="s">
        <v>955</v>
      </c>
      <c r="D12" s="13" t="s">
        <v>961</v>
      </c>
      <c r="E12" s="209" t="s">
        <v>1832</v>
      </c>
      <c r="F12" s="13" t="s">
        <v>957</v>
      </c>
      <c r="G12" s="13" t="s">
        <v>962</v>
      </c>
      <c r="H12" s="7" t="s">
        <v>959</v>
      </c>
      <c r="I12" s="13" t="s">
        <v>960</v>
      </c>
      <c r="J12" s="135">
        <v>70477.906779661018</v>
      </c>
      <c r="K12" s="116">
        <v>102.41800000000001</v>
      </c>
      <c r="L12" s="116">
        <v>6.75</v>
      </c>
      <c r="M12" s="116">
        <v>586.25</v>
      </c>
      <c r="N12" s="129">
        <f t="shared" ref="N12" si="5">+K12/(K12+L12)</f>
        <v>0.93816869412281989</v>
      </c>
      <c r="O12" s="129">
        <f t="shared" ref="O12" si="6">+(K12+M12)/(K12+L12+M12)</f>
        <v>0.99029360758565355</v>
      </c>
      <c r="P12" s="129">
        <f t="shared" ref="P12" si="7">+K12/(K12+M12)</f>
        <v>0.14871897634273701</v>
      </c>
      <c r="Q12" s="114">
        <f t="shared" ref="Q12" si="8">+J12/K12</f>
        <v>688.13984631276742</v>
      </c>
      <c r="R12" s="5" t="str">
        <f t="shared" ref="R12:R27" si="9">IF(O12&gt;89.9999999999999%,"Sims")</f>
        <v>Sims</v>
      </c>
      <c r="U12" s="52" t="s">
        <v>437</v>
      </c>
      <c r="V12" s="52"/>
    </row>
    <row r="13" spans="1:23" s="11" customFormat="1" ht="15" customHeight="1">
      <c r="A13" s="64"/>
      <c r="B13" s="12">
        <f t="shared" si="4"/>
        <v>3</v>
      </c>
      <c r="C13" s="7" t="s">
        <v>955</v>
      </c>
      <c r="D13" s="13" t="s">
        <v>963</v>
      </c>
      <c r="E13" s="209" t="s">
        <v>1832</v>
      </c>
      <c r="F13" s="13" t="s">
        <v>957</v>
      </c>
      <c r="G13" s="13" t="s">
        <v>964</v>
      </c>
      <c r="H13" s="7" t="s">
        <v>959</v>
      </c>
      <c r="I13" s="13" t="s">
        <v>960</v>
      </c>
      <c r="J13" s="135">
        <v>86498.190677966108</v>
      </c>
      <c r="K13" s="116">
        <v>117.07</v>
      </c>
      <c r="L13" s="116">
        <v>14.499999999592546</v>
      </c>
      <c r="M13" s="116">
        <v>548.50000000040734</v>
      </c>
      <c r="N13" s="129">
        <f t="shared" ref="N13:N15" si="10">+K13/(K13+L13)</f>
        <v>0.88979250589315606</v>
      </c>
      <c r="O13" s="129">
        <f t="shared" ref="O13:O15" si="11">+(K13+M13)/(K13+L13+M13)</f>
        <v>0.9786786654320988</v>
      </c>
      <c r="P13" s="129">
        <f t="shared" ref="P13:P15" si="12">+K13/(K13+M13)</f>
        <v>0.17589434619939051</v>
      </c>
      <c r="Q13" s="114">
        <f t="shared" ref="Q13:Q26" si="13">+J13/K13</f>
        <v>738.8587227980363</v>
      </c>
      <c r="R13" s="5" t="str">
        <f t="shared" si="9"/>
        <v>Sims</v>
      </c>
      <c r="U13" s="63" t="s">
        <v>258</v>
      </c>
      <c r="V13" s="52"/>
    </row>
    <row r="14" spans="1:23" s="11" customFormat="1" ht="15" customHeight="1">
      <c r="A14" s="75"/>
      <c r="B14" s="12">
        <f t="shared" si="4"/>
        <v>4</v>
      </c>
      <c r="C14" s="7" t="s">
        <v>955</v>
      </c>
      <c r="D14" s="13" t="s">
        <v>965</v>
      </c>
      <c r="E14" s="209" t="s">
        <v>1832</v>
      </c>
      <c r="F14" s="13" t="s">
        <v>957</v>
      </c>
      <c r="G14" s="13" t="s">
        <v>966</v>
      </c>
      <c r="H14" s="7" t="s">
        <v>959</v>
      </c>
      <c r="I14" s="13" t="s">
        <v>960</v>
      </c>
      <c r="J14" s="135">
        <v>65836.012711864401</v>
      </c>
      <c r="K14" s="116">
        <v>81.81</v>
      </c>
      <c r="L14" s="116">
        <v>5.2333333334536292</v>
      </c>
      <c r="M14" s="116">
        <v>605.76666666654637</v>
      </c>
      <c r="N14" s="129">
        <f t="shared" si="10"/>
        <v>0.93987668977007932</v>
      </c>
      <c r="O14" s="129">
        <f t="shared" si="11"/>
        <v>0.99244622142657635</v>
      </c>
      <c r="P14" s="129">
        <f t="shared" si="12"/>
        <v>0.11898309521849344</v>
      </c>
      <c r="Q14" s="114">
        <f t="shared" si="13"/>
        <v>804.74285187464125</v>
      </c>
      <c r="R14" s="5" t="str">
        <f t="shared" si="9"/>
        <v>Sims</v>
      </c>
      <c r="U14" s="52"/>
      <c r="V14" s="4"/>
    </row>
    <row r="15" spans="1:23" s="11" customFormat="1" ht="15" customHeight="1">
      <c r="A15" s="75"/>
      <c r="B15" s="12">
        <f t="shared" si="4"/>
        <v>5</v>
      </c>
      <c r="C15" s="7" t="s">
        <v>955</v>
      </c>
      <c r="D15" s="13" t="s">
        <v>967</v>
      </c>
      <c r="E15" s="209" t="s">
        <v>1832</v>
      </c>
      <c r="F15" s="13" t="s">
        <v>957</v>
      </c>
      <c r="G15" s="13" t="s">
        <v>968</v>
      </c>
      <c r="H15" s="7" t="s">
        <v>959</v>
      </c>
      <c r="I15" s="13" t="s">
        <v>960</v>
      </c>
      <c r="J15" s="135">
        <v>66101.85169491524</v>
      </c>
      <c r="K15" s="116">
        <v>79.539999999999992</v>
      </c>
      <c r="L15" s="116">
        <v>28.949999999895226</v>
      </c>
      <c r="M15" s="116">
        <v>590.05000000010477</v>
      </c>
      <c r="N15" s="129">
        <f t="shared" si="10"/>
        <v>0.73315512950573147</v>
      </c>
      <c r="O15" s="129">
        <f t="shared" si="11"/>
        <v>0.95855641767129263</v>
      </c>
      <c r="P15" s="129">
        <f t="shared" si="12"/>
        <v>0.11878910975371131</v>
      </c>
      <c r="Q15" s="114">
        <f t="shared" si="13"/>
        <v>831.05169342362649</v>
      </c>
      <c r="R15" s="5" t="str">
        <f t="shared" si="9"/>
        <v>Sims</v>
      </c>
      <c r="U15" s="52"/>
      <c r="V15" s="4"/>
    </row>
    <row r="16" spans="1:23" s="11" customFormat="1" ht="15" customHeight="1">
      <c r="A16" s="75"/>
      <c r="B16" s="12">
        <f t="shared" si="4"/>
        <v>6</v>
      </c>
      <c r="C16" s="7" t="s">
        <v>969</v>
      </c>
      <c r="D16" s="13" t="s">
        <v>970</v>
      </c>
      <c r="E16" s="209" t="s">
        <v>1832</v>
      </c>
      <c r="F16" s="7">
        <v>2600</v>
      </c>
      <c r="G16" s="13" t="s">
        <v>971</v>
      </c>
      <c r="H16" s="7" t="s">
        <v>959</v>
      </c>
      <c r="I16" s="13" t="s">
        <v>972</v>
      </c>
      <c r="J16" s="135">
        <v>0</v>
      </c>
      <c r="K16" s="116">
        <v>0</v>
      </c>
      <c r="L16" s="116">
        <v>0</v>
      </c>
      <c r="M16" s="116">
        <v>0</v>
      </c>
      <c r="N16" s="129">
        <v>0</v>
      </c>
      <c r="O16" s="129">
        <v>0</v>
      </c>
      <c r="P16" s="129">
        <v>0</v>
      </c>
      <c r="Q16" s="114">
        <v>0</v>
      </c>
      <c r="R16" s="5" t="b">
        <f t="shared" si="9"/>
        <v>0</v>
      </c>
      <c r="S16" s="36"/>
      <c r="U16" s="52"/>
      <c r="V16" s="4"/>
    </row>
    <row r="17" spans="1:22" s="11" customFormat="1" ht="15" customHeight="1">
      <c r="A17" s="75"/>
      <c r="B17" s="12">
        <f t="shared" si="4"/>
        <v>7</v>
      </c>
      <c r="C17" s="7" t="s">
        <v>955</v>
      </c>
      <c r="D17" s="13" t="s">
        <v>973</v>
      </c>
      <c r="E17" s="209" t="s">
        <v>1832</v>
      </c>
      <c r="F17" s="13" t="s">
        <v>974</v>
      </c>
      <c r="G17" s="13" t="s">
        <v>975</v>
      </c>
      <c r="H17" s="7" t="s">
        <v>959</v>
      </c>
      <c r="I17" s="13" t="s">
        <v>976</v>
      </c>
      <c r="J17" s="135">
        <v>40764.216101694918</v>
      </c>
      <c r="K17" s="116">
        <v>74.656000000000006</v>
      </c>
      <c r="L17" s="116">
        <v>18.483333333511837</v>
      </c>
      <c r="M17" s="116">
        <v>501.51666666648811</v>
      </c>
      <c r="N17" s="129">
        <f t="shared" ref="N17:N26" si="14">+K17/(K17+L17)</f>
        <v>0.80155179694783718</v>
      </c>
      <c r="O17" s="129">
        <f t="shared" ref="O17:O26" si="15">+(K17+M17)/(K17+L17+M17)</f>
        <v>0.96891760390290882</v>
      </c>
      <c r="P17" s="129">
        <f t="shared" ref="P17:P26" si="16">+K17/(K17+M17)</f>
        <v>0.12957226942390501</v>
      </c>
      <c r="Q17" s="114">
        <f t="shared" si="13"/>
        <v>546.02732669437034</v>
      </c>
      <c r="R17" s="5" t="str">
        <f t="shared" si="9"/>
        <v>Sims</v>
      </c>
      <c r="U17" s="52"/>
      <c r="V17" s="4"/>
    </row>
    <row r="18" spans="1:22" s="11" customFormat="1" ht="15" customHeight="1">
      <c r="A18" s="64"/>
      <c r="B18" s="12">
        <f t="shared" si="4"/>
        <v>8</v>
      </c>
      <c r="C18" s="7" t="s">
        <v>955</v>
      </c>
      <c r="D18" s="13" t="s">
        <v>977</v>
      </c>
      <c r="E18" s="209" t="s">
        <v>1832</v>
      </c>
      <c r="F18" s="13" t="s">
        <v>978</v>
      </c>
      <c r="G18" s="13" t="s">
        <v>979</v>
      </c>
      <c r="H18" s="7" t="s">
        <v>959</v>
      </c>
      <c r="I18" s="13" t="s">
        <v>980</v>
      </c>
      <c r="J18" s="135">
        <v>0</v>
      </c>
      <c r="K18" s="116">
        <v>0</v>
      </c>
      <c r="L18" s="116">
        <v>230.10000000003492</v>
      </c>
      <c r="M18" s="116">
        <v>429.89999999996502</v>
      </c>
      <c r="N18" s="129">
        <v>0</v>
      </c>
      <c r="O18" s="129">
        <v>0</v>
      </c>
      <c r="P18" s="129">
        <v>0</v>
      </c>
      <c r="Q18" s="114">
        <v>0</v>
      </c>
      <c r="R18" s="5" t="b">
        <f t="shared" si="9"/>
        <v>0</v>
      </c>
      <c r="U18" s="63"/>
      <c r="V18" s="4"/>
    </row>
    <row r="19" spans="1:22" s="11" customFormat="1" ht="15" customHeight="1">
      <c r="A19" s="64"/>
      <c r="B19" s="12">
        <f t="shared" si="4"/>
        <v>9</v>
      </c>
      <c r="C19" s="7" t="s">
        <v>955</v>
      </c>
      <c r="D19" s="13" t="s">
        <v>981</v>
      </c>
      <c r="E19" s="209" t="s">
        <v>1832</v>
      </c>
      <c r="F19" s="13" t="s">
        <v>978</v>
      </c>
      <c r="G19" s="13" t="s">
        <v>982</v>
      </c>
      <c r="H19" s="7" t="s">
        <v>959</v>
      </c>
      <c r="I19" s="13" t="s">
        <v>983</v>
      </c>
      <c r="J19" s="135">
        <v>2470.1864406779659</v>
      </c>
      <c r="K19" s="116">
        <v>6.968</v>
      </c>
      <c r="L19" s="116">
        <v>103.78333333373303</v>
      </c>
      <c r="M19" s="116">
        <v>428.21666666626697</v>
      </c>
      <c r="N19" s="129">
        <f t="shared" ref="N19" si="17">+K19/(K19+L19)</f>
        <v>6.2915721104710734E-2</v>
      </c>
      <c r="O19" s="129">
        <f t="shared" ref="O19" si="18">+(K19+M19)/(K19+L19+M19)</f>
        <v>0.80744063964143886</v>
      </c>
      <c r="P19" s="129">
        <f t="shared" ref="P19" si="19">+K19/(K19+M19)</f>
        <v>1.6011593545743184E-2</v>
      </c>
      <c r="Q19" s="114">
        <f t="shared" si="13"/>
        <v>354.50436863920294</v>
      </c>
      <c r="R19" s="5" t="b">
        <f t="shared" si="9"/>
        <v>0</v>
      </c>
      <c r="U19" s="63"/>
      <c r="V19" s="4"/>
    </row>
    <row r="20" spans="1:22" s="11" customFormat="1" ht="15" customHeight="1">
      <c r="A20" s="64"/>
      <c r="B20" s="12">
        <f t="shared" si="4"/>
        <v>10</v>
      </c>
      <c r="C20" s="7" t="s">
        <v>969</v>
      </c>
      <c r="D20" s="13" t="s">
        <v>984</v>
      </c>
      <c r="E20" s="209" t="s">
        <v>1832</v>
      </c>
      <c r="F20" s="7" t="s">
        <v>985</v>
      </c>
      <c r="G20" s="13" t="s">
        <v>986</v>
      </c>
      <c r="H20" s="7" t="s">
        <v>959</v>
      </c>
      <c r="I20" s="13" t="s">
        <v>960</v>
      </c>
      <c r="J20" s="135">
        <v>43658.686440677964</v>
      </c>
      <c r="K20" s="116">
        <v>71.798000000000002</v>
      </c>
      <c r="L20" s="116">
        <v>59.766666666604578</v>
      </c>
      <c r="M20" s="116">
        <v>563.23333333339542</v>
      </c>
      <c r="N20" s="129">
        <f t="shared" si="14"/>
        <v>0.54572402924823193</v>
      </c>
      <c r="O20" s="129">
        <f t="shared" si="15"/>
        <v>0.91397979460705903</v>
      </c>
      <c r="P20" s="129">
        <f t="shared" si="16"/>
        <v>0.11306213761629555</v>
      </c>
      <c r="Q20" s="114">
        <f t="shared" si="13"/>
        <v>608.07663779879613</v>
      </c>
      <c r="R20" s="5" t="str">
        <f t="shared" si="9"/>
        <v>Sims</v>
      </c>
      <c r="U20" s="4"/>
      <c r="V20" s="159"/>
    </row>
    <row r="21" spans="1:22" s="11" customFormat="1" ht="15" customHeight="1">
      <c r="A21" s="64"/>
      <c r="B21" s="12">
        <f t="shared" si="4"/>
        <v>11</v>
      </c>
      <c r="C21" s="7" t="s">
        <v>969</v>
      </c>
      <c r="D21" s="13" t="s">
        <v>987</v>
      </c>
      <c r="E21" s="209" t="s">
        <v>1832</v>
      </c>
      <c r="F21" s="7" t="s">
        <v>985</v>
      </c>
      <c r="G21" s="13" t="s">
        <v>988</v>
      </c>
      <c r="H21" s="7" t="s">
        <v>959</v>
      </c>
      <c r="I21" s="13" t="s">
        <v>960</v>
      </c>
      <c r="J21" s="135">
        <v>62354.156779660996</v>
      </c>
      <c r="K21" s="116">
        <v>75.225999999999985</v>
      </c>
      <c r="L21" s="116">
        <v>9.7833333334419876</v>
      </c>
      <c r="M21" s="116">
        <v>612.2166666665579</v>
      </c>
      <c r="N21" s="129">
        <f t="shared" si="14"/>
        <v>0.88491459761168012</v>
      </c>
      <c r="O21" s="129">
        <f t="shared" si="15"/>
        <v>0.98596820351874148</v>
      </c>
      <c r="P21" s="129">
        <f t="shared" si="16"/>
        <v>0.10942876205920478</v>
      </c>
      <c r="Q21" s="114">
        <f t="shared" si="13"/>
        <v>828.8910320854626</v>
      </c>
      <c r="R21" s="5" t="str">
        <f t="shared" si="9"/>
        <v>Sims</v>
      </c>
      <c r="U21" s="4"/>
      <c r="V21" s="159"/>
    </row>
    <row r="22" spans="1:22" s="11" customFormat="1" ht="15" customHeight="1">
      <c r="A22" s="64"/>
      <c r="B22" s="12">
        <f t="shared" si="4"/>
        <v>12</v>
      </c>
      <c r="C22" s="7" t="s">
        <v>969</v>
      </c>
      <c r="D22" s="13" t="s">
        <v>989</v>
      </c>
      <c r="E22" s="209" t="s">
        <v>1832</v>
      </c>
      <c r="F22" s="13" t="s">
        <v>985</v>
      </c>
      <c r="G22" s="13" t="s">
        <v>990</v>
      </c>
      <c r="H22" s="7" t="s">
        <v>959</v>
      </c>
      <c r="I22" s="13" t="s">
        <v>960</v>
      </c>
      <c r="J22" s="135">
        <v>50796.385593220344</v>
      </c>
      <c r="K22" s="116">
        <v>67.736000000000018</v>
      </c>
      <c r="L22" s="116">
        <v>48.233333333570044</v>
      </c>
      <c r="M22" s="116">
        <v>582.76666666642996</v>
      </c>
      <c r="N22" s="129">
        <f t="shared" si="14"/>
        <v>0.58408544787583283</v>
      </c>
      <c r="O22" s="129">
        <f t="shared" si="15"/>
        <v>0.93097059070440047</v>
      </c>
      <c r="P22" s="129">
        <f t="shared" si="16"/>
        <v>0.1041287045710671</v>
      </c>
      <c r="Q22" s="114">
        <f t="shared" si="13"/>
        <v>749.91711339937888</v>
      </c>
      <c r="R22" s="5" t="str">
        <f t="shared" si="9"/>
        <v>Sims</v>
      </c>
      <c r="U22" s="4"/>
      <c r="V22" s="52"/>
    </row>
    <row r="23" spans="1:22" s="11" customFormat="1" ht="15" customHeight="1">
      <c r="A23" s="75"/>
      <c r="B23" s="12">
        <f t="shared" si="4"/>
        <v>13</v>
      </c>
      <c r="C23" s="7" t="s">
        <v>969</v>
      </c>
      <c r="D23" s="13" t="s">
        <v>991</v>
      </c>
      <c r="E23" s="211" t="s">
        <v>992</v>
      </c>
      <c r="F23" s="13" t="s">
        <v>993</v>
      </c>
      <c r="G23" s="13" t="s">
        <v>994</v>
      </c>
      <c r="H23" s="7" t="s">
        <v>959</v>
      </c>
      <c r="I23" s="13" t="s">
        <v>995</v>
      </c>
      <c r="J23" s="135">
        <v>38615.932203389806</v>
      </c>
      <c r="K23" s="116">
        <v>103.74</v>
      </c>
      <c r="L23" s="116">
        <v>0</v>
      </c>
      <c r="M23" s="116">
        <v>580.99999999999989</v>
      </c>
      <c r="N23" s="129">
        <f t="shared" si="14"/>
        <v>1</v>
      </c>
      <c r="O23" s="129">
        <f t="shared" si="15"/>
        <v>1</v>
      </c>
      <c r="P23" s="129">
        <f t="shared" si="16"/>
        <v>0.15150276017174402</v>
      </c>
      <c r="Q23" s="114">
        <f t="shared" si="13"/>
        <v>372.23763450346837</v>
      </c>
      <c r="R23" s="5" t="str">
        <f t="shared" si="9"/>
        <v>Sims</v>
      </c>
      <c r="U23" s="4"/>
      <c r="V23" s="159"/>
    </row>
    <row r="24" spans="1:22" s="11" customFormat="1" ht="15" customHeight="1">
      <c r="A24" s="75"/>
      <c r="B24" s="12">
        <f t="shared" si="4"/>
        <v>14</v>
      </c>
      <c r="C24" s="7" t="s">
        <v>969</v>
      </c>
      <c r="D24" s="13" t="s">
        <v>996</v>
      </c>
      <c r="E24" s="211" t="s">
        <v>992</v>
      </c>
      <c r="F24" s="13" t="s">
        <v>993</v>
      </c>
      <c r="G24" s="13" t="s">
        <v>997</v>
      </c>
      <c r="H24" s="7" t="s">
        <v>959</v>
      </c>
      <c r="I24" s="13" t="s">
        <v>995</v>
      </c>
      <c r="J24" s="135">
        <v>2657.4025423728808</v>
      </c>
      <c r="K24" s="116">
        <v>12.5</v>
      </c>
      <c r="L24" s="116">
        <v>56.466666666674428</v>
      </c>
      <c r="M24" s="116">
        <v>518.53333333332557</v>
      </c>
      <c r="N24" s="129">
        <v>0</v>
      </c>
      <c r="O24" s="129">
        <v>0</v>
      </c>
      <c r="P24" s="129">
        <v>0</v>
      </c>
      <c r="Q24" s="114">
        <v>0</v>
      </c>
      <c r="R24" s="5" t="b">
        <f t="shared" si="9"/>
        <v>0</v>
      </c>
      <c r="U24" s="4"/>
      <c r="V24" s="159"/>
    </row>
    <row r="25" spans="1:22" s="11" customFormat="1" ht="15" customHeight="1">
      <c r="A25" s="75"/>
      <c r="B25" s="12">
        <f t="shared" si="4"/>
        <v>15</v>
      </c>
      <c r="C25" s="7" t="s">
        <v>969</v>
      </c>
      <c r="D25" s="13" t="s">
        <v>998</v>
      </c>
      <c r="E25" s="211" t="s">
        <v>992</v>
      </c>
      <c r="F25" s="13" t="s">
        <v>993</v>
      </c>
      <c r="G25" s="13" t="s">
        <v>999</v>
      </c>
      <c r="H25" s="7" t="s">
        <v>959</v>
      </c>
      <c r="I25" s="13" t="s">
        <v>995</v>
      </c>
      <c r="J25" s="135">
        <v>11335.970338983054</v>
      </c>
      <c r="K25" s="116">
        <v>23.459999999999997</v>
      </c>
      <c r="L25" s="116">
        <v>75.033333333092742</v>
      </c>
      <c r="M25" s="116">
        <v>604.96666666690726</v>
      </c>
      <c r="N25" s="129">
        <f t="shared" si="14"/>
        <v>0.23818870989634464</v>
      </c>
      <c r="O25" s="129">
        <f t="shared" si="15"/>
        <v>0.89333674504151939</v>
      </c>
      <c r="P25" s="129">
        <f t="shared" si="16"/>
        <v>3.733132478993733E-2</v>
      </c>
      <c r="Q25" s="114">
        <f t="shared" si="13"/>
        <v>483.20419177250875</v>
      </c>
      <c r="R25" s="5" t="b">
        <f t="shared" si="9"/>
        <v>0</v>
      </c>
      <c r="U25" s="52"/>
    </row>
    <row r="26" spans="1:22" s="11" customFormat="1" ht="15" customHeight="1">
      <c r="A26" s="75"/>
      <c r="B26" s="12">
        <f t="shared" si="4"/>
        <v>16</v>
      </c>
      <c r="C26" s="7" t="s">
        <v>969</v>
      </c>
      <c r="D26" s="13" t="s">
        <v>1000</v>
      </c>
      <c r="E26" s="211" t="s">
        <v>992</v>
      </c>
      <c r="F26" s="13" t="s">
        <v>993</v>
      </c>
      <c r="G26" s="13" t="s">
        <v>1001</v>
      </c>
      <c r="H26" s="7" t="s">
        <v>959</v>
      </c>
      <c r="I26" s="13" t="s">
        <v>995</v>
      </c>
      <c r="J26" s="135">
        <v>35113.516949152545</v>
      </c>
      <c r="K26" s="116">
        <v>70.34</v>
      </c>
      <c r="L26" s="116">
        <v>26.999999999825377</v>
      </c>
      <c r="M26" s="116">
        <v>599.00000000017462</v>
      </c>
      <c r="N26" s="129">
        <f t="shared" si="14"/>
        <v>0.72262173823840337</v>
      </c>
      <c r="O26" s="129">
        <f t="shared" si="15"/>
        <v>0.961225837952975</v>
      </c>
      <c r="P26" s="129">
        <f t="shared" si="16"/>
        <v>0.10508859473508478</v>
      </c>
      <c r="Q26" s="114">
        <f t="shared" si="13"/>
        <v>499.19699956145212</v>
      </c>
      <c r="R26" s="5" t="str">
        <f t="shared" si="9"/>
        <v>Sims</v>
      </c>
      <c r="U26" s="4"/>
    </row>
    <row r="27" spans="1:22" s="11" customFormat="1" ht="15" hidden="1" customHeight="1">
      <c r="A27" s="64"/>
      <c r="B27" s="12"/>
      <c r="C27" s="7"/>
      <c r="D27" s="13"/>
      <c r="E27" s="13"/>
      <c r="F27" s="13"/>
      <c r="G27" s="13"/>
      <c r="H27" s="7"/>
      <c r="I27" s="13"/>
      <c r="J27" s="135"/>
      <c r="K27" s="116"/>
      <c r="L27" s="116"/>
      <c r="M27" s="116"/>
      <c r="N27" s="129"/>
      <c r="O27" s="129"/>
      <c r="P27" s="129"/>
      <c r="Q27" s="114"/>
      <c r="R27" s="5" t="b">
        <f t="shared" si="9"/>
        <v>0</v>
      </c>
      <c r="U27" s="4"/>
    </row>
    <row r="28" spans="1:22" s="11" customFormat="1" ht="15" customHeight="1">
      <c r="A28" s="75"/>
      <c r="B28" s="353" t="s">
        <v>22</v>
      </c>
      <c r="C28" s="353"/>
      <c r="D28" s="353"/>
      <c r="E28" s="353"/>
      <c r="F28" s="8">
        <f>+COUNTA(F11:F27)</f>
        <v>16</v>
      </c>
      <c r="G28" s="9"/>
      <c r="H28" s="7"/>
      <c r="I28" s="7"/>
      <c r="J28" s="7"/>
      <c r="K28" s="35"/>
      <c r="L28" s="35"/>
      <c r="M28" s="35"/>
      <c r="N28" s="35"/>
      <c r="O28" s="35"/>
      <c r="P28" s="35"/>
      <c r="Q28" s="73"/>
      <c r="V28" s="52"/>
    </row>
    <row r="29" spans="1:22" s="11" customFormat="1" ht="15" customHeight="1">
      <c r="A29" s="75"/>
      <c r="B29" s="10"/>
      <c r="C29" s="10"/>
      <c r="D29" s="10"/>
      <c r="E29" s="10"/>
      <c r="F29" s="10"/>
      <c r="G29" s="10"/>
      <c r="H29" s="10"/>
      <c r="I29" s="10"/>
      <c r="J29" s="10"/>
      <c r="K29" s="87"/>
      <c r="L29" s="87"/>
      <c r="M29" s="87"/>
      <c r="N29" s="87"/>
      <c r="O29" s="87"/>
      <c r="P29" s="87"/>
      <c r="Q29" s="88"/>
      <c r="V29" s="52"/>
    </row>
    <row r="30" spans="1:22" s="11" customFormat="1" ht="15" customHeight="1">
      <c r="A30" s="65" t="s">
        <v>23</v>
      </c>
      <c r="B30" s="66" t="s">
        <v>166</v>
      </c>
      <c r="C30" s="4"/>
      <c r="D30" s="4"/>
      <c r="E30" s="4"/>
      <c r="F30" s="16"/>
      <c r="G30" s="4"/>
      <c r="H30" s="4"/>
      <c r="I30" s="4"/>
      <c r="J30" s="4"/>
      <c r="K30" s="89"/>
      <c r="L30" s="89"/>
      <c r="M30" s="89"/>
      <c r="N30" s="89"/>
      <c r="O30" s="89"/>
      <c r="P30" s="89"/>
      <c r="Q30" s="90"/>
      <c r="V30" s="52"/>
    </row>
    <row r="31" spans="1:22" s="11" customFormat="1" ht="15" customHeight="1">
      <c r="A31" s="64"/>
      <c r="B31" s="6" t="s">
        <v>2</v>
      </c>
      <c r="C31" s="6" t="s">
        <v>3</v>
      </c>
      <c r="D31" s="6" t="s">
        <v>4</v>
      </c>
      <c r="E31" s="6" t="s">
        <v>5</v>
      </c>
      <c r="F31" s="6" t="s">
        <v>6</v>
      </c>
      <c r="G31" s="6" t="s">
        <v>7</v>
      </c>
      <c r="H31" s="6" t="s">
        <v>8</v>
      </c>
      <c r="I31" s="6" t="s">
        <v>9</v>
      </c>
      <c r="J31" s="6" t="s">
        <v>267</v>
      </c>
      <c r="K31" s="6" t="s">
        <v>262</v>
      </c>
      <c r="L31" s="6" t="s">
        <v>268</v>
      </c>
      <c r="M31" s="6" t="s">
        <v>269</v>
      </c>
      <c r="N31" s="6" t="s">
        <v>263</v>
      </c>
      <c r="O31" s="6" t="s">
        <v>264</v>
      </c>
      <c r="P31" s="6" t="s">
        <v>265</v>
      </c>
      <c r="Q31" s="67" t="s">
        <v>266</v>
      </c>
      <c r="U31" s="52"/>
    </row>
    <row r="32" spans="1:22" s="11" customFormat="1" ht="15" customHeight="1">
      <c r="A32" s="75"/>
      <c r="B32" s="12">
        <v>1</v>
      </c>
      <c r="C32" s="7" t="s">
        <v>955</v>
      </c>
      <c r="D32" s="13" t="s">
        <v>1003</v>
      </c>
      <c r="E32" s="12" t="s">
        <v>992</v>
      </c>
      <c r="F32" s="13" t="s">
        <v>1004</v>
      </c>
      <c r="G32" s="13" t="s">
        <v>1005</v>
      </c>
      <c r="H32" s="7" t="s">
        <v>1006</v>
      </c>
      <c r="I32" s="13" t="s">
        <v>1007</v>
      </c>
      <c r="J32" s="115">
        <v>0</v>
      </c>
      <c r="K32" s="116">
        <v>0</v>
      </c>
      <c r="L32" s="116">
        <v>0</v>
      </c>
      <c r="M32" s="116">
        <v>0</v>
      </c>
      <c r="N32" s="129">
        <v>0</v>
      </c>
      <c r="O32" s="129">
        <v>0</v>
      </c>
      <c r="P32" s="129">
        <v>0</v>
      </c>
      <c r="Q32" s="114">
        <v>0</v>
      </c>
      <c r="R32" s="5" t="b">
        <f t="shared" ref="R32:R95" si="20">IF(O32&gt;89.9999999999999%,"Sims")</f>
        <v>0</v>
      </c>
      <c r="S32" s="4"/>
      <c r="U32" s="52"/>
    </row>
    <row r="33" spans="1:21" s="11" customFormat="1" ht="15" customHeight="1">
      <c r="A33" s="75"/>
      <c r="B33" s="12">
        <f t="shared" ref="B33:B101" si="21">+B32+1</f>
        <v>2</v>
      </c>
      <c r="C33" s="7" t="s">
        <v>955</v>
      </c>
      <c r="D33" s="13" t="s">
        <v>1008</v>
      </c>
      <c r="E33" s="12" t="s">
        <v>992</v>
      </c>
      <c r="F33" s="13" t="s">
        <v>1004</v>
      </c>
      <c r="G33" s="13" t="s">
        <v>1005</v>
      </c>
      <c r="H33" s="7" t="s">
        <v>1006</v>
      </c>
      <c r="I33" s="13" t="s">
        <v>1007</v>
      </c>
      <c r="J33" s="115">
        <v>0</v>
      </c>
      <c r="K33" s="116">
        <v>0</v>
      </c>
      <c r="L33" s="116">
        <v>0</v>
      </c>
      <c r="M33" s="116">
        <v>0</v>
      </c>
      <c r="N33" s="129">
        <v>0</v>
      </c>
      <c r="O33" s="129">
        <v>0</v>
      </c>
      <c r="P33" s="129">
        <v>0</v>
      </c>
      <c r="Q33" s="114">
        <v>0</v>
      </c>
      <c r="R33" s="5" t="b">
        <f t="shared" si="20"/>
        <v>0</v>
      </c>
      <c r="U33" s="52"/>
    </row>
    <row r="34" spans="1:21" s="11" customFormat="1" ht="15" customHeight="1">
      <c r="A34" s="75"/>
      <c r="B34" s="12">
        <f t="shared" si="21"/>
        <v>3</v>
      </c>
      <c r="C34" s="7" t="s">
        <v>955</v>
      </c>
      <c r="D34" s="13" t="s">
        <v>1009</v>
      </c>
      <c r="E34" s="12" t="s">
        <v>992</v>
      </c>
      <c r="F34" s="13" t="s">
        <v>1004</v>
      </c>
      <c r="G34" s="13" t="s">
        <v>1005</v>
      </c>
      <c r="H34" s="7" t="s">
        <v>1006</v>
      </c>
      <c r="I34" s="13" t="s">
        <v>1007</v>
      </c>
      <c r="J34" s="115">
        <v>0</v>
      </c>
      <c r="K34" s="116">
        <v>0</v>
      </c>
      <c r="L34" s="116">
        <v>0</v>
      </c>
      <c r="M34" s="116">
        <v>0</v>
      </c>
      <c r="N34" s="129">
        <v>0</v>
      </c>
      <c r="O34" s="129">
        <v>0</v>
      </c>
      <c r="P34" s="129">
        <v>0</v>
      </c>
      <c r="Q34" s="114">
        <v>0</v>
      </c>
      <c r="R34" s="5" t="b">
        <f t="shared" si="20"/>
        <v>0</v>
      </c>
    </row>
    <row r="35" spans="1:21" s="11" customFormat="1" ht="15" customHeight="1">
      <c r="A35" s="75"/>
      <c r="B35" s="12">
        <f t="shared" si="21"/>
        <v>4</v>
      </c>
      <c r="C35" s="7" t="s">
        <v>955</v>
      </c>
      <c r="D35" s="13" t="s">
        <v>1010</v>
      </c>
      <c r="E35" s="12" t="s">
        <v>992</v>
      </c>
      <c r="F35" s="13" t="s">
        <v>1004</v>
      </c>
      <c r="G35" s="13" t="s">
        <v>1005</v>
      </c>
      <c r="H35" s="7" t="s">
        <v>1006</v>
      </c>
      <c r="I35" s="13" t="s">
        <v>1007</v>
      </c>
      <c r="J35" s="115">
        <v>0</v>
      </c>
      <c r="K35" s="116">
        <v>0</v>
      </c>
      <c r="L35" s="116">
        <v>0</v>
      </c>
      <c r="M35" s="116">
        <v>0</v>
      </c>
      <c r="N35" s="129">
        <v>0</v>
      </c>
      <c r="O35" s="129">
        <v>0</v>
      </c>
      <c r="P35" s="129">
        <v>0</v>
      </c>
      <c r="Q35" s="114">
        <v>0</v>
      </c>
      <c r="R35" s="5" t="b">
        <f t="shared" si="20"/>
        <v>0</v>
      </c>
    </row>
    <row r="36" spans="1:21" s="11" customFormat="1" ht="15" customHeight="1">
      <c r="A36" s="75"/>
      <c r="B36" s="12">
        <f t="shared" si="21"/>
        <v>5</v>
      </c>
      <c r="C36" s="7" t="s">
        <v>955</v>
      </c>
      <c r="D36" s="13" t="s">
        <v>1011</v>
      </c>
      <c r="E36" s="12" t="s">
        <v>992</v>
      </c>
      <c r="F36" s="13" t="s">
        <v>1004</v>
      </c>
      <c r="G36" s="13" t="s">
        <v>1005</v>
      </c>
      <c r="H36" s="7" t="s">
        <v>1006</v>
      </c>
      <c r="I36" s="13" t="s">
        <v>1007</v>
      </c>
      <c r="J36" s="115">
        <v>0</v>
      </c>
      <c r="K36" s="116">
        <v>0</v>
      </c>
      <c r="L36" s="116">
        <v>0</v>
      </c>
      <c r="M36" s="116">
        <v>0</v>
      </c>
      <c r="N36" s="129">
        <v>0</v>
      </c>
      <c r="O36" s="129">
        <v>0</v>
      </c>
      <c r="P36" s="129">
        <v>0</v>
      </c>
      <c r="Q36" s="114">
        <v>0</v>
      </c>
      <c r="R36" s="5" t="b">
        <f t="shared" si="20"/>
        <v>0</v>
      </c>
    </row>
    <row r="37" spans="1:21" s="11" customFormat="1" ht="15" customHeight="1">
      <c r="A37" s="75"/>
      <c r="B37" s="12">
        <f t="shared" si="21"/>
        <v>6</v>
      </c>
      <c r="C37" s="7" t="s">
        <v>955</v>
      </c>
      <c r="D37" s="13" t="s">
        <v>1012</v>
      </c>
      <c r="E37" s="12" t="s">
        <v>992</v>
      </c>
      <c r="F37" s="13" t="s">
        <v>1004</v>
      </c>
      <c r="G37" s="13" t="s">
        <v>1013</v>
      </c>
      <c r="H37" s="7" t="s">
        <v>1006</v>
      </c>
      <c r="I37" s="13" t="s">
        <v>1007</v>
      </c>
      <c r="J37" s="115">
        <v>0</v>
      </c>
      <c r="K37" s="116">
        <v>0</v>
      </c>
      <c r="L37" s="116">
        <v>0</v>
      </c>
      <c r="M37" s="116">
        <v>0</v>
      </c>
      <c r="N37" s="129">
        <v>0</v>
      </c>
      <c r="O37" s="129">
        <v>0</v>
      </c>
      <c r="P37" s="129">
        <v>0</v>
      </c>
      <c r="Q37" s="114">
        <v>0</v>
      </c>
      <c r="R37" s="5" t="b">
        <f t="shared" si="20"/>
        <v>0</v>
      </c>
    </row>
    <row r="38" spans="1:21" s="11" customFormat="1" ht="15" customHeight="1">
      <c r="A38" s="75"/>
      <c r="B38" s="12">
        <f t="shared" si="21"/>
        <v>7</v>
      </c>
      <c r="C38" s="7" t="s">
        <v>955</v>
      </c>
      <c r="D38" s="13" t="s">
        <v>1014</v>
      </c>
      <c r="E38" s="12" t="s">
        <v>992</v>
      </c>
      <c r="F38" s="13" t="s">
        <v>1004</v>
      </c>
      <c r="G38" s="13" t="s">
        <v>1013</v>
      </c>
      <c r="H38" s="7" t="s">
        <v>1006</v>
      </c>
      <c r="I38" s="13" t="s">
        <v>1007</v>
      </c>
      <c r="J38" s="115">
        <v>0</v>
      </c>
      <c r="K38" s="116">
        <v>0</v>
      </c>
      <c r="L38" s="116">
        <v>0</v>
      </c>
      <c r="M38" s="116">
        <v>0</v>
      </c>
      <c r="N38" s="129">
        <v>0</v>
      </c>
      <c r="O38" s="129">
        <v>0</v>
      </c>
      <c r="P38" s="129">
        <v>0</v>
      </c>
      <c r="Q38" s="114">
        <v>0</v>
      </c>
      <c r="R38" s="5" t="b">
        <f t="shared" si="20"/>
        <v>0</v>
      </c>
    </row>
    <row r="39" spans="1:21" s="11" customFormat="1" ht="15" customHeight="1">
      <c r="A39" s="75"/>
      <c r="B39" s="12">
        <f t="shared" si="21"/>
        <v>8</v>
      </c>
      <c r="C39" s="7" t="s">
        <v>955</v>
      </c>
      <c r="D39" s="13" t="s">
        <v>1015</v>
      </c>
      <c r="E39" s="12" t="s">
        <v>992</v>
      </c>
      <c r="F39" s="13" t="s">
        <v>1004</v>
      </c>
      <c r="G39" s="13" t="s">
        <v>1013</v>
      </c>
      <c r="H39" s="7" t="s">
        <v>1006</v>
      </c>
      <c r="I39" s="13" t="s">
        <v>1007</v>
      </c>
      <c r="J39" s="115">
        <v>0</v>
      </c>
      <c r="K39" s="116">
        <v>0</v>
      </c>
      <c r="L39" s="116">
        <v>0</v>
      </c>
      <c r="M39" s="116">
        <v>0</v>
      </c>
      <c r="N39" s="129">
        <v>0</v>
      </c>
      <c r="O39" s="129">
        <v>0</v>
      </c>
      <c r="P39" s="129">
        <v>0</v>
      </c>
      <c r="Q39" s="114">
        <v>0</v>
      </c>
      <c r="R39" s="5" t="b">
        <f t="shared" si="20"/>
        <v>0</v>
      </c>
    </row>
    <row r="40" spans="1:21" s="11" customFormat="1" ht="15" customHeight="1">
      <c r="A40" s="75"/>
      <c r="B40" s="12">
        <f t="shared" si="21"/>
        <v>9</v>
      </c>
      <c r="C40" s="7" t="s">
        <v>955</v>
      </c>
      <c r="D40" s="13" t="s">
        <v>1016</v>
      </c>
      <c r="E40" s="12" t="s">
        <v>992</v>
      </c>
      <c r="F40" s="13" t="s">
        <v>1004</v>
      </c>
      <c r="G40" s="13" t="s">
        <v>1013</v>
      </c>
      <c r="H40" s="7" t="s">
        <v>1006</v>
      </c>
      <c r="I40" s="13" t="s">
        <v>1007</v>
      </c>
      <c r="J40" s="115">
        <v>0</v>
      </c>
      <c r="K40" s="116">
        <v>0</v>
      </c>
      <c r="L40" s="116">
        <v>0</v>
      </c>
      <c r="M40" s="116">
        <v>0</v>
      </c>
      <c r="N40" s="129">
        <v>0</v>
      </c>
      <c r="O40" s="129">
        <v>0</v>
      </c>
      <c r="P40" s="129">
        <v>0</v>
      </c>
      <c r="Q40" s="114">
        <v>0</v>
      </c>
      <c r="R40" s="5" t="b">
        <f t="shared" si="20"/>
        <v>0</v>
      </c>
      <c r="S40" s="4"/>
    </row>
    <row r="41" spans="1:21" s="11" customFormat="1" ht="15" customHeight="1">
      <c r="A41" s="75"/>
      <c r="B41" s="12">
        <f t="shared" si="21"/>
        <v>10</v>
      </c>
      <c r="C41" s="7" t="s">
        <v>955</v>
      </c>
      <c r="D41" s="13" t="s">
        <v>1017</v>
      </c>
      <c r="E41" s="12" t="s">
        <v>992</v>
      </c>
      <c r="F41" s="13" t="s">
        <v>1004</v>
      </c>
      <c r="G41" s="13" t="s">
        <v>1013</v>
      </c>
      <c r="H41" s="7" t="s">
        <v>1006</v>
      </c>
      <c r="I41" s="13" t="s">
        <v>1007</v>
      </c>
      <c r="J41" s="115">
        <v>0</v>
      </c>
      <c r="K41" s="116">
        <v>0</v>
      </c>
      <c r="L41" s="116">
        <v>0</v>
      </c>
      <c r="M41" s="116">
        <v>0</v>
      </c>
      <c r="N41" s="129">
        <v>0</v>
      </c>
      <c r="O41" s="129">
        <v>0</v>
      </c>
      <c r="P41" s="129">
        <v>0</v>
      </c>
      <c r="Q41" s="114">
        <v>0</v>
      </c>
      <c r="R41" s="5" t="b">
        <f t="shared" si="20"/>
        <v>0</v>
      </c>
    </row>
    <row r="42" spans="1:21" s="11" customFormat="1" ht="15" customHeight="1">
      <c r="A42" s="75"/>
      <c r="B42" s="12">
        <f t="shared" si="21"/>
        <v>11</v>
      </c>
      <c r="C42" s="7" t="s">
        <v>955</v>
      </c>
      <c r="D42" s="13" t="s">
        <v>1018</v>
      </c>
      <c r="E42" s="12" t="s">
        <v>992</v>
      </c>
      <c r="F42" s="13" t="s">
        <v>1004</v>
      </c>
      <c r="G42" s="13" t="s">
        <v>1019</v>
      </c>
      <c r="H42" s="7" t="s">
        <v>1006</v>
      </c>
      <c r="I42" s="13" t="s">
        <v>1007</v>
      </c>
      <c r="J42" s="115">
        <v>0</v>
      </c>
      <c r="K42" s="116">
        <v>0</v>
      </c>
      <c r="L42" s="116">
        <v>0</v>
      </c>
      <c r="M42" s="116">
        <v>0</v>
      </c>
      <c r="N42" s="129">
        <v>0</v>
      </c>
      <c r="O42" s="129">
        <v>0</v>
      </c>
      <c r="P42" s="129">
        <v>0</v>
      </c>
      <c r="Q42" s="114">
        <v>0</v>
      </c>
      <c r="R42" s="5" t="b">
        <f t="shared" si="20"/>
        <v>0</v>
      </c>
    </row>
    <row r="43" spans="1:21" s="11" customFormat="1" ht="15" customHeight="1">
      <c r="A43" s="75"/>
      <c r="B43" s="12">
        <f t="shared" si="21"/>
        <v>12</v>
      </c>
      <c r="C43" s="7" t="s">
        <v>955</v>
      </c>
      <c r="D43" s="13" t="s">
        <v>1020</v>
      </c>
      <c r="E43" s="12" t="s">
        <v>992</v>
      </c>
      <c r="F43" s="13" t="s">
        <v>1004</v>
      </c>
      <c r="G43" s="13" t="s">
        <v>1019</v>
      </c>
      <c r="H43" s="7" t="s">
        <v>1006</v>
      </c>
      <c r="I43" s="13" t="s">
        <v>1007</v>
      </c>
      <c r="J43" s="115">
        <v>0</v>
      </c>
      <c r="K43" s="116">
        <v>0</v>
      </c>
      <c r="L43" s="116">
        <v>0</v>
      </c>
      <c r="M43" s="116">
        <v>0</v>
      </c>
      <c r="N43" s="129">
        <v>0</v>
      </c>
      <c r="O43" s="129">
        <v>0</v>
      </c>
      <c r="P43" s="129">
        <v>0</v>
      </c>
      <c r="Q43" s="114">
        <v>0</v>
      </c>
      <c r="R43" s="5" t="b">
        <f t="shared" si="20"/>
        <v>0</v>
      </c>
    </row>
    <row r="44" spans="1:21" s="11" customFormat="1" ht="15" customHeight="1">
      <c r="A44" s="75"/>
      <c r="B44" s="12">
        <f t="shared" si="21"/>
        <v>13</v>
      </c>
      <c r="C44" s="7" t="s">
        <v>955</v>
      </c>
      <c r="D44" s="13" t="s">
        <v>1021</v>
      </c>
      <c r="E44" s="12" t="s">
        <v>992</v>
      </c>
      <c r="F44" s="13" t="s">
        <v>1004</v>
      </c>
      <c r="G44" s="13" t="s">
        <v>1019</v>
      </c>
      <c r="H44" s="7" t="s">
        <v>1006</v>
      </c>
      <c r="I44" s="13" t="s">
        <v>1007</v>
      </c>
      <c r="J44" s="115">
        <v>0</v>
      </c>
      <c r="K44" s="116">
        <v>0</v>
      </c>
      <c r="L44" s="116">
        <v>0</v>
      </c>
      <c r="M44" s="116">
        <v>0</v>
      </c>
      <c r="N44" s="129">
        <v>0</v>
      </c>
      <c r="O44" s="129">
        <v>0</v>
      </c>
      <c r="P44" s="129">
        <v>0</v>
      </c>
      <c r="Q44" s="114">
        <v>0</v>
      </c>
      <c r="R44" s="5" t="b">
        <f t="shared" si="20"/>
        <v>0</v>
      </c>
    </row>
    <row r="45" spans="1:21" s="11" customFormat="1" ht="15" customHeight="1">
      <c r="A45" s="75"/>
      <c r="B45" s="12">
        <f t="shared" si="21"/>
        <v>14</v>
      </c>
      <c r="C45" s="7" t="s">
        <v>955</v>
      </c>
      <c r="D45" s="13" t="s">
        <v>1022</v>
      </c>
      <c r="E45" s="12" t="s">
        <v>992</v>
      </c>
      <c r="F45" s="13" t="s">
        <v>1004</v>
      </c>
      <c r="G45" s="13" t="s">
        <v>1019</v>
      </c>
      <c r="H45" s="7" t="s">
        <v>1006</v>
      </c>
      <c r="I45" s="13" t="s">
        <v>1007</v>
      </c>
      <c r="J45" s="115">
        <v>0</v>
      </c>
      <c r="K45" s="116">
        <v>0</v>
      </c>
      <c r="L45" s="116">
        <v>0</v>
      </c>
      <c r="M45" s="116">
        <v>0</v>
      </c>
      <c r="N45" s="129">
        <v>0</v>
      </c>
      <c r="O45" s="129">
        <v>0</v>
      </c>
      <c r="P45" s="129">
        <v>0</v>
      </c>
      <c r="Q45" s="114">
        <v>0</v>
      </c>
      <c r="R45" s="5" t="b">
        <f t="shared" si="20"/>
        <v>0</v>
      </c>
    </row>
    <row r="46" spans="1:21" s="11" customFormat="1" ht="15" customHeight="1">
      <c r="A46" s="75"/>
      <c r="B46" s="12">
        <f t="shared" si="21"/>
        <v>15</v>
      </c>
      <c r="C46" s="7" t="s">
        <v>955</v>
      </c>
      <c r="D46" s="13" t="s">
        <v>1023</v>
      </c>
      <c r="E46" s="12" t="s">
        <v>992</v>
      </c>
      <c r="F46" s="13" t="s">
        <v>1004</v>
      </c>
      <c r="G46" s="13" t="s">
        <v>1019</v>
      </c>
      <c r="H46" s="7" t="s">
        <v>1006</v>
      </c>
      <c r="I46" s="13" t="s">
        <v>1007</v>
      </c>
      <c r="J46" s="115">
        <v>0</v>
      </c>
      <c r="K46" s="116">
        <v>0</v>
      </c>
      <c r="L46" s="116">
        <v>0</v>
      </c>
      <c r="M46" s="116">
        <v>0</v>
      </c>
      <c r="N46" s="129">
        <v>0</v>
      </c>
      <c r="O46" s="129">
        <v>0</v>
      </c>
      <c r="P46" s="129">
        <v>0</v>
      </c>
      <c r="Q46" s="114">
        <v>0</v>
      </c>
      <c r="R46" s="5" t="b">
        <f t="shared" si="20"/>
        <v>0</v>
      </c>
    </row>
    <row r="47" spans="1:21" s="11" customFormat="1" ht="15" customHeight="1">
      <c r="A47" s="75"/>
      <c r="B47" s="12">
        <f t="shared" si="21"/>
        <v>16</v>
      </c>
      <c r="C47" s="7" t="s">
        <v>955</v>
      </c>
      <c r="D47" s="13" t="s">
        <v>1024</v>
      </c>
      <c r="E47" s="12" t="s">
        <v>992</v>
      </c>
      <c r="F47" s="13" t="s">
        <v>1025</v>
      </c>
      <c r="G47" s="13" t="s">
        <v>1026</v>
      </c>
      <c r="H47" s="7" t="s">
        <v>1006</v>
      </c>
      <c r="I47" s="13" t="s">
        <v>1007</v>
      </c>
      <c r="J47" s="115">
        <v>5413.1355932203387</v>
      </c>
      <c r="K47" s="116">
        <v>89</v>
      </c>
      <c r="L47" s="116">
        <v>189.45000000006985</v>
      </c>
      <c r="M47" s="116">
        <v>441.54999999993015</v>
      </c>
      <c r="N47" s="129">
        <f t="shared" ref="N47" si="22">+K47/(K47+L47)</f>
        <v>0.319626503860577</v>
      </c>
      <c r="O47" s="129">
        <f t="shared" ref="O47" si="23">+(K47+M47)/(K47+L47+M47)</f>
        <v>0.73687499999990302</v>
      </c>
      <c r="P47" s="129">
        <f t="shared" ref="P47" si="24">+K47/(K47+M47)</f>
        <v>0.16775044764868857</v>
      </c>
      <c r="Q47" s="114">
        <f t="shared" ref="Q47" si="25">+J47/K47</f>
        <v>60.821748238430771</v>
      </c>
      <c r="R47" s="5" t="b">
        <f t="shared" si="20"/>
        <v>0</v>
      </c>
    </row>
    <row r="48" spans="1:21" s="11" customFormat="1" ht="15" customHeight="1">
      <c r="A48" s="75"/>
      <c r="B48" s="12">
        <f t="shared" si="21"/>
        <v>17</v>
      </c>
      <c r="C48" s="7" t="s">
        <v>955</v>
      </c>
      <c r="D48" s="13" t="s">
        <v>1027</v>
      </c>
      <c r="E48" s="12" t="s">
        <v>992</v>
      </c>
      <c r="F48" s="13" t="s">
        <v>1025</v>
      </c>
      <c r="G48" s="13" t="s">
        <v>1026</v>
      </c>
      <c r="H48" s="7" t="s">
        <v>1006</v>
      </c>
      <c r="I48" s="13" t="s">
        <v>1007</v>
      </c>
      <c r="J48" s="115">
        <v>0</v>
      </c>
      <c r="K48" s="116">
        <v>48</v>
      </c>
      <c r="L48" s="116">
        <v>4.4166666667442769</v>
      </c>
      <c r="M48" s="116">
        <v>667.58333333325572</v>
      </c>
      <c r="N48" s="129">
        <f t="shared" ref="N48:N111" si="26">+K48/(K48+L48)</f>
        <v>0.91573926867908928</v>
      </c>
      <c r="O48" s="129">
        <f t="shared" ref="O48:O111" si="27">+(K48+M48)/(K48+L48+M48)</f>
        <v>0.99386574074063294</v>
      </c>
      <c r="P48" s="129">
        <f t="shared" ref="P48:P111" si="28">+K48/(K48+M48)</f>
        <v>6.7078141376506639E-2</v>
      </c>
      <c r="Q48" s="114">
        <f t="shared" ref="Q48:Q111" si="29">+J48/K48</f>
        <v>0</v>
      </c>
      <c r="R48" s="5" t="str">
        <f t="shared" si="20"/>
        <v>Sims</v>
      </c>
    </row>
    <row r="49" spans="1:26" s="11" customFormat="1" ht="15" customHeight="1">
      <c r="A49" s="75"/>
      <c r="B49" s="12">
        <f t="shared" si="21"/>
        <v>18</v>
      </c>
      <c r="C49" s="7" t="s">
        <v>955</v>
      </c>
      <c r="D49" s="13" t="s">
        <v>1028</v>
      </c>
      <c r="E49" s="12" t="s">
        <v>992</v>
      </c>
      <c r="F49" s="13" t="s">
        <v>1025</v>
      </c>
      <c r="G49" s="13" t="s">
        <v>1026</v>
      </c>
      <c r="H49" s="7" t="s">
        <v>1006</v>
      </c>
      <c r="I49" s="13" t="s">
        <v>1007</v>
      </c>
      <c r="J49" s="115">
        <v>3999.9576271186443</v>
      </c>
      <c r="K49" s="116">
        <v>74</v>
      </c>
      <c r="L49" s="116">
        <v>64.566666666534729</v>
      </c>
      <c r="M49" s="116">
        <v>581.43333333346527</v>
      </c>
      <c r="N49" s="129">
        <f t="shared" si="26"/>
        <v>0.53403897041186288</v>
      </c>
      <c r="O49" s="129">
        <f t="shared" si="27"/>
        <v>0.91032407407425731</v>
      </c>
      <c r="P49" s="129">
        <f t="shared" si="28"/>
        <v>0.11290240553321228</v>
      </c>
      <c r="Q49" s="114">
        <f t="shared" si="29"/>
        <v>54.053481447549245</v>
      </c>
      <c r="R49" s="5" t="str">
        <f t="shared" si="20"/>
        <v>Sims</v>
      </c>
    </row>
    <row r="50" spans="1:26" s="11" customFormat="1" ht="15" customHeight="1">
      <c r="A50" s="75"/>
      <c r="B50" s="12">
        <f t="shared" si="21"/>
        <v>19</v>
      </c>
      <c r="C50" s="7" t="s">
        <v>955</v>
      </c>
      <c r="D50" s="13" t="s">
        <v>1029</v>
      </c>
      <c r="E50" s="12" t="s">
        <v>992</v>
      </c>
      <c r="F50" s="13" t="s">
        <v>1025</v>
      </c>
      <c r="G50" s="13" t="s">
        <v>1026</v>
      </c>
      <c r="H50" s="7" t="s">
        <v>1006</v>
      </c>
      <c r="I50" s="13" t="s">
        <v>1007</v>
      </c>
      <c r="J50" s="115">
        <v>4926.3983050847455</v>
      </c>
      <c r="K50" s="116">
        <v>96</v>
      </c>
      <c r="L50" s="116">
        <v>43.016666666662786</v>
      </c>
      <c r="M50" s="116">
        <v>580.98333333333721</v>
      </c>
      <c r="N50" s="129">
        <f t="shared" si="26"/>
        <v>0.6905646804939648</v>
      </c>
      <c r="O50" s="129">
        <f t="shared" si="27"/>
        <v>0.94025462962963502</v>
      </c>
      <c r="P50" s="129">
        <f t="shared" si="28"/>
        <v>0.14180555897486316</v>
      </c>
      <c r="Q50" s="114">
        <f t="shared" si="29"/>
        <v>51.316649011299432</v>
      </c>
      <c r="R50" s="5" t="str">
        <f t="shared" si="20"/>
        <v>Sims</v>
      </c>
    </row>
    <row r="51" spans="1:26" s="11" customFormat="1" ht="15" customHeight="1">
      <c r="A51" s="76"/>
      <c r="B51" s="12">
        <f t="shared" si="21"/>
        <v>20</v>
      </c>
      <c r="C51" s="7" t="s">
        <v>955</v>
      </c>
      <c r="D51" s="13" t="s">
        <v>1030</v>
      </c>
      <c r="E51" s="12" t="s">
        <v>992</v>
      </c>
      <c r="F51" s="13" t="s">
        <v>1025</v>
      </c>
      <c r="G51" s="13" t="s">
        <v>1026</v>
      </c>
      <c r="H51" s="7" t="s">
        <v>1006</v>
      </c>
      <c r="I51" s="13" t="s">
        <v>1007</v>
      </c>
      <c r="J51" s="115">
        <v>4172.5</v>
      </c>
      <c r="K51" s="116">
        <v>73</v>
      </c>
      <c r="L51" s="116">
        <v>115.40000000002328</v>
      </c>
      <c r="M51" s="116">
        <v>531.59999999997672</v>
      </c>
      <c r="N51" s="129">
        <f t="shared" si="26"/>
        <v>0.38747346072182048</v>
      </c>
      <c r="O51" s="129">
        <f t="shared" si="27"/>
        <v>0.83972222222218984</v>
      </c>
      <c r="P51" s="129">
        <f t="shared" si="28"/>
        <v>0.12074098577572413</v>
      </c>
      <c r="Q51" s="114">
        <f t="shared" si="29"/>
        <v>57.157534246575345</v>
      </c>
      <c r="R51" s="5" t="b">
        <f t="shared" si="20"/>
        <v>0</v>
      </c>
    </row>
    <row r="52" spans="1:26" s="11" customFormat="1" ht="15" customHeight="1">
      <c r="A52" s="76"/>
      <c r="B52" s="12">
        <f t="shared" si="21"/>
        <v>21</v>
      </c>
      <c r="C52" s="7" t="s">
        <v>955</v>
      </c>
      <c r="D52" s="13" t="s">
        <v>1031</v>
      </c>
      <c r="E52" s="12" t="s">
        <v>1032</v>
      </c>
      <c r="F52" s="13" t="s">
        <v>173</v>
      </c>
      <c r="G52" s="13" t="s">
        <v>1033</v>
      </c>
      <c r="H52" s="7" t="s">
        <v>1006</v>
      </c>
      <c r="I52" s="13" t="s">
        <v>1007</v>
      </c>
      <c r="J52" s="115">
        <v>4847.1059322033898</v>
      </c>
      <c r="K52" s="116">
        <v>107</v>
      </c>
      <c r="L52" s="116">
        <v>98.583333333197515</v>
      </c>
      <c r="M52" s="116">
        <v>514.41666666680248</v>
      </c>
      <c r="N52" s="129">
        <f t="shared" si="26"/>
        <v>0.52047020672916433</v>
      </c>
      <c r="O52" s="129">
        <f t="shared" si="27"/>
        <v>0.86307870370389239</v>
      </c>
      <c r="P52" s="129">
        <f t="shared" si="28"/>
        <v>0.17218720665143078</v>
      </c>
      <c r="Q52" s="114">
        <f t="shared" si="29"/>
        <v>45.300055441153177</v>
      </c>
      <c r="R52" s="5" t="b">
        <f t="shared" si="20"/>
        <v>0</v>
      </c>
    </row>
    <row r="53" spans="1:26" s="11" customFormat="1" ht="15" customHeight="1">
      <c r="A53" s="76"/>
      <c r="B53" s="12">
        <f t="shared" si="21"/>
        <v>22</v>
      </c>
      <c r="C53" s="7" t="s">
        <v>955</v>
      </c>
      <c r="D53" s="13" t="s">
        <v>1034</v>
      </c>
      <c r="E53" s="12" t="s">
        <v>1032</v>
      </c>
      <c r="F53" s="13" t="s">
        <v>1035</v>
      </c>
      <c r="G53" s="13" t="s">
        <v>1033</v>
      </c>
      <c r="H53" s="7" t="s">
        <v>1006</v>
      </c>
      <c r="I53" s="13" t="s">
        <v>1007</v>
      </c>
      <c r="J53" s="115">
        <v>5178.2711864406774</v>
      </c>
      <c r="K53" s="116">
        <v>103</v>
      </c>
      <c r="L53" s="116">
        <v>11.04999999969732</v>
      </c>
      <c r="M53" s="116">
        <v>605.95000000030268</v>
      </c>
      <c r="N53" s="129">
        <f t="shared" si="26"/>
        <v>0.90311266988402761</v>
      </c>
      <c r="O53" s="129">
        <f t="shared" si="27"/>
        <v>0.98465277777819815</v>
      </c>
      <c r="P53" s="129">
        <f t="shared" si="28"/>
        <v>0.1452852810493773</v>
      </c>
      <c r="Q53" s="114">
        <f t="shared" si="29"/>
        <v>50.274477538259006</v>
      </c>
      <c r="R53" s="5" t="str">
        <f t="shared" si="20"/>
        <v>Sims</v>
      </c>
    </row>
    <row r="54" spans="1:26" s="11" customFormat="1" ht="15" customHeight="1">
      <c r="A54" s="76"/>
      <c r="B54" s="12">
        <f t="shared" si="21"/>
        <v>23</v>
      </c>
      <c r="C54" s="7" t="s">
        <v>955</v>
      </c>
      <c r="D54" s="13" t="s">
        <v>1036</v>
      </c>
      <c r="E54" s="12" t="s">
        <v>1032</v>
      </c>
      <c r="F54" s="13" t="s">
        <v>1035</v>
      </c>
      <c r="G54" s="7" t="s">
        <v>1033</v>
      </c>
      <c r="H54" s="7" t="s">
        <v>1006</v>
      </c>
      <c r="I54" s="13" t="s">
        <v>1007</v>
      </c>
      <c r="J54" s="115">
        <v>5604.8644067796613</v>
      </c>
      <c r="K54" s="116">
        <v>109</v>
      </c>
      <c r="L54" s="116">
        <v>2.9666666663833894</v>
      </c>
      <c r="M54" s="116">
        <v>608.03333333361661</v>
      </c>
      <c r="N54" s="129">
        <f t="shared" si="26"/>
        <v>0.97350401905575268</v>
      </c>
      <c r="O54" s="129">
        <f t="shared" si="27"/>
        <v>0.99587962963002308</v>
      </c>
      <c r="P54" s="129">
        <f t="shared" si="28"/>
        <v>0.15201524801258465</v>
      </c>
      <c r="Q54" s="114">
        <f t="shared" si="29"/>
        <v>51.42077437412533</v>
      </c>
      <c r="R54" s="5" t="str">
        <f t="shared" si="20"/>
        <v>Sims</v>
      </c>
    </row>
    <row r="55" spans="1:26" s="11" customFormat="1" ht="15" customHeight="1">
      <c r="A55" s="76"/>
      <c r="B55" s="12">
        <f t="shared" si="21"/>
        <v>24</v>
      </c>
      <c r="C55" s="7" t="s">
        <v>955</v>
      </c>
      <c r="D55" s="13" t="s">
        <v>1037</v>
      </c>
      <c r="E55" s="12" t="s">
        <v>1032</v>
      </c>
      <c r="F55" s="13" t="s">
        <v>1035</v>
      </c>
      <c r="G55" s="7" t="s">
        <v>1033</v>
      </c>
      <c r="H55" s="7" t="s">
        <v>1006</v>
      </c>
      <c r="I55" s="13" t="s">
        <v>1007</v>
      </c>
      <c r="J55" s="115">
        <v>6083.1355932203396</v>
      </c>
      <c r="K55" s="116">
        <v>95</v>
      </c>
      <c r="L55" s="116">
        <v>37.366666666581295</v>
      </c>
      <c r="M55" s="116">
        <v>587.6333333334187</v>
      </c>
      <c r="N55" s="129">
        <f t="shared" si="26"/>
        <v>0.71770334928275958</v>
      </c>
      <c r="O55" s="129">
        <f t="shared" si="27"/>
        <v>0.94810185185197038</v>
      </c>
      <c r="P55" s="129">
        <f t="shared" si="28"/>
        <v>0.13916695151128686</v>
      </c>
      <c r="Q55" s="114">
        <f t="shared" si="29"/>
        <v>64.033006244424627</v>
      </c>
      <c r="R55" s="5" t="str">
        <f t="shared" si="20"/>
        <v>Sims</v>
      </c>
    </row>
    <row r="56" spans="1:26" s="11" customFormat="1" ht="15" customHeight="1">
      <c r="A56" s="76"/>
      <c r="B56" s="12">
        <f t="shared" si="21"/>
        <v>25</v>
      </c>
      <c r="C56" s="7" t="s">
        <v>955</v>
      </c>
      <c r="D56" s="13" t="s">
        <v>1038</v>
      </c>
      <c r="E56" s="12" t="s">
        <v>1032</v>
      </c>
      <c r="F56" s="13" t="s">
        <v>1035</v>
      </c>
      <c r="G56" s="13" t="s">
        <v>1039</v>
      </c>
      <c r="H56" s="7" t="s">
        <v>1006</v>
      </c>
      <c r="I56" s="13" t="s">
        <v>1007</v>
      </c>
      <c r="J56" s="115">
        <v>4557.406779661017</v>
      </c>
      <c r="K56" s="116">
        <v>106</v>
      </c>
      <c r="L56" s="116">
        <v>29.883333333302289</v>
      </c>
      <c r="M56" s="116">
        <v>584.11666666669771</v>
      </c>
      <c r="N56" s="129">
        <f t="shared" si="26"/>
        <v>0.78008095179706283</v>
      </c>
      <c r="O56" s="129">
        <f t="shared" si="27"/>
        <v>0.95849537037041344</v>
      </c>
      <c r="P56" s="129">
        <f t="shared" si="28"/>
        <v>0.1535972178617073</v>
      </c>
      <c r="Q56" s="114">
        <f t="shared" si="29"/>
        <v>42.994403581707708</v>
      </c>
      <c r="R56" s="5" t="str">
        <f t="shared" si="20"/>
        <v>Sims</v>
      </c>
    </row>
    <row r="57" spans="1:26" s="11" customFormat="1" ht="15" customHeight="1">
      <c r="A57" s="64"/>
      <c r="B57" s="12">
        <f t="shared" si="21"/>
        <v>26</v>
      </c>
      <c r="C57" s="7" t="s">
        <v>955</v>
      </c>
      <c r="D57" s="13" t="s">
        <v>1040</v>
      </c>
      <c r="E57" s="12" t="s">
        <v>1032</v>
      </c>
      <c r="F57" s="13" t="s">
        <v>1035</v>
      </c>
      <c r="G57" s="13" t="s">
        <v>1039</v>
      </c>
      <c r="H57" s="7" t="s">
        <v>1006</v>
      </c>
      <c r="I57" s="13" t="s">
        <v>1007</v>
      </c>
      <c r="J57" s="115">
        <v>3789.9491525423732</v>
      </c>
      <c r="K57" s="116">
        <v>72</v>
      </c>
      <c r="L57" s="116">
        <v>245.75000000023283</v>
      </c>
      <c r="M57" s="116">
        <v>402.24999999976717</v>
      </c>
      <c r="N57" s="129">
        <f t="shared" si="26"/>
        <v>0.22659323367410619</v>
      </c>
      <c r="O57" s="129">
        <f t="shared" si="27"/>
        <v>0.65868055555523219</v>
      </c>
      <c r="P57" s="129">
        <f t="shared" si="28"/>
        <v>0.15181866104382782</v>
      </c>
      <c r="Q57" s="114">
        <f t="shared" si="29"/>
        <v>52.638182674199626</v>
      </c>
      <c r="R57" s="5" t="b">
        <f t="shared" si="20"/>
        <v>0</v>
      </c>
    </row>
    <row r="58" spans="1:26" s="11" customFormat="1" ht="15" customHeight="1">
      <c r="A58" s="76"/>
      <c r="B58" s="12">
        <f t="shared" si="21"/>
        <v>27</v>
      </c>
      <c r="C58" s="7" t="s">
        <v>955</v>
      </c>
      <c r="D58" s="13" t="s">
        <v>1041</v>
      </c>
      <c r="E58" s="12" t="s">
        <v>1032</v>
      </c>
      <c r="F58" s="13" t="s">
        <v>1035</v>
      </c>
      <c r="G58" s="13" t="s">
        <v>1039</v>
      </c>
      <c r="H58" s="7" t="s">
        <v>1006</v>
      </c>
      <c r="I58" s="13" t="s">
        <v>1007</v>
      </c>
      <c r="J58" s="115">
        <v>0</v>
      </c>
      <c r="K58" s="116">
        <v>0</v>
      </c>
      <c r="L58" s="116">
        <v>0</v>
      </c>
      <c r="M58" s="116">
        <v>0</v>
      </c>
      <c r="N58" s="129">
        <v>0</v>
      </c>
      <c r="O58" s="129">
        <v>0</v>
      </c>
      <c r="P58" s="129">
        <v>0</v>
      </c>
      <c r="Q58" s="114">
        <v>0</v>
      </c>
      <c r="R58" s="5" t="b">
        <f t="shared" si="20"/>
        <v>0</v>
      </c>
      <c r="V58" s="14"/>
    </row>
    <row r="59" spans="1:26" s="11" customFormat="1" ht="15" customHeight="1">
      <c r="A59" s="75"/>
      <c r="B59" s="12">
        <f t="shared" si="21"/>
        <v>28</v>
      </c>
      <c r="C59" s="7" t="s">
        <v>955</v>
      </c>
      <c r="D59" s="13" t="s">
        <v>1042</v>
      </c>
      <c r="E59" s="12" t="s">
        <v>1032</v>
      </c>
      <c r="F59" s="13" t="s">
        <v>1035</v>
      </c>
      <c r="G59" s="13" t="s">
        <v>1039</v>
      </c>
      <c r="H59" s="7" t="s">
        <v>1006</v>
      </c>
      <c r="I59" s="13" t="s">
        <v>1007</v>
      </c>
      <c r="J59" s="115">
        <v>2815.7711864406783</v>
      </c>
      <c r="K59" s="116">
        <v>68</v>
      </c>
      <c r="L59" s="116">
        <v>59.283333333267365</v>
      </c>
      <c r="M59" s="116">
        <v>592.71666666673264</v>
      </c>
      <c r="N59" s="129">
        <f t="shared" si="26"/>
        <v>0.53424119418647564</v>
      </c>
      <c r="O59" s="129">
        <f t="shared" si="27"/>
        <v>0.91766203703712868</v>
      </c>
      <c r="P59" s="129">
        <f t="shared" si="28"/>
        <v>0.10291854804125804</v>
      </c>
      <c r="Q59" s="114">
        <f t="shared" si="29"/>
        <v>41.408399800598211</v>
      </c>
      <c r="R59" s="5" t="str">
        <f t="shared" si="20"/>
        <v>Sims</v>
      </c>
      <c r="V59" s="14"/>
    </row>
    <row r="60" spans="1:26" ht="15" customHeight="1">
      <c r="A60" s="75"/>
      <c r="B60" s="12">
        <f t="shared" si="21"/>
        <v>29</v>
      </c>
      <c r="C60" s="7" t="s">
        <v>955</v>
      </c>
      <c r="D60" s="13" t="s">
        <v>1043</v>
      </c>
      <c r="E60" s="12" t="s">
        <v>1032</v>
      </c>
      <c r="F60" s="13" t="s">
        <v>1035</v>
      </c>
      <c r="G60" s="7" t="s">
        <v>1039</v>
      </c>
      <c r="H60" s="7" t="s">
        <v>1006</v>
      </c>
      <c r="I60" s="13" t="s">
        <v>1007</v>
      </c>
      <c r="J60" s="115">
        <v>0</v>
      </c>
      <c r="K60" s="116">
        <v>0</v>
      </c>
      <c r="L60" s="116">
        <v>0</v>
      </c>
      <c r="M60" s="116">
        <v>0</v>
      </c>
      <c r="N60" s="129">
        <v>0</v>
      </c>
      <c r="O60" s="129">
        <v>0</v>
      </c>
      <c r="P60" s="129">
        <v>0</v>
      </c>
      <c r="Q60" s="114">
        <v>0</v>
      </c>
      <c r="R60" s="5" t="b">
        <f t="shared" si="20"/>
        <v>0</v>
      </c>
      <c r="S60" s="11"/>
      <c r="T60" s="11"/>
      <c r="U60" s="11"/>
      <c r="W60" s="11"/>
      <c r="X60" s="11"/>
      <c r="Y60" s="11"/>
      <c r="Z60" s="11"/>
    </row>
    <row r="61" spans="1:26" ht="15" customHeight="1">
      <c r="A61" s="75"/>
      <c r="B61" s="12">
        <f t="shared" si="21"/>
        <v>30</v>
      </c>
      <c r="C61" s="7" t="s">
        <v>955</v>
      </c>
      <c r="D61" s="13" t="s">
        <v>1044</v>
      </c>
      <c r="E61" s="12" t="s">
        <v>1032</v>
      </c>
      <c r="F61" s="13" t="s">
        <v>1035</v>
      </c>
      <c r="G61" s="13" t="s">
        <v>1039</v>
      </c>
      <c r="H61" s="7" t="s">
        <v>1006</v>
      </c>
      <c r="I61" s="13" t="s">
        <v>1007</v>
      </c>
      <c r="J61" s="115">
        <v>4214.6228813559328</v>
      </c>
      <c r="K61" s="116">
        <v>102</v>
      </c>
      <c r="L61" s="116">
        <v>22.483333333279006</v>
      </c>
      <c r="M61" s="116">
        <v>595.51666666672099</v>
      </c>
      <c r="N61" s="129">
        <f t="shared" si="26"/>
        <v>0.81938679876859966</v>
      </c>
      <c r="O61" s="129">
        <f t="shared" si="27"/>
        <v>0.96877314814822357</v>
      </c>
      <c r="P61" s="129">
        <f t="shared" si="28"/>
        <v>0.14623306492077903</v>
      </c>
      <c r="Q61" s="114">
        <f t="shared" si="29"/>
        <v>41.319832170156204</v>
      </c>
      <c r="R61" s="5" t="str">
        <f t="shared" si="20"/>
        <v>Sims</v>
      </c>
      <c r="S61" s="11"/>
      <c r="X61" s="11"/>
      <c r="Y61" s="11"/>
      <c r="Z61" s="11"/>
    </row>
    <row r="62" spans="1:26" ht="15" customHeight="1">
      <c r="A62" s="75"/>
      <c r="B62" s="12">
        <f t="shared" si="21"/>
        <v>31</v>
      </c>
      <c r="C62" s="7" t="s">
        <v>955</v>
      </c>
      <c r="D62" s="13" t="s">
        <v>1045</v>
      </c>
      <c r="E62" s="12" t="s">
        <v>1032</v>
      </c>
      <c r="F62" s="13" t="s">
        <v>173</v>
      </c>
      <c r="G62" s="13" t="s">
        <v>1046</v>
      </c>
      <c r="H62" s="7" t="s">
        <v>1006</v>
      </c>
      <c r="I62" s="13" t="s">
        <v>1007</v>
      </c>
      <c r="J62" s="115">
        <v>4022.7542372881353</v>
      </c>
      <c r="K62" s="116">
        <v>89</v>
      </c>
      <c r="L62" s="116">
        <v>30.183333333407063</v>
      </c>
      <c r="M62" s="116">
        <v>600.81666666659294</v>
      </c>
      <c r="N62" s="129">
        <f t="shared" si="26"/>
        <v>0.74674870647415703</v>
      </c>
      <c r="O62" s="129">
        <f t="shared" si="27"/>
        <v>0.95807870370360126</v>
      </c>
      <c r="P62" s="129">
        <f t="shared" si="28"/>
        <v>0.1290197878663551</v>
      </c>
      <c r="Q62" s="114">
        <f t="shared" si="29"/>
        <v>45.199485812226243</v>
      </c>
      <c r="R62" s="5" t="str">
        <f t="shared" si="20"/>
        <v>Sims</v>
      </c>
      <c r="S62" s="11"/>
      <c r="X62" s="11"/>
      <c r="Y62" s="11"/>
      <c r="Z62" s="11"/>
    </row>
    <row r="63" spans="1:26" ht="15" customHeight="1">
      <c r="A63" s="75"/>
      <c r="B63" s="12">
        <f t="shared" si="21"/>
        <v>32</v>
      </c>
      <c r="C63" s="7" t="s">
        <v>955</v>
      </c>
      <c r="D63" s="13" t="s">
        <v>1047</v>
      </c>
      <c r="E63" s="12" t="s">
        <v>1032</v>
      </c>
      <c r="F63" s="13" t="s">
        <v>1035</v>
      </c>
      <c r="G63" s="13" t="s">
        <v>1046</v>
      </c>
      <c r="H63" s="7" t="s">
        <v>1006</v>
      </c>
      <c r="I63" s="13" t="s">
        <v>1007</v>
      </c>
      <c r="J63" s="115">
        <v>284.8940677966101</v>
      </c>
      <c r="K63" s="116">
        <v>14</v>
      </c>
      <c r="L63" s="116">
        <v>672.83333333360497</v>
      </c>
      <c r="M63" s="116">
        <v>33.166666666395031</v>
      </c>
      <c r="N63" s="129">
        <f t="shared" si="26"/>
        <v>2.0383402086864056E-2</v>
      </c>
      <c r="O63" s="129">
        <f t="shared" si="27"/>
        <v>6.5509259258881986E-2</v>
      </c>
      <c r="P63" s="129">
        <f t="shared" si="28"/>
        <v>0.29681978798757513</v>
      </c>
      <c r="Q63" s="114">
        <f t="shared" si="29"/>
        <v>20.349576271186436</v>
      </c>
      <c r="R63" s="5" t="b">
        <f t="shared" si="20"/>
        <v>0</v>
      </c>
      <c r="S63" s="11"/>
      <c r="X63" s="11"/>
      <c r="Y63" s="11"/>
      <c r="Z63" s="11"/>
    </row>
    <row r="64" spans="1:26" ht="15" customHeight="1">
      <c r="A64" s="75"/>
      <c r="B64" s="12">
        <f t="shared" si="21"/>
        <v>33</v>
      </c>
      <c r="C64" s="7" t="s">
        <v>955</v>
      </c>
      <c r="D64" s="13" t="s">
        <v>1048</v>
      </c>
      <c r="E64" s="12" t="s">
        <v>1032</v>
      </c>
      <c r="F64" s="13" t="s">
        <v>1035</v>
      </c>
      <c r="G64" s="13" t="s">
        <v>1046</v>
      </c>
      <c r="H64" s="7" t="s">
        <v>1006</v>
      </c>
      <c r="I64" s="13" t="s">
        <v>1007</v>
      </c>
      <c r="J64" s="115">
        <v>6295.3474576271192</v>
      </c>
      <c r="K64" s="116">
        <v>115</v>
      </c>
      <c r="L64" s="116">
        <v>10.466666666732635</v>
      </c>
      <c r="M64" s="116">
        <v>594.53333333326736</v>
      </c>
      <c r="N64" s="129">
        <f t="shared" si="26"/>
        <v>0.91657810839484222</v>
      </c>
      <c r="O64" s="129">
        <f t="shared" si="27"/>
        <v>0.98546296296287139</v>
      </c>
      <c r="P64" s="129">
        <f t="shared" si="28"/>
        <v>0.16207836136429205</v>
      </c>
      <c r="Q64" s="114">
        <f t="shared" si="29"/>
        <v>54.742151805453211</v>
      </c>
      <c r="R64" s="5" t="str">
        <f t="shared" si="20"/>
        <v>Sims</v>
      </c>
      <c r="S64" s="11"/>
      <c r="V64" s="4"/>
      <c r="X64" s="11"/>
      <c r="Y64" s="11"/>
      <c r="Z64" s="11"/>
    </row>
    <row r="65" spans="1:26" ht="15" customHeight="1">
      <c r="A65" s="75"/>
      <c r="B65" s="12">
        <f t="shared" si="21"/>
        <v>34</v>
      </c>
      <c r="C65" s="7" t="s">
        <v>955</v>
      </c>
      <c r="D65" s="13" t="s">
        <v>1049</v>
      </c>
      <c r="E65" s="12" t="s">
        <v>1032</v>
      </c>
      <c r="F65" s="13" t="s">
        <v>1035</v>
      </c>
      <c r="G65" s="13" t="s">
        <v>1050</v>
      </c>
      <c r="H65" s="7" t="s">
        <v>1006</v>
      </c>
      <c r="I65" s="13" t="s">
        <v>1007</v>
      </c>
      <c r="J65" s="115">
        <v>760.16949152542384</v>
      </c>
      <c r="K65" s="116">
        <v>17</v>
      </c>
      <c r="L65" s="116">
        <v>656.38333333324408</v>
      </c>
      <c r="M65" s="116">
        <v>46.616666666755918</v>
      </c>
      <c r="N65" s="129">
        <f t="shared" si="26"/>
        <v>2.5245650075492791E-2</v>
      </c>
      <c r="O65" s="129">
        <f t="shared" si="27"/>
        <v>8.8356481481605437E-2</v>
      </c>
      <c r="P65" s="129">
        <f t="shared" si="28"/>
        <v>0.26722556981885487</v>
      </c>
      <c r="Q65" s="114">
        <f t="shared" si="29"/>
        <v>44.715852442671988</v>
      </c>
      <c r="R65" s="5" t="b">
        <f t="shared" si="20"/>
        <v>0</v>
      </c>
      <c r="S65" s="11"/>
      <c r="X65" s="11"/>
      <c r="Y65" s="11"/>
      <c r="Z65" s="11"/>
    </row>
    <row r="66" spans="1:26" s="4" customFormat="1" ht="15" customHeight="1">
      <c r="A66" s="75"/>
      <c r="B66" s="12">
        <f t="shared" si="21"/>
        <v>35</v>
      </c>
      <c r="C66" s="7" t="s">
        <v>955</v>
      </c>
      <c r="D66" s="13" t="s">
        <v>1051</v>
      </c>
      <c r="E66" s="12" t="s">
        <v>1032</v>
      </c>
      <c r="F66" s="13" t="s">
        <v>1035</v>
      </c>
      <c r="G66" s="13" t="s">
        <v>1050</v>
      </c>
      <c r="H66" s="7" t="s">
        <v>1006</v>
      </c>
      <c r="I66" s="13" t="s">
        <v>1007</v>
      </c>
      <c r="J66" s="115">
        <v>5072.6355932203387</v>
      </c>
      <c r="K66" s="116">
        <v>104</v>
      </c>
      <c r="L66" s="116">
        <v>8.8333333331393078</v>
      </c>
      <c r="M66" s="116">
        <v>607.16666666686069</v>
      </c>
      <c r="N66" s="129">
        <f t="shared" si="26"/>
        <v>0.92171344165594238</v>
      </c>
      <c r="O66" s="129">
        <f t="shared" si="27"/>
        <v>0.98773148148175094</v>
      </c>
      <c r="P66" s="129">
        <f t="shared" si="28"/>
        <v>0.14623857511127952</v>
      </c>
      <c r="Q66" s="114">
        <f t="shared" si="29"/>
        <v>48.775342242503257</v>
      </c>
      <c r="R66" s="5" t="str">
        <f t="shared" si="20"/>
        <v>Sims</v>
      </c>
      <c r="S66" s="11"/>
      <c r="T66" s="14"/>
      <c r="U66" s="14"/>
      <c r="V66" s="11"/>
      <c r="W66" s="14"/>
      <c r="X66" s="11"/>
      <c r="Y66" s="11"/>
      <c r="Z66" s="11"/>
    </row>
    <row r="67" spans="1:26" ht="15" customHeight="1">
      <c r="A67" s="76"/>
      <c r="B67" s="12">
        <f t="shared" si="21"/>
        <v>36</v>
      </c>
      <c r="C67" s="7" t="s">
        <v>955</v>
      </c>
      <c r="D67" s="13" t="s">
        <v>1052</v>
      </c>
      <c r="E67" s="12" t="s">
        <v>1032</v>
      </c>
      <c r="F67" s="13" t="s">
        <v>1035</v>
      </c>
      <c r="G67" s="13" t="s">
        <v>1053</v>
      </c>
      <c r="H67" s="7" t="s">
        <v>1006</v>
      </c>
      <c r="I67" s="13" t="s">
        <v>1007</v>
      </c>
      <c r="J67" s="115">
        <v>3300.3644067796613</v>
      </c>
      <c r="K67" s="116">
        <v>72</v>
      </c>
      <c r="L67" s="116">
        <v>611.16666666674428</v>
      </c>
      <c r="M67" s="116">
        <v>36.833333333255723</v>
      </c>
      <c r="N67" s="129">
        <f t="shared" si="26"/>
        <v>0.10539155891679701</v>
      </c>
      <c r="O67" s="129">
        <f t="shared" si="27"/>
        <v>0.1511574074072996</v>
      </c>
      <c r="P67" s="129">
        <f t="shared" si="28"/>
        <v>0.66156202143998177</v>
      </c>
      <c r="Q67" s="114">
        <f t="shared" si="29"/>
        <v>45.838394538606408</v>
      </c>
      <c r="R67" s="5" t="b">
        <f t="shared" si="20"/>
        <v>0</v>
      </c>
      <c r="S67" s="11"/>
      <c r="T67" s="4"/>
      <c r="U67" s="4"/>
      <c r="V67" s="11"/>
      <c r="W67" s="4"/>
      <c r="X67" s="11"/>
      <c r="Y67" s="11"/>
      <c r="Z67" s="11"/>
    </row>
    <row r="68" spans="1:26" s="11" customFormat="1" ht="15" customHeight="1">
      <c r="A68" s="76"/>
      <c r="B68" s="12">
        <f t="shared" si="21"/>
        <v>37</v>
      </c>
      <c r="C68" s="7" t="s">
        <v>955</v>
      </c>
      <c r="D68" s="13" t="s">
        <v>1054</v>
      </c>
      <c r="E68" s="12" t="s">
        <v>1032</v>
      </c>
      <c r="F68" s="13" t="s">
        <v>1035</v>
      </c>
      <c r="G68" s="13" t="s">
        <v>1053</v>
      </c>
      <c r="H68" s="7" t="s">
        <v>1006</v>
      </c>
      <c r="I68" s="13" t="s">
        <v>1007</v>
      </c>
      <c r="J68" s="115">
        <v>4636.1398305084749</v>
      </c>
      <c r="K68" s="116">
        <v>95</v>
      </c>
      <c r="L68" s="116">
        <v>11.800000000046566</v>
      </c>
      <c r="M68" s="116">
        <v>613.19999999995343</v>
      </c>
      <c r="N68" s="129">
        <f t="shared" si="26"/>
        <v>0.88951310861384436</v>
      </c>
      <c r="O68" s="129">
        <f t="shared" si="27"/>
        <v>0.98361111111104649</v>
      </c>
      <c r="P68" s="129">
        <f t="shared" si="28"/>
        <v>0.13414289748659453</v>
      </c>
      <c r="Q68" s="114">
        <f t="shared" si="29"/>
        <v>48.801471900089211</v>
      </c>
      <c r="R68" s="5" t="str">
        <f t="shared" si="20"/>
        <v>Sims</v>
      </c>
      <c r="T68" s="14"/>
      <c r="U68" s="14"/>
      <c r="W68" s="14"/>
    </row>
    <row r="69" spans="1:26" s="11" customFormat="1" ht="15" customHeight="1">
      <c r="A69" s="76"/>
      <c r="B69" s="12">
        <f t="shared" si="21"/>
        <v>38</v>
      </c>
      <c r="C69" s="7" t="s">
        <v>955</v>
      </c>
      <c r="D69" s="13" t="s">
        <v>1055</v>
      </c>
      <c r="E69" s="12" t="s">
        <v>1032</v>
      </c>
      <c r="F69" s="13" t="s">
        <v>1035</v>
      </c>
      <c r="G69" s="13" t="s">
        <v>1053</v>
      </c>
      <c r="H69" s="7" t="s">
        <v>1006</v>
      </c>
      <c r="I69" s="13" t="s">
        <v>1007</v>
      </c>
      <c r="J69" s="115">
        <v>4173.9872881355941</v>
      </c>
      <c r="K69" s="116">
        <v>94</v>
      </c>
      <c r="L69" s="116">
        <v>41.216666666558012</v>
      </c>
      <c r="M69" s="116">
        <v>584.78333333344199</v>
      </c>
      <c r="N69" s="129">
        <f t="shared" si="26"/>
        <v>0.69518057438734526</v>
      </c>
      <c r="O69" s="129">
        <f t="shared" si="27"/>
        <v>0.94275462962978052</v>
      </c>
      <c r="P69" s="129">
        <f t="shared" si="28"/>
        <v>0.13848307019910863</v>
      </c>
      <c r="Q69" s="114">
        <f t="shared" si="29"/>
        <v>44.404120086548872</v>
      </c>
      <c r="R69" s="5" t="str">
        <f t="shared" si="20"/>
        <v>Sims</v>
      </c>
    </row>
    <row r="70" spans="1:26" s="11" customFormat="1" ht="15" customHeight="1">
      <c r="A70" s="76"/>
      <c r="B70" s="12">
        <f t="shared" si="21"/>
        <v>39</v>
      </c>
      <c r="C70" s="7" t="s">
        <v>955</v>
      </c>
      <c r="D70" s="13" t="s">
        <v>1056</v>
      </c>
      <c r="E70" s="12" t="s">
        <v>1032</v>
      </c>
      <c r="F70" s="13" t="s">
        <v>1035</v>
      </c>
      <c r="G70" s="13" t="s">
        <v>1053</v>
      </c>
      <c r="H70" s="7" t="s">
        <v>1006</v>
      </c>
      <c r="I70" s="13" t="s">
        <v>1007</v>
      </c>
      <c r="J70" s="115">
        <v>4302.8347457627124</v>
      </c>
      <c r="K70" s="116">
        <v>100</v>
      </c>
      <c r="L70" s="116">
        <v>37.799999999930151</v>
      </c>
      <c r="M70" s="116">
        <v>582.20000000006985</v>
      </c>
      <c r="N70" s="129">
        <f t="shared" si="26"/>
        <v>0.72568940493505585</v>
      </c>
      <c r="O70" s="129">
        <f t="shared" si="27"/>
        <v>0.94750000000009704</v>
      </c>
      <c r="P70" s="129">
        <f t="shared" si="28"/>
        <v>0.14658457930224239</v>
      </c>
      <c r="Q70" s="114">
        <f t="shared" si="29"/>
        <v>43.02834745762712</v>
      </c>
      <c r="R70" s="5" t="str">
        <f t="shared" si="20"/>
        <v>Sims</v>
      </c>
    </row>
    <row r="71" spans="1:26" s="11" customFormat="1" ht="15" customHeight="1">
      <c r="A71" s="76"/>
      <c r="B71" s="12">
        <f t="shared" si="21"/>
        <v>40</v>
      </c>
      <c r="C71" s="7" t="s">
        <v>955</v>
      </c>
      <c r="D71" s="13" t="s">
        <v>1057</v>
      </c>
      <c r="E71" s="12" t="s">
        <v>1032</v>
      </c>
      <c r="F71" s="13" t="s">
        <v>1035</v>
      </c>
      <c r="G71" s="13" t="s">
        <v>1053</v>
      </c>
      <c r="H71" s="7" t="s">
        <v>1006</v>
      </c>
      <c r="I71" s="13" t="s">
        <v>1007</v>
      </c>
      <c r="J71" s="115">
        <v>3583.1906779661017</v>
      </c>
      <c r="K71" s="116">
        <v>80</v>
      </c>
      <c r="L71" s="116">
        <v>42.216666666674428</v>
      </c>
      <c r="M71" s="116">
        <v>597.78333333332557</v>
      </c>
      <c r="N71" s="129">
        <f t="shared" si="26"/>
        <v>0.65457520796395685</v>
      </c>
      <c r="O71" s="129">
        <f t="shared" si="27"/>
        <v>0.94136574074072998</v>
      </c>
      <c r="P71" s="129">
        <f t="shared" si="28"/>
        <v>0.11803181941131766</v>
      </c>
      <c r="Q71" s="114">
        <f t="shared" si="29"/>
        <v>44.789883474576271</v>
      </c>
      <c r="R71" s="5" t="str">
        <f t="shared" si="20"/>
        <v>Sims</v>
      </c>
    </row>
    <row r="72" spans="1:26" s="11" customFormat="1" ht="15" customHeight="1">
      <c r="A72" s="76"/>
      <c r="B72" s="12">
        <f t="shared" si="21"/>
        <v>41</v>
      </c>
      <c r="C72" s="7" t="s">
        <v>955</v>
      </c>
      <c r="D72" s="13" t="s">
        <v>1058</v>
      </c>
      <c r="E72" s="12" t="s">
        <v>1032</v>
      </c>
      <c r="F72" s="13" t="s">
        <v>1035</v>
      </c>
      <c r="G72" s="13" t="s">
        <v>1059</v>
      </c>
      <c r="H72" s="7" t="s">
        <v>1006</v>
      </c>
      <c r="I72" s="13" t="s">
        <v>1007</v>
      </c>
      <c r="J72" s="115">
        <v>4975.2669491525421</v>
      </c>
      <c r="K72" s="116">
        <v>99</v>
      </c>
      <c r="L72" s="116">
        <v>133.71666666632518</v>
      </c>
      <c r="M72" s="116">
        <v>487.28333333367482</v>
      </c>
      <c r="N72" s="129">
        <f t="shared" si="26"/>
        <v>0.42541001217565827</v>
      </c>
      <c r="O72" s="129">
        <f t="shared" si="27"/>
        <v>0.81428240740788171</v>
      </c>
      <c r="P72" s="129">
        <f t="shared" si="28"/>
        <v>0.16886033487780483</v>
      </c>
      <c r="Q72" s="114">
        <f t="shared" si="29"/>
        <v>50.255221708611536</v>
      </c>
      <c r="R72" s="5" t="b">
        <f t="shared" si="20"/>
        <v>0</v>
      </c>
    </row>
    <row r="73" spans="1:26" s="11" customFormat="1" ht="15" customHeight="1">
      <c r="A73" s="76"/>
      <c r="B73" s="12">
        <f t="shared" si="21"/>
        <v>42</v>
      </c>
      <c r="C73" s="7" t="s">
        <v>955</v>
      </c>
      <c r="D73" s="13" t="s">
        <v>1060</v>
      </c>
      <c r="E73" s="12" t="s">
        <v>1032</v>
      </c>
      <c r="F73" s="13" t="s">
        <v>1035</v>
      </c>
      <c r="G73" s="13" t="s">
        <v>1059</v>
      </c>
      <c r="H73" s="7" t="s">
        <v>1006</v>
      </c>
      <c r="I73" s="13" t="s">
        <v>1007</v>
      </c>
      <c r="J73" s="115">
        <v>4597.9703389830511</v>
      </c>
      <c r="K73" s="116">
        <v>102</v>
      </c>
      <c r="L73" s="116">
        <v>12.849999999976717</v>
      </c>
      <c r="M73" s="116">
        <v>605.15000000002328</v>
      </c>
      <c r="N73" s="129">
        <f t="shared" si="26"/>
        <v>0.88811493252085916</v>
      </c>
      <c r="O73" s="129">
        <f t="shared" si="27"/>
        <v>0.98215277777781007</v>
      </c>
      <c r="P73" s="129">
        <f t="shared" si="28"/>
        <v>0.14424096726295219</v>
      </c>
      <c r="Q73" s="114">
        <f t="shared" si="29"/>
        <v>45.078140578265206</v>
      </c>
      <c r="R73" s="5" t="str">
        <f t="shared" si="20"/>
        <v>Sims</v>
      </c>
    </row>
    <row r="74" spans="1:26" s="11" customFormat="1" ht="15" customHeight="1">
      <c r="A74" s="76"/>
      <c r="B74" s="12">
        <f t="shared" si="21"/>
        <v>43</v>
      </c>
      <c r="C74" s="7" t="s">
        <v>955</v>
      </c>
      <c r="D74" s="13" t="s">
        <v>1061</v>
      </c>
      <c r="E74" s="12" t="s">
        <v>1032</v>
      </c>
      <c r="F74" s="13" t="s">
        <v>1035</v>
      </c>
      <c r="G74" s="13" t="s">
        <v>1059</v>
      </c>
      <c r="H74" s="7" t="s">
        <v>1006</v>
      </c>
      <c r="I74" s="13" t="s">
        <v>1007</v>
      </c>
      <c r="J74" s="115">
        <v>7324.8813559322034</v>
      </c>
      <c r="K74" s="116">
        <v>114</v>
      </c>
      <c r="L74" s="116">
        <v>26.033333333325572</v>
      </c>
      <c r="M74" s="116">
        <v>579.96666666667443</v>
      </c>
      <c r="N74" s="129">
        <f t="shared" si="26"/>
        <v>0.8140918828850725</v>
      </c>
      <c r="O74" s="129">
        <f t="shared" si="27"/>
        <v>0.96384259259260341</v>
      </c>
      <c r="P74" s="129">
        <f t="shared" si="28"/>
        <v>0.16427301983764647</v>
      </c>
      <c r="Q74" s="114">
        <f t="shared" si="29"/>
        <v>64.253345227475464</v>
      </c>
      <c r="R74" s="5" t="str">
        <f t="shared" si="20"/>
        <v>Sims</v>
      </c>
      <c r="V74" s="14"/>
    </row>
    <row r="75" spans="1:26" s="11" customFormat="1" ht="15" customHeight="1">
      <c r="A75" s="76"/>
      <c r="B75" s="12">
        <f t="shared" si="21"/>
        <v>44</v>
      </c>
      <c r="C75" s="7" t="s">
        <v>955</v>
      </c>
      <c r="D75" s="13" t="s">
        <v>1062</v>
      </c>
      <c r="E75" s="12" t="s">
        <v>1032</v>
      </c>
      <c r="F75" s="13" t="s">
        <v>1035</v>
      </c>
      <c r="G75" s="13" t="s">
        <v>1059</v>
      </c>
      <c r="H75" s="7" t="s">
        <v>1006</v>
      </c>
      <c r="I75" s="13" t="s">
        <v>1007</v>
      </c>
      <c r="J75" s="115">
        <v>3011.8093220338988</v>
      </c>
      <c r="K75" s="116">
        <v>43</v>
      </c>
      <c r="L75" s="116">
        <v>639.31666666665114</v>
      </c>
      <c r="M75" s="116">
        <v>37.683333333348855</v>
      </c>
      <c r="N75" s="129">
        <f t="shared" si="26"/>
        <v>6.3020591611911841E-2</v>
      </c>
      <c r="O75" s="129">
        <f t="shared" si="27"/>
        <v>0.11206018518520675</v>
      </c>
      <c r="P75" s="129">
        <f t="shared" si="28"/>
        <v>0.53294773807054407</v>
      </c>
      <c r="Q75" s="114">
        <f t="shared" si="29"/>
        <v>70.042077256602298</v>
      </c>
      <c r="R75" s="5" t="b">
        <f t="shared" si="20"/>
        <v>0</v>
      </c>
      <c r="V75" s="14"/>
    </row>
    <row r="76" spans="1:26" ht="15" customHeight="1">
      <c r="A76" s="76"/>
      <c r="B76" s="12">
        <f t="shared" si="21"/>
        <v>45</v>
      </c>
      <c r="C76" s="7" t="s">
        <v>955</v>
      </c>
      <c r="D76" s="13" t="s">
        <v>1063</v>
      </c>
      <c r="E76" s="12" t="s">
        <v>1032</v>
      </c>
      <c r="F76" s="13" t="s">
        <v>1035</v>
      </c>
      <c r="G76" s="13" t="s">
        <v>1059</v>
      </c>
      <c r="H76" s="7" t="s">
        <v>1006</v>
      </c>
      <c r="I76" s="13" t="s">
        <v>1007</v>
      </c>
      <c r="J76" s="115">
        <v>5895.5127118644059</v>
      </c>
      <c r="K76" s="116">
        <v>99</v>
      </c>
      <c r="L76" s="116">
        <v>49.233333333162591</v>
      </c>
      <c r="M76" s="116">
        <v>571.76666666683741</v>
      </c>
      <c r="N76" s="129">
        <f t="shared" si="26"/>
        <v>0.66786597706395789</v>
      </c>
      <c r="O76" s="129">
        <f t="shared" si="27"/>
        <v>0.93162037037060752</v>
      </c>
      <c r="P76" s="129">
        <f t="shared" si="28"/>
        <v>0.14759230731000567</v>
      </c>
      <c r="Q76" s="114">
        <f t="shared" si="29"/>
        <v>59.55063345317582</v>
      </c>
      <c r="R76" s="5" t="str">
        <f t="shared" si="20"/>
        <v>Sims</v>
      </c>
      <c r="S76" s="11"/>
      <c r="T76" s="11"/>
      <c r="U76" s="11"/>
      <c r="W76" s="11"/>
      <c r="X76" s="11"/>
      <c r="Y76" s="11"/>
      <c r="Z76" s="11"/>
    </row>
    <row r="77" spans="1:26" ht="15" customHeight="1">
      <c r="A77" s="76"/>
      <c r="B77" s="12">
        <f t="shared" si="21"/>
        <v>46</v>
      </c>
      <c r="C77" s="7" t="s">
        <v>955</v>
      </c>
      <c r="D77" s="13" t="s">
        <v>1064</v>
      </c>
      <c r="E77" s="12" t="s">
        <v>1032</v>
      </c>
      <c r="F77" s="13" t="s">
        <v>1035</v>
      </c>
      <c r="G77" s="13" t="s">
        <v>1059</v>
      </c>
      <c r="H77" s="7" t="s">
        <v>1006</v>
      </c>
      <c r="I77" s="13" t="s">
        <v>1007</v>
      </c>
      <c r="J77" s="115">
        <v>4139.2796610169489</v>
      </c>
      <c r="K77" s="116">
        <v>84</v>
      </c>
      <c r="L77" s="116">
        <v>42.299999999755528</v>
      </c>
      <c r="M77" s="116">
        <v>593.70000000024447</v>
      </c>
      <c r="N77" s="129">
        <f t="shared" si="26"/>
        <v>0.6650831353932114</v>
      </c>
      <c r="O77" s="129">
        <f t="shared" si="27"/>
        <v>0.94125000000033954</v>
      </c>
      <c r="P77" s="129">
        <f t="shared" si="28"/>
        <v>0.12394864984501948</v>
      </c>
      <c r="Q77" s="114">
        <f t="shared" si="29"/>
        <v>49.277138821630345</v>
      </c>
      <c r="R77" s="5" t="str">
        <f t="shared" si="20"/>
        <v>Sims</v>
      </c>
      <c r="S77" s="11"/>
      <c r="X77" s="11"/>
      <c r="Y77" s="11"/>
      <c r="Z77" s="11"/>
    </row>
    <row r="78" spans="1:26" ht="15" customHeight="1">
      <c r="A78" s="76"/>
      <c r="B78" s="12">
        <f t="shared" si="21"/>
        <v>47</v>
      </c>
      <c r="C78" s="7" t="s">
        <v>955</v>
      </c>
      <c r="D78" s="13" t="s">
        <v>1065</v>
      </c>
      <c r="E78" s="12" t="s">
        <v>1032</v>
      </c>
      <c r="F78" s="13" t="s">
        <v>1035</v>
      </c>
      <c r="G78" s="13" t="s">
        <v>1059</v>
      </c>
      <c r="H78" s="7" t="s">
        <v>1006</v>
      </c>
      <c r="I78" s="13" t="s">
        <v>1007</v>
      </c>
      <c r="J78" s="115">
        <v>4543.0296610169498</v>
      </c>
      <c r="K78" s="116">
        <v>101</v>
      </c>
      <c r="L78" s="116">
        <v>37.799999999755528</v>
      </c>
      <c r="M78" s="116">
        <v>581.20000000024447</v>
      </c>
      <c r="N78" s="129">
        <f t="shared" si="26"/>
        <v>0.72766570605315484</v>
      </c>
      <c r="O78" s="129">
        <f t="shared" si="27"/>
        <v>0.94750000000033952</v>
      </c>
      <c r="P78" s="129">
        <f t="shared" si="28"/>
        <v>0.14805042509522692</v>
      </c>
      <c r="Q78" s="114">
        <f t="shared" si="29"/>
        <v>44.980491693237127</v>
      </c>
      <c r="R78" s="5" t="str">
        <f t="shared" si="20"/>
        <v>Sims</v>
      </c>
      <c r="S78" s="11"/>
      <c r="X78" s="11"/>
      <c r="Y78" s="11"/>
      <c r="Z78" s="11"/>
    </row>
    <row r="79" spans="1:26" ht="15" customHeight="1">
      <c r="A79" s="76"/>
      <c r="B79" s="12">
        <f t="shared" si="21"/>
        <v>48</v>
      </c>
      <c r="C79" s="7" t="s">
        <v>955</v>
      </c>
      <c r="D79" s="13" t="s">
        <v>1066</v>
      </c>
      <c r="E79" s="12" t="s">
        <v>1032</v>
      </c>
      <c r="F79" s="13" t="s">
        <v>1035</v>
      </c>
      <c r="G79" s="13" t="s">
        <v>1059</v>
      </c>
      <c r="H79" s="7" t="s">
        <v>1006</v>
      </c>
      <c r="I79" s="13" t="s">
        <v>1007</v>
      </c>
      <c r="J79" s="115">
        <v>4676.1991525423728</v>
      </c>
      <c r="K79" s="116">
        <v>101</v>
      </c>
      <c r="L79" s="116">
        <v>15.616666666755918</v>
      </c>
      <c r="M79" s="116">
        <v>603.38333333324408</v>
      </c>
      <c r="N79" s="129">
        <f t="shared" si="26"/>
        <v>0.86608546519870833</v>
      </c>
      <c r="O79" s="129">
        <f t="shared" si="27"/>
        <v>0.97831018518506119</v>
      </c>
      <c r="P79" s="129">
        <f t="shared" si="28"/>
        <v>0.14338783332940794</v>
      </c>
      <c r="Q79" s="114">
        <f t="shared" si="29"/>
        <v>46.299001510320522</v>
      </c>
      <c r="R79" s="5" t="str">
        <f t="shared" si="20"/>
        <v>Sims</v>
      </c>
      <c r="S79" s="11"/>
      <c r="X79" s="11"/>
      <c r="Y79" s="11"/>
      <c r="Z79" s="11"/>
    </row>
    <row r="80" spans="1:26" ht="15" customHeight="1">
      <c r="A80" s="76"/>
      <c r="B80" s="12">
        <f t="shared" si="21"/>
        <v>49</v>
      </c>
      <c r="C80" s="7" t="s">
        <v>955</v>
      </c>
      <c r="D80" s="13" t="s">
        <v>1067</v>
      </c>
      <c r="E80" s="12" t="s">
        <v>992</v>
      </c>
      <c r="F80" s="13" t="s">
        <v>1025</v>
      </c>
      <c r="G80" s="13" t="s">
        <v>1068</v>
      </c>
      <c r="H80" s="7" t="s">
        <v>1006</v>
      </c>
      <c r="I80" s="13" t="s">
        <v>1007</v>
      </c>
      <c r="J80" s="115">
        <v>4592.3728813559319</v>
      </c>
      <c r="K80" s="116">
        <v>92</v>
      </c>
      <c r="L80" s="116">
        <v>24.049999999813735</v>
      </c>
      <c r="M80" s="116">
        <v>603.95000000018626</v>
      </c>
      <c r="N80" s="129">
        <f t="shared" si="26"/>
        <v>0.79276174063031157</v>
      </c>
      <c r="O80" s="129">
        <f t="shared" si="27"/>
        <v>0.9665972222224809</v>
      </c>
      <c r="P80" s="129">
        <f t="shared" si="28"/>
        <v>0.13219340469857802</v>
      </c>
      <c r="Q80" s="114">
        <f t="shared" si="29"/>
        <v>49.917096536477523</v>
      </c>
      <c r="R80" s="5" t="str">
        <f t="shared" si="20"/>
        <v>Sims</v>
      </c>
      <c r="S80" s="11"/>
      <c r="X80" s="11"/>
      <c r="Y80" s="11"/>
      <c r="Z80" s="11"/>
    </row>
    <row r="81" spans="1:26" ht="15" customHeight="1">
      <c r="A81" s="76"/>
      <c r="B81" s="12">
        <f t="shared" si="21"/>
        <v>50</v>
      </c>
      <c r="C81" s="7" t="s">
        <v>955</v>
      </c>
      <c r="D81" s="13" t="s">
        <v>1069</v>
      </c>
      <c r="E81" s="12" t="s">
        <v>992</v>
      </c>
      <c r="F81" s="13" t="s">
        <v>1025</v>
      </c>
      <c r="G81" s="13" t="s">
        <v>1068</v>
      </c>
      <c r="H81" s="7" t="s">
        <v>1006</v>
      </c>
      <c r="I81" s="13" t="s">
        <v>1007</v>
      </c>
      <c r="J81" s="115">
        <v>5843.3898305084749</v>
      </c>
      <c r="K81" s="116">
        <v>98</v>
      </c>
      <c r="L81" s="116">
        <v>32.049999999871943</v>
      </c>
      <c r="M81" s="116">
        <v>589.95000000012806</v>
      </c>
      <c r="N81" s="129">
        <f t="shared" si="26"/>
        <v>0.75355632449132259</v>
      </c>
      <c r="O81" s="129">
        <f t="shared" si="27"/>
        <v>0.955486111111289</v>
      </c>
      <c r="P81" s="129">
        <f t="shared" si="28"/>
        <v>0.14245221309685552</v>
      </c>
      <c r="Q81" s="114">
        <f t="shared" si="29"/>
        <v>59.626426841923212</v>
      </c>
      <c r="R81" s="5" t="str">
        <f t="shared" si="20"/>
        <v>Sims</v>
      </c>
      <c r="S81" s="11"/>
      <c r="X81" s="11"/>
      <c r="Y81" s="11"/>
      <c r="Z81" s="11"/>
    </row>
    <row r="82" spans="1:26" ht="15" customHeight="1">
      <c r="A82" s="76"/>
      <c r="B82" s="12">
        <f t="shared" si="21"/>
        <v>51</v>
      </c>
      <c r="C82" s="7" t="s">
        <v>955</v>
      </c>
      <c r="D82" s="13" t="s">
        <v>1070</v>
      </c>
      <c r="E82" s="12" t="s">
        <v>992</v>
      </c>
      <c r="F82" s="13" t="s">
        <v>1025</v>
      </c>
      <c r="G82" s="13" t="s">
        <v>1068</v>
      </c>
      <c r="H82" s="7" t="s">
        <v>1006</v>
      </c>
      <c r="I82" s="13" t="s">
        <v>1007</v>
      </c>
      <c r="J82" s="115">
        <v>0</v>
      </c>
      <c r="K82" s="116">
        <v>0</v>
      </c>
      <c r="L82" s="116">
        <v>0</v>
      </c>
      <c r="M82" s="116">
        <v>0</v>
      </c>
      <c r="N82" s="129">
        <v>0</v>
      </c>
      <c r="O82" s="129">
        <v>0</v>
      </c>
      <c r="P82" s="129">
        <v>0</v>
      </c>
      <c r="Q82" s="114">
        <v>0</v>
      </c>
      <c r="R82" s="5" t="b">
        <f t="shared" si="20"/>
        <v>0</v>
      </c>
      <c r="S82" s="11"/>
      <c r="X82" s="11"/>
      <c r="Y82" s="11"/>
      <c r="Z82" s="11"/>
    </row>
    <row r="83" spans="1:26" ht="15" customHeight="1">
      <c r="A83" s="76"/>
      <c r="B83" s="12">
        <f t="shared" si="21"/>
        <v>52</v>
      </c>
      <c r="C83" s="7" t="s">
        <v>955</v>
      </c>
      <c r="D83" s="13" t="s">
        <v>1071</v>
      </c>
      <c r="E83" s="12" t="s">
        <v>992</v>
      </c>
      <c r="F83" s="13" t="s">
        <v>1025</v>
      </c>
      <c r="G83" s="13" t="s">
        <v>1068</v>
      </c>
      <c r="H83" s="7" t="s">
        <v>1006</v>
      </c>
      <c r="I83" s="13" t="s">
        <v>1007</v>
      </c>
      <c r="J83" s="115">
        <v>6924.2796610169489</v>
      </c>
      <c r="K83" s="116">
        <v>116</v>
      </c>
      <c r="L83" s="116">
        <v>129.64999999967404</v>
      </c>
      <c r="M83" s="116">
        <v>474.35000000032596</v>
      </c>
      <c r="N83" s="129">
        <f t="shared" si="26"/>
        <v>0.47221656828884156</v>
      </c>
      <c r="O83" s="129">
        <f t="shared" si="27"/>
        <v>0.81993055555600824</v>
      </c>
      <c r="P83" s="129">
        <f t="shared" si="28"/>
        <v>0.19649360548816117</v>
      </c>
      <c r="Q83" s="114">
        <f t="shared" si="29"/>
        <v>59.692066043249561</v>
      </c>
      <c r="R83" s="5" t="b">
        <f t="shared" si="20"/>
        <v>0</v>
      </c>
      <c r="S83" s="11"/>
      <c r="X83" s="11"/>
      <c r="Y83" s="11"/>
      <c r="Z83" s="11"/>
    </row>
    <row r="84" spans="1:26" ht="15" customHeight="1">
      <c r="A84" s="76"/>
      <c r="B84" s="12">
        <f t="shared" si="21"/>
        <v>53</v>
      </c>
      <c r="C84" s="7" t="s">
        <v>969</v>
      </c>
      <c r="D84" s="13" t="s">
        <v>1072</v>
      </c>
      <c r="E84" s="12" t="s">
        <v>1032</v>
      </c>
      <c r="F84" s="13" t="s">
        <v>1035</v>
      </c>
      <c r="G84" s="13" t="s">
        <v>1073</v>
      </c>
      <c r="H84" s="7" t="s">
        <v>1006</v>
      </c>
      <c r="I84" s="13" t="s">
        <v>1007</v>
      </c>
      <c r="J84" s="115">
        <v>8935.6779661016953</v>
      </c>
      <c r="K84" s="116">
        <v>115</v>
      </c>
      <c r="L84" s="116">
        <v>9.7166666667326353</v>
      </c>
      <c r="M84" s="116">
        <v>595.28333333326736</v>
      </c>
      <c r="N84" s="129">
        <f t="shared" si="26"/>
        <v>0.92209007082672056</v>
      </c>
      <c r="O84" s="129">
        <f t="shared" si="27"/>
        <v>0.986504629629538</v>
      </c>
      <c r="P84" s="129">
        <f t="shared" si="28"/>
        <v>0.16190722012343997</v>
      </c>
      <c r="Q84" s="114">
        <f t="shared" si="29"/>
        <v>77.701547531319093</v>
      </c>
      <c r="R84" s="5" t="str">
        <f t="shared" si="20"/>
        <v>Sims</v>
      </c>
      <c r="S84" s="11"/>
      <c r="X84" s="11"/>
      <c r="Y84" s="11"/>
      <c r="Z84" s="11"/>
    </row>
    <row r="85" spans="1:26" ht="15" customHeight="1">
      <c r="A85" s="76"/>
      <c r="B85" s="12">
        <f t="shared" si="21"/>
        <v>54</v>
      </c>
      <c r="C85" s="7" t="s">
        <v>969</v>
      </c>
      <c r="D85" s="13" t="s">
        <v>1074</v>
      </c>
      <c r="E85" s="12" t="s">
        <v>1032</v>
      </c>
      <c r="F85" s="13" t="s">
        <v>1035</v>
      </c>
      <c r="G85" s="13" t="s">
        <v>1073</v>
      </c>
      <c r="H85" s="7" t="s">
        <v>1006</v>
      </c>
      <c r="I85" s="13" t="s">
        <v>1007</v>
      </c>
      <c r="J85" s="115">
        <v>3048.1355932203387</v>
      </c>
      <c r="K85" s="116">
        <v>51</v>
      </c>
      <c r="L85" s="116">
        <v>115.3666666665813</v>
      </c>
      <c r="M85" s="116">
        <v>553.6333333334187</v>
      </c>
      <c r="N85" s="129">
        <f t="shared" si="26"/>
        <v>0.30655179322796738</v>
      </c>
      <c r="O85" s="129">
        <f t="shared" si="27"/>
        <v>0.8397685185186371</v>
      </c>
      <c r="P85" s="129">
        <f t="shared" si="28"/>
        <v>8.434864104966007E-2</v>
      </c>
      <c r="Q85" s="114">
        <f t="shared" si="29"/>
        <v>59.76736457294782</v>
      </c>
      <c r="R85" s="5" t="b">
        <f t="shared" si="20"/>
        <v>0</v>
      </c>
      <c r="S85" s="11"/>
      <c r="X85" s="11"/>
      <c r="Y85" s="11"/>
      <c r="Z85" s="11"/>
    </row>
    <row r="86" spans="1:26" ht="15" customHeight="1">
      <c r="A86" s="76"/>
      <c r="B86" s="12">
        <f t="shared" si="21"/>
        <v>55</v>
      </c>
      <c r="C86" s="7" t="s">
        <v>969</v>
      </c>
      <c r="D86" s="13" t="s">
        <v>1075</v>
      </c>
      <c r="E86" s="12" t="s">
        <v>1032</v>
      </c>
      <c r="F86" s="13" t="s">
        <v>1035</v>
      </c>
      <c r="G86" s="13" t="s">
        <v>1073</v>
      </c>
      <c r="H86" s="7" t="s">
        <v>1006</v>
      </c>
      <c r="I86" s="13" t="s">
        <v>1007</v>
      </c>
      <c r="J86" s="115">
        <v>7818.0508474576263</v>
      </c>
      <c r="K86" s="116">
        <v>109</v>
      </c>
      <c r="L86" s="116">
        <v>87.516666666953824</v>
      </c>
      <c r="M86" s="116">
        <v>523.48333333304618</v>
      </c>
      <c r="N86" s="129">
        <f t="shared" si="26"/>
        <v>0.55466033415235716</v>
      </c>
      <c r="O86" s="129">
        <f t="shared" si="27"/>
        <v>0.87844907407367523</v>
      </c>
      <c r="P86" s="129">
        <f t="shared" si="28"/>
        <v>0.17233655695810085</v>
      </c>
      <c r="Q86" s="114">
        <f t="shared" si="29"/>
        <v>71.725237132638767</v>
      </c>
      <c r="R86" s="5" t="b">
        <f t="shared" si="20"/>
        <v>0</v>
      </c>
      <c r="S86" s="11"/>
      <c r="X86" s="11"/>
      <c r="Y86" s="11"/>
      <c r="Z86" s="11"/>
    </row>
    <row r="87" spans="1:26" ht="15" customHeight="1">
      <c r="A87" s="76"/>
      <c r="B87" s="12">
        <f t="shared" si="21"/>
        <v>56</v>
      </c>
      <c r="C87" s="7" t="s">
        <v>969</v>
      </c>
      <c r="D87" s="13" t="s">
        <v>1076</v>
      </c>
      <c r="E87" s="12" t="s">
        <v>1032</v>
      </c>
      <c r="F87" s="13" t="s">
        <v>1035</v>
      </c>
      <c r="G87" s="13" t="s">
        <v>1073</v>
      </c>
      <c r="H87" s="7" t="s">
        <v>1006</v>
      </c>
      <c r="I87" s="13" t="s">
        <v>1007</v>
      </c>
      <c r="J87" s="115">
        <v>8008.1779661016953</v>
      </c>
      <c r="K87" s="116">
        <v>115</v>
      </c>
      <c r="L87" s="116">
        <v>37.766666666837409</v>
      </c>
      <c r="M87" s="116">
        <v>567.23333333316259</v>
      </c>
      <c r="N87" s="129">
        <f t="shared" si="26"/>
        <v>0.75278202050974119</v>
      </c>
      <c r="O87" s="129">
        <f t="shared" si="27"/>
        <v>0.94754629629605913</v>
      </c>
      <c r="P87" s="129">
        <f t="shared" si="28"/>
        <v>0.1685640299018353</v>
      </c>
      <c r="Q87" s="114">
        <f t="shared" si="29"/>
        <v>69.636330140014749</v>
      </c>
      <c r="R87" s="5" t="str">
        <f t="shared" si="20"/>
        <v>Sims</v>
      </c>
      <c r="S87" s="11"/>
      <c r="X87" s="11"/>
      <c r="Y87" s="11"/>
      <c r="Z87" s="11"/>
    </row>
    <row r="88" spans="1:26" ht="15" customHeight="1">
      <c r="A88" s="76"/>
      <c r="B88" s="12">
        <f t="shared" si="21"/>
        <v>57</v>
      </c>
      <c r="C88" s="7" t="s">
        <v>969</v>
      </c>
      <c r="D88" s="13" t="s">
        <v>1077</v>
      </c>
      <c r="E88" s="12" t="s">
        <v>1032</v>
      </c>
      <c r="F88" s="13" t="s">
        <v>1035</v>
      </c>
      <c r="G88" s="13" t="s">
        <v>1073</v>
      </c>
      <c r="H88" s="7" t="s">
        <v>1006</v>
      </c>
      <c r="I88" s="13" t="s">
        <v>1007</v>
      </c>
      <c r="J88" s="115">
        <v>8723.9406779661022</v>
      </c>
      <c r="K88" s="116">
        <v>123</v>
      </c>
      <c r="L88" s="116">
        <v>132.41666666662786</v>
      </c>
      <c r="M88" s="116">
        <v>464.58333333337214</v>
      </c>
      <c r="N88" s="129">
        <f t="shared" si="26"/>
        <v>0.48156606851557071</v>
      </c>
      <c r="O88" s="129">
        <f t="shared" si="27"/>
        <v>0.81608796296301689</v>
      </c>
      <c r="P88" s="129">
        <f t="shared" si="28"/>
        <v>0.2093320096440083</v>
      </c>
      <c r="Q88" s="114">
        <f t="shared" si="29"/>
        <v>70.92634697533417</v>
      </c>
      <c r="R88" s="5" t="b">
        <f t="shared" si="20"/>
        <v>0</v>
      </c>
      <c r="S88" s="11"/>
      <c r="X88" s="11"/>
      <c r="Y88" s="11"/>
      <c r="Z88" s="11"/>
    </row>
    <row r="89" spans="1:26" ht="15" customHeight="1">
      <c r="A89" s="76"/>
      <c r="B89" s="12">
        <f t="shared" si="21"/>
        <v>58</v>
      </c>
      <c r="C89" s="7" t="s">
        <v>969</v>
      </c>
      <c r="D89" s="13" t="s">
        <v>1078</v>
      </c>
      <c r="E89" s="12" t="s">
        <v>1032</v>
      </c>
      <c r="F89" s="13" t="s">
        <v>1035</v>
      </c>
      <c r="G89" s="13" t="s">
        <v>1073</v>
      </c>
      <c r="H89" s="7" t="s">
        <v>1006</v>
      </c>
      <c r="I89" s="13" t="s">
        <v>1007</v>
      </c>
      <c r="J89" s="115">
        <v>8044.8728813559328</v>
      </c>
      <c r="K89" s="116">
        <v>101</v>
      </c>
      <c r="L89" s="116">
        <v>295.96666666679084</v>
      </c>
      <c r="M89" s="116">
        <v>323.03333333320904</v>
      </c>
      <c r="N89" s="129">
        <f t="shared" si="26"/>
        <v>0.25442942312528777</v>
      </c>
      <c r="O89" s="129">
        <f t="shared" si="27"/>
        <v>0.58893518518501264</v>
      </c>
      <c r="P89" s="129">
        <f t="shared" si="28"/>
        <v>0.2381888216335892</v>
      </c>
      <c r="Q89" s="114">
        <f t="shared" si="29"/>
        <v>79.652206746098344</v>
      </c>
      <c r="R89" s="5" t="b">
        <f t="shared" si="20"/>
        <v>0</v>
      </c>
      <c r="S89" s="11"/>
      <c r="X89" s="11"/>
      <c r="Y89" s="11"/>
      <c r="Z89" s="11"/>
    </row>
    <row r="90" spans="1:26" ht="15" customHeight="1">
      <c r="A90" s="76"/>
      <c r="B90" s="12">
        <f>+B89+1</f>
        <v>59</v>
      </c>
      <c r="C90" s="7" t="s">
        <v>969</v>
      </c>
      <c r="D90" s="13" t="s">
        <v>1079</v>
      </c>
      <c r="E90" s="12" t="s">
        <v>1032</v>
      </c>
      <c r="F90" s="13" t="s">
        <v>1035</v>
      </c>
      <c r="G90" s="13" t="s">
        <v>1073</v>
      </c>
      <c r="H90" s="7" t="s">
        <v>1006</v>
      </c>
      <c r="I90" s="13" t="s">
        <v>1007</v>
      </c>
      <c r="J90" s="115">
        <v>6597.92372881356</v>
      </c>
      <c r="K90" s="116">
        <v>102</v>
      </c>
      <c r="L90" s="116">
        <v>21.499999999883585</v>
      </c>
      <c r="M90" s="116">
        <v>596.50000000011642</v>
      </c>
      <c r="N90" s="129">
        <f t="shared" si="26"/>
        <v>0.82591093117486758</v>
      </c>
      <c r="O90" s="129">
        <f t="shared" si="27"/>
        <v>0.97013888888905053</v>
      </c>
      <c r="P90" s="129">
        <f t="shared" si="28"/>
        <v>0.14602720114528706</v>
      </c>
      <c r="Q90" s="114">
        <f t="shared" si="29"/>
        <v>64.685526753074114</v>
      </c>
      <c r="R90" s="5" t="str">
        <f t="shared" si="20"/>
        <v>Sims</v>
      </c>
      <c r="S90" s="11"/>
      <c r="X90" s="11"/>
      <c r="Y90" s="11"/>
      <c r="Z90" s="11"/>
    </row>
    <row r="91" spans="1:26" ht="15" customHeight="1">
      <c r="A91" s="76"/>
      <c r="B91" s="12">
        <f t="shared" si="21"/>
        <v>60</v>
      </c>
      <c r="C91" s="7" t="s">
        <v>969</v>
      </c>
      <c r="D91" s="13" t="s">
        <v>1080</v>
      </c>
      <c r="E91" s="12" t="s">
        <v>992</v>
      </c>
      <c r="F91" s="13" t="s">
        <v>1025</v>
      </c>
      <c r="G91" s="13" t="s">
        <v>1081</v>
      </c>
      <c r="H91" s="7" t="s">
        <v>1006</v>
      </c>
      <c r="I91" s="13" t="s">
        <v>1007</v>
      </c>
      <c r="J91" s="115">
        <v>4682.2881355932204</v>
      </c>
      <c r="K91" s="116">
        <v>68</v>
      </c>
      <c r="L91" s="116">
        <v>85.149999999557622</v>
      </c>
      <c r="M91" s="116">
        <v>566.85000000044238</v>
      </c>
      <c r="N91" s="129">
        <f t="shared" si="26"/>
        <v>0.4440091413659577</v>
      </c>
      <c r="O91" s="129">
        <f t="shared" si="27"/>
        <v>0.88173611111172556</v>
      </c>
      <c r="P91" s="129">
        <f t="shared" si="28"/>
        <v>0.10711191620060269</v>
      </c>
      <c r="Q91" s="114">
        <f t="shared" si="29"/>
        <v>68.857178464606179</v>
      </c>
      <c r="R91" s="5" t="b">
        <f t="shared" si="20"/>
        <v>0</v>
      </c>
      <c r="S91" s="11"/>
      <c r="X91" s="11"/>
      <c r="Y91" s="11"/>
      <c r="Z91" s="11"/>
    </row>
    <row r="92" spans="1:26" ht="15" customHeight="1">
      <c r="A92" s="76"/>
      <c r="B92" s="12">
        <f t="shared" si="21"/>
        <v>61</v>
      </c>
      <c r="C92" s="7" t="s">
        <v>969</v>
      </c>
      <c r="D92" s="13" t="s">
        <v>1082</v>
      </c>
      <c r="E92" s="12" t="s">
        <v>992</v>
      </c>
      <c r="F92" s="13" t="s">
        <v>1025</v>
      </c>
      <c r="G92" s="13" t="s">
        <v>1081</v>
      </c>
      <c r="H92" s="7" t="s">
        <v>1006</v>
      </c>
      <c r="I92" s="13" t="s">
        <v>1007</v>
      </c>
      <c r="J92" s="115">
        <v>6765.8050847457616</v>
      </c>
      <c r="K92" s="116">
        <v>103</v>
      </c>
      <c r="L92" s="116">
        <v>15.066666666709352</v>
      </c>
      <c r="M92" s="116">
        <v>601.93333333329065</v>
      </c>
      <c r="N92" s="129">
        <f t="shared" si="26"/>
        <v>0.87238848108381783</v>
      </c>
      <c r="O92" s="129">
        <f t="shared" si="27"/>
        <v>0.97907407407401481</v>
      </c>
      <c r="P92" s="129">
        <f t="shared" si="28"/>
        <v>0.14611310762247906</v>
      </c>
      <c r="Q92" s="114">
        <f t="shared" si="29"/>
        <v>65.687428007240399</v>
      </c>
      <c r="R92" s="5" t="str">
        <f t="shared" si="20"/>
        <v>Sims</v>
      </c>
      <c r="S92" s="11"/>
      <c r="X92" s="11"/>
      <c r="Y92" s="11"/>
      <c r="Z92" s="11"/>
    </row>
    <row r="93" spans="1:26" ht="15" customHeight="1">
      <c r="A93" s="76"/>
      <c r="B93" s="12">
        <f t="shared" si="21"/>
        <v>62</v>
      </c>
      <c r="C93" s="7" t="s">
        <v>969</v>
      </c>
      <c r="D93" s="13" t="s">
        <v>1083</v>
      </c>
      <c r="E93" s="12" t="s">
        <v>992</v>
      </c>
      <c r="F93" s="13" t="s">
        <v>1025</v>
      </c>
      <c r="G93" s="13" t="s">
        <v>1081</v>
      </c>
      <c r="H93" s="7" t="s">
        <v>1006</v>
      </c>
      <c r="I93" s="13" t="s">
        <v>1007</v>
      </c>
      <c r="J93" s="115">
        <v>4483.1779661016953</v>
      </c>
      <c r="K93" s="116">
        <v>90</v>
      </c>
      <c r="L93" s="116">
        <v>44.883333333302289</v>
      </c>
      <c r="M93" s="116">
        <v>585.11666666669771</v>
      </c>
      <c r="N93" s="129">
        <f t="shared" si="26"/>
        <v>0.66724329667629345</v>
      </c>
      <c r="O93" s="129">
        <f t="shared" si="27"/>
        <v>0.93766203703708018</v>
      </c>
      <c r="P93" s="129">
        <f t="shared" si="28"/>
        <v>0.13331029204828182</v>
      </c>
      <c r="Q93" s="114">
        <f t="shared" si="29"/>
        <v>49.813088512241059</v>
      </c>
      <c r="R93" s="5" t="str">
        <f t="shared" si="20"/>
        <v>Sims</v>
      </c>
      <c r="S93" s="11"/>
      <c r="X93" s="11"/>
      <c r="Y93" s="11"/>
      <c r="Z93" s="11"/>
    </row>
    <row r="94" spans="1:26" ht="15" customHeight="1">
      <c r="A94" s="76"/>
      <c r="B94" s="12">
        <f t="shared" si="21"/>
        <v>63</v>
      </c>
      <c r="C94" s="7" t="s">
        <v>969</v>
      </c>
      <c r="D94" s="13" t="s">
        <v>1084</v>
      </c>
      <c r="E94" s="12" t="s">
        <v>992</v>
      </c>
      <c r="F94" s="13" t="s">
        <v>1025</v>
      </c>
      <c r="G94" s="13" t="s">
        <v>1081</v>
      </c>
      <c r="H94" s="7" t="s">
        <v>1006</v>
      </c>
      <c r="I94" s="13" t="s">
        <v>1007</v>
      </c>
      <c r="J94" s="115">
        <v>8517.7118644067796</v>
      </c>
      <c r="K94" s="116">
        <v>117</v>
      </c>
      <c r="L94" s="116">
        <v>0.79999999998835847</v>
      </c>
      <c r="M94" s="116">
        <v>602.20000000001164</v>
      </c>
      <c r="N94" s="129">
        <f t="shared" si="26"/>
        <v>0.99320882852301839</v>
      </c>
      <c r="O94" s="129">
        <f t="shared" si="27"/>
        <v>0.99888888888890504</v>
      </c>
      <c r="P94" s="129">
        <f t="shared" si="28"/>
        <v>0.16268075639599291</v>
      </c>
      <c r="Q94" s="114">
        <f t="shared" si="29"/>
        <v>72.800956106040857</v>
      </c>
      <c r="R94" s="5" t="str">
        <f t="shared" si="20"/>
        <v>Sims</v>
      </c>
      <c r="S94" s="11"/>
      <c r="X94" s="11"/>
      <c r="Y94" s="11"/>
      <c r="Z94" s="11"/>
    </row>
    <row r="95" spans="1:26" ht="15" customHeight="1">
      <c r="A95" s="76"/>
      <c r="B95" s="12">
        <f t="shared" si="21"/>
        <v>64</v>
      </c>
      <c r="C95" s="7" t="s">
        <v>969</v>
      </c>
      <c r="D95" s="13" t="s">
        <v>1085</v>
      </c>
      <c r="E95" s="12" t="s">
        <v>992</v>
      </c>
      <c r="F95" s="13" t="s">
        <v>1025</v>
      </c>
      <c r="G95" s="13" t="s">
        <v>1086</v>
      </c>
      <c r="H95" s="7" t="s">
        <v>1006</v>
      </c>
      <c r="I95" s="13" t="s">
        <v>1007</v>
      </c>
      <c r="J95" s="115">
        <v>5253.9830508474579</v>
      </c>
      <c r="K95" s="116">
        <v>87</v>
      </c>
      <c r="L95" s="116">
        <v>47.183333333290648</v>
      </c>
      <c r="M95" s="116">
        <v>585.81666666670935</v>
      </c>
      <c r="N95" s="129">
        <f t="shared" si="26"/>
        <v>0.64836666252660047</v>
      </c>
      <c r="O95" s="129">
        <f t="shared" si="27"/>
        <v>0.93446759259265189</v>
      </c>
      <c r="P95" s="129">
        <f t="shared" si="28"/>
        <v>0.12930714161856049</v>
      </c>
      <c r="Q95" s="114">
        <f t="shared" si="29"/>
        <v>60.390609779855836</v>
      </c>
      <c r="R95" s="5" t="str">
        <f t="shared" si="20"/>
        <v>Sims</v>
      </c>
      <c r="S95" s="11"/>
      <c r="X95" s="11"/>
      <c r="Y95" s="11"/>
      <c r="Z95" s="11"/>
    </row>
    <row r="96" spans="1:26" ht="15" customHeight="1">
      <c r="A96" s="76"/>
      <c r="B96" s="12">
        <f t="shared" si="21"/>
        <v>65</v>
      </c>
      <c r="C96" s="7" t="s">
        <v>969</v>
      </c>
      <c r="D96" s="13" t="s">
        <v>1087</v>
      </c>
      <c r="E96" s="12" t="s">
        <v>992</v>
      </c>
      <c r="F96" s="13" t="s">
        <v>1025</v>
      </c>
      <c r="G96" s="13" t="s">
        <v>1086</v>
      </c>
      <c r="H96" s="7" t="s">
        <v>1006</v>
      </c>
      <c r="I96" s="13" t="s">
        <v>1007</v>
      </c>
      <c r="J96" s="115">
        <v>5187.4999999999991</v>
      </c>
      <c r="K96" s="116">
        <v>97</v>
      </c>
      <c r="L96" s="116">
        <v>24.216666666499805</v>
      </c>
      <c r="M96" s="116">
        <v>598.7833333335002</v>
      </c>
      <c r="N96" s="129">
        <f t="shared" si="26"/>
        <v>0.8002199917514109</v>
      </c>
      <c r="O96" s="129">
        <f t="shared" si="27"/>
        <v>0.96636574074097248</v>
      </c>
      <c r="P96" s="129">
        <f t="shared" si="28"/>
        <v>0.13941121517710503</v>
      </c>
      <c r="Q96" s="114">
        <f t="shared" si="29"/>
        <v>53.479381443298962</v>
      </c>
      <c r="R96" s="5" t="str">
        <f t="shared" ref="R96:R159" si="30">IF(O96&gt;89.9999999999999%,"Sims")</f>
        <v>Sims</v>
      </c>
      <c r="S96" s="11"/>
      <c r="X96" s="11"/>
      <c r="Y96" s="11"/>
      <c r="Z96" s="11"/>
    </row>
    <row r="97" spans="1:26" ht="15" customHeight="1">
      <c r="A97" s="76"/>
      <c r="B97" s="12">
        <f t="shared" si="21"/>
        <v>66</v>
      </c>
      <c r="C97" s="7" t="s">
        <v>969</v>
      </c>
      <c r="D97" s="13" t="s">
        <v>1088</v>
      </c>
      <c r="E97" s="12" t="s">
        <v>992</v>
      </c>
      <c r="F97" s="13" t="s">
        <v>1025</v>
      </c>
      <c r="G97" s="13" t="s">
        <v>1086</v>
      </c>
      <c r="H97" s="7" t="s">
        <v>1006</v>
      </c>
      <c r="I97" s="13" t="s">
        <v>1007</v>
      </c>
      <c r="J97" s="115">
        <v>4072.4152542372885</v>
      </c>
      <c r="K97" s="116">
        <v>65</v>
      </c>
      <c r="L97" s="116">
        <v>110.45000000030268</v>
      </c>
      <c r="M97" s="116">
        <v>544.54999999969732</v>
      </c>
      <c r="N97" s="129">
        <f t="shared" si="26"/>
        <v>0.37047591906462163</v>
      </c>
      <c r="O97" s="129">
        <f t="shared" si="27"/>
        <v>0.84659722222180178</v>
      </c>
      <c r="P97" s="129">
        <f t="shared" si="28"/>
        <v>0.10663604298258104</v>
      </c>
      <c r="Q97" s="114">
        <f t="shared" si="29"/>
        <v>62.652542372881364</v>
      </c>
      <c r="R97" s="5" t="b">
        <f t="shared" si="30"/>
        <v>0</v>
      </c>
      <c r="S97" s="11"/>
      <c r="X97" s="11"/>
      <c r="Y97" s="11"/>
      <c r="Z97" s="11"/>
    </row>
    <row r="98" spans="1:26" ht="15" customHeight="1">
      <c r="A98" s="76"/>
      <c r="B98" s="12">
        <f t="shared" si="21"/>
        <v>67</v>
      </c>
      <c r="C98" s="7" t="s">
        <v>969</v>
      </c>
      <c r="D98" s="13" t="s">
        <v>1089</v>
      </c>
      <c r="E98" s="12" t="s">
        <v>992</v>
      </c>
      <c r="F98" s="13" t="s">
        <v>1025</v>
      </c>
      <c r="G98" s="13" t="s">
        <v>1086</v>
      </c>
      <c r="H98" s="7" t="s">
        <v>1006</v>
      </c>
      <c r="I98" s="13" t="s">
        <v>1007</v>
      </c>
      <c r="J98" s="115">
        <v>5062.0762711864409</v>
      </c>
      <c r="K98" s="116">
        <v>83</v>
      </c>
      <c r="L98" s="116">
        <v>44.449999999604188</v>
      </c>
      <c r="M98" s="116">
        <v>592.55000000039581</v>
      </c>
      <c r="N98" s="129">
        <f t="shared" si="26"/>
        <v>0.65123577873878202</v>
      </c>
      <c r="O98" s="129">
        <f t="shared" si="27"/>
        <v>0.93826388888943868</v>
      </c>
      <c r="P98" s="129">
        <f t="shared" si="28"/>
        <v>0.12286285249049125</v>
      </c>
      <c r="Q98" s="114">
        <f t="shared" si="29"/>
        <v>60.988870737186033</v>
      </c>
      <c r="R98" s="5" t="str">
        <f t="shared" si="30"/>
        <v>Sims</v>
      </c>
      <c r="S98" s="11"/>
      <c r="X98" s="11"/>
      <c r="Y98" s="11"/>
      <c r="Z98" s="11"/>
    </row>
    <row r="99" spans="1:26" ht="15" customHeight="1">
      <c r="A99" s="76"/>
      <c r="B99" s="12">
        <f t="shared" si="21"/>
        <v>68</v>
      </c>
      <c r="C99" s="7" t="s">
        <v>969</v>
      </c>
      <c r="D99" s="13" t="s">
        <v>1090</v>
      </c>
      <c r="E99" s="12" t="s">
        <v>992</v>
      </c>
      <c r="F99" s="13" t="s">
        <v>1025</v>
      </c>
      <c r="G99" s="13" t="s">
        <v>1091</v>
      </c>
      <c r="H99" s="7" t="s">
        <v>1006</v>
      </c>
      <c r="I99" s="13" t="s">
        <v>1007</v>
      </c>
      <c r="J99" s="115">
        <v>4813.8559322033898</v>
      </c>
      <c r="K99" s="116">
        <v>98</v>
      </c>
      <c r="L99" s="116">
        <v>264.71666666655801</v>
      </c>
      <c r="M99" s="116">
        <v>357.28333333344199</v>
      </c>
      <c r="N99" s="129">
        <f t="shared" si="26"/>
        <v>0.27018333869419481</v>
      </c>
      <c r="O99" s="129">
        <f t="shared" si="27"/>
        <v>0.63233796296311384</v>
      </c>
      <c r="P99" s="129">
        <f t="shared" si="28"/>
        <v>0.21525057656399299</v>
      </c>
      <c r="Q99" s="114">
        <f t="shared" si="29"/>
        <v>49.120978900034586</v>
      </c>
      <c r="R99" s="5" t="b">
        <f t="shared" si="30"/>
        <v>0</v>
      </c>
      <c r="S99" s="11"/>
      <c r="X99" s="11"/>
      <c r="Y99" s="11"/>
      <c r="Z99" s="11"/>
    </row>
    <row r="100" spans="1:26" ht="15" customHeight="1">
      <c r="A100" s="76"/>
      <c r="B100" s="12">
        <f t="shared" si="21"/>
        <v>69</v>
      </c>
      <c r="C100" s="7" t="s">
        <v>969</v>
      </c>
      <c r="D100" s="13" t="s">
        <v>1092</v>
      </c>
      <c r="E100" s="12" t="s">
        <v>992</v>
      </c>
      <c r="F100" s="13" t="s">
        <v>1025</v>
      </c>
      <c r="G100" s="13" t="s">
        <v>1091</v>
      </c>
      <c r="H100" s="7" t="s">
        <v>1006</v>
      </c>
      <c r="I100" s="13" t="s">
        <v>1007</v>
      </c>
      <c r="J100" s="115">
        <v>6836.5254237288136</v>
      </c>
      <c r="K100" s="116">
        <v>105</v>
      </c>
      <c r="L100" s="116">
        <v>43.516666666546371</v>
      </c>
      <c r="M100" s="116">
        <v>571.48333333345363</v>
      </c>
      <c r="N100" s="129">
        <f t="shared" si="26"/>
        <v>0.70699135899507382</v>
      </c>
      <c r="O100" s="129">
        <f t="shared" si="27"/>
        <v>0.93956018518535223</v>
      </c>
      <c r="P100" s="129">
        <f t="shared" si="28"/>
        <v>0.15521446697378305</v>
      </c>
      <c r="Q100" s="114">
        <f t="shared" si="29"/>
        <v>65.109765940274414</v>
      </c>
      <c r="R100" s="5" t="str">
        <f t="shared" si="30"/>
        <v>Sims</v>
      </c>
      <c r="S100" s="11"/>
      <c r="X100" s="11"/>
      <c r="Y100" s="11"/>
      <c r="Z100" s="11"/>
    </row>
    <row r="101" spans="1:26" ht="15" customHeight="1">
      <c r="A101" s="76"/>
      <c r="B101" s="12">
        <f t="shared" si="21"/>
        <v>70</v>
      </c>
      <c r="C101" s="7" t="s">
        <v>969</v>
      </c>
      <c r="D101" s="13" t="s">
        <v>1093</v>
      </c>
      <c r="E101" s="12" t="s">
        <v>992</v>
      </c>
      <c r="F101" s="13" t="s">
        <v>1025</v>
      </c>
      <c r="G101" s="13" t="s">
        <v>1091</v>
      </c>
      <c r="H101" s="7" t="s">
        <v>1006</v>
      </c>
      <c r="I101" s="13" t="s">
        <v>1007</v>
      </c>
      <c r="J101" s="115">
        <v>5449.703389830509</v>
      </c>
      <c r="K101" s="116">
        <v>73</v>
      </c>
      <c r="L101" s="116">
        <v>76.266666666779201</v>
      </c>
      <c r="M101" s="116">
        <v>570.7333333332208</v>
      </c>
      <c r="N101" s="129">
        <f t="shared" si="26"/>
        <v>0.48905761500633071</v>
      </c>
      <c r="O101" s="129">
        <f t="shared" si="27"/>
        <v>0.89407407407391781</v>
      </c>
      <c r="P101" s="129">
        <f t="shared" si="28"/>
        <v>0.11340099420051693</v>
      </c>
      <c r="Q101" s="114">
        <f t="shared" si="29"/>
        <v>74.653471093568612</v>
      </c>
      <c r="R101" s="5" t="b">
        <f t="shared" si="30"/>
        <v>0</v>
      </c>
      <c r="S101" s="11"/>
      <c r="X101" s="11"/>
      <c r="Y101" s="11"/>
      <c r="Z101" s="11"/>
    </row>
    <row r="102" spans="1:26" ht="15" customHeight="1">
      <c r="A102" s="76"/>
      <c r="B102" s="12">
        <f t="shared" ref="B102:B165" si="31">+B101+1</f>
        <v>71</v>
      </c>
      <c r="C102" s="7" t="s">
        <v>969</v>
      </c>
      <c r="D102" s="13" t="s">
        <v>1094</v>
      </c>
      <c r="E102" s="12" t="s">
        <v>992</v>
      </c>
      <c r="F102" s="13" t="s">
        <v>1025</v>
      </c>
      <c r="G102" s="13" t="s">
        <v>1091</v>
      </c>
      <c r="H102" s="7" t="s">
        <v>1006</v>
      </c>
      <c r="I102" s="13" t="s">
        <v>1007</v>
      </c>
      <c r="J102" s="115">
        <v>6089.9999999999991</v>
      </c>
      <c r="K102" s="116">
        <v>108</v>
      </c>
      <c r="L102" s="116">
        <v>187.50000000034925</v>
      </c>
      <c r="M102" s="116">
        <v>424.49999999965075</v>
      </c>
      <c r="N102" s="129">
        <f t="shared" si="26"/>
        <v>0.36548223350210612</v>
      </c>
      <c r="O102" s="129">
        <f t="shared" si="27"/>
        <v>0.73958333333284831</v>
      </c>
      <c r="P102" s="129">
        <f t="shared" si="28"/>
        <v>0.20281690140858372</v>
      </c>
      <c r="Q102" s="114">
        <f t="shared" si="29"/>
        <v>56.388888888888879</v>
      </c>
      <c r="R102" s="5" t="b">
        <f t="shared" si="30"/>
        <v>0</v>
      </c>
      <c r="S102" s="11"/>
      <c r="X102" s="11"/>
      <c r="Y102" s="11"/>
      <c r="Z102" s="11"/>
    </row>
    <row r="103" spans="1:26" ht="15" customHeight="1">
      <c r="A103" s="76"/>
      <c r="B103" s="12">
        <f t="shared" si="31"/>
        <v>72</v>
      </c>
      <c r="C103" s="7" t="s">
        <v>969</v>
      </c>
      <c r="D103" s="13" t="s">
        <v>1095</v>
      </c>
      <c r="E103" s="12" t="s">
        <v>1032</v>
      </c>
      <c r="F103" s="13" t="s">
        <v>1035</v>
      </c>
      <c r="G103" s="13" t="s">
        <v>1096</v>
      </c>
      <c r="H103" s="7" t="s">
        <v>1006</v>
      </c>
      <c r="I103" s="13" t="s">
        <v>1007</v>
      </c>
      <c r="J103" s="115">
        <v>6158.0720338983047</v>
      </c>
      <c r="K103" s="116">
        <v>109</v>
      </c>
      <c r="L103" s="116">
        <v>26.849999999860302</v>
      </c>
      <c r="M103" s="116">
        <v>584.1500000001397</v>
      </c>
      <c r="N103" s="129">
        <f t="shared" si="26"/>
        <v>0.80235553919846958</v>
      </c>
      <c r="O103" s="129">
        <f t="shared" si="27"/>
        <v>0.96270833333352734</v>
      </c>
      <c r="P103" s="129">
        <f t="shared" si="28"/>
        <v>0.1572531198153041</v>
      </c>
      <c r="Q103" s="114">
        <f t="shared" si="29"/>
        <v>56.496073705489032</v>
      </c>
      <c r="R103" s="5" t="str">
        <f t="shared" si="30"/>
        <v>Sims</v>
      </c>
      <c r="S103" s="11"/>
      <c r="X103" s="11"/>
      <c r="Y103" s="11"/>
      <c r="Z103" s="11"/>
    </row>
    <row r="104" spans="1:26" ht="15" customHeight="1">
      <c r="A104" s="76"/>
      <c r="B104" s="12">
        <f t="shared" si="31"/>
        <v>73</v>
      </c>
      <c r="C104" s="7" t="s">
        <v>969</v>
      </c>
      <c r="D104" s="13" t="s">
        <v>1097</v>
      </c>
      <c r="E104" s="12" t="s">
        <v>1032</v>
      </c>
      <c r="F104" s="13" t="s">
        <v>1035</v>
      </c>
      <c r="G104" s="13" t="s">
        <v>1096</v>
      </c>
      <c r="H104" s="7" t="s">
        <v>1006</v>
      </c>
      <c r="I104" s="13" t="s">
        <v>1007</v>
      </c>
      <c r="J104" s="115">
        <v>6550.1610169491523</v>
      </c>
      <c r="K104" s="116">
        <v>107</v>
      </c>
      <c r="L104" s="116">
        <v>6.8499999999767169</v>
      </c>
      <c r="M104" s="116">
        <v>606.15000000002328</v>
      </c>
      <c r="N104" s="129">
        <f t="shared" si="26"/>
        <v>0.93983311374634948</v>
      </c>
      <c r="O104" s="129">
        <f t="shared" si="27"/>
        <v>0.99048611111114349</v>
      </c>
      <c r="P104" s="129">
        <f t="shared" si="28"/>
        <v>0.15003856131248194</v>
      </c>
      <c r="Q104" s="114">
        <f t="shared" si="29"/>
        <v>61.216458102328524</v>
      </c>
      <c r="R104" s="5" t="str">
        <f t="shared" si="30"/>
        <v>Sims</v>
      </c>
      <c r="S104" s="11"/>
      <c r="X104" s="11"/>
      <c r="Y104" s="11"/>
      <c r="Z104" s="11"/>
    </row>
    <row r="105" spans="1:26" ht="15" customHeight="1">
      <c r="A105" s="76"/>
      <c r="B105" s="12">
        <f t="shared" si="31"/>
        <v>74</v>
      </c>
      <c r="C105" s="7" t="s">
        <v>969</v>
      </c>
      <c r="D105" s="13" t="s">
        <v>1098</v>
      </c>
      <c r="E105" s="12" t="s">
        <v>1032</v>
      </c>
      <c r="F105" s="13" t="s">
        <v>1035</v>
      </c>
      <c r="G105" s="13" t="s">
        <v>1096</v>
      </c>
      <c r="H105" s="7" t="s">
        <v>1006</v>
      </c>
      <c r="I105" s="13" t="s">
        <v>1007</v>
      </c>
      <c r="J105" s="115">
        <v>5122.0381355932204</v>
      </c>
      <c r="K105" s="116">
        <v>82</v>
      </c>
      <c r="L105" s="116">
        <v>72.333333333197515</v>
      </c>
      <c r="M105" s="116">
        <v>565.66666666680248</v>
      </c>
      <c r="N105" s="129">
        <f t="shared" si="26"/>
        <v>0.5313174946008995</v>
      </c>
      <c r="O105" s="129">
        <f t="shared" si="27"/>
        <v>0.89953703703722565</v>
      </c>
      <c r="P105" s="129">
        <f t="shared" si="28"/>
        <v>0.12660833762220711</v>
      </c>
      <c r="Q105" s="114">
        <f t="shared" si="29"/>
        <v>62.463879702356344</v>
      </c>
      <c r="R105" s="5" t="b">
        <f t="shared" si="30"/>
        <v>0</v>
      </c>
      <c r="S105" s="11"/>
      <c r="X105" s="11"/>
      <c r="Y105" s="11"/>
      <c r="Z105" s="11"/>
    </row>
    <row r="106" spans="1:26" ht="15" customHeight="1">
      <c r="A106" s="76"/>
      <c r="B106" s="12">
        <f t="shared" si="31"/>
        <v>75</v>
      </c>
      <c r="C106" s="7" t="s">
        <v>969</v>
      </c>
      <c r="D106" s="13" t="s">
        <v>1099</v>
      </c>
      <c r="E106" s="12" t="s">
        <v>1032</v>
      </c>
      <c r="F106" s="13" t="s">
        <v>1035</v>
      </c>
      <c r="G106" s="13" t="s">
        <v>1096</v>
      </c>
      <c r="H106" s="7" t="s">
        <v>1006</v>
      </c>
      <c r="I106" s="13" t="s">
        <v>1007</v>
      </c>
      <c r="J106" s="115">
        <v>4222.4194915254247</v>
      </c>
      <c r="K106" s="116">
        <v>93</v>
      </c>
      <c r="L106" s="116">
        <v>66.416666666627862</v>
      </c>
      <c r="M106" s="116">
        <v>560.58333333337214</v>
      </c>
      <c r="N106" s="129">
        <f t="shared" si="26"/>
        <v>0.58337689492957223</v>
      </c>
      <c r="O106" s="129">
        <f t="shared" si="27"/>
        <v>0.90775462962968356</v>
      </c>
      <c r="P106" s="129">
        <f t="shared" si="28"/>
        <v>0.14229249011856862</v>
      </c>
      <c r="Q106" s="114">
        <f t="shared" si="29"/>
        <v>45.402360123929299</v>
      </c>
      <c r="R106" s="5" t="str">
        <f t="shared" si="30"/>
        <v>Sims</v>
      </c>
      <c r="S106" s="11"/>
      <c r="X106" s="11"/>
      <c r="Y106" s="11"/>
      <c r="Z106" s="11"/>
    </row>
    <row r="107" spans="1:26" ht="15" customHeight="1">
      <c r="A107" s="76"/>
      <c r="B107" s="12">
        <f t="shared" si="31"/>
        <v>76</v>
      </c>
      <c r="C107" s="7" t="s">
        <v>969</v>
      </c>
      <c r="D107" s="13" t="s">
        <v>1100</v>
      </c>
      <c r="E107" s="12" t="s">
        <v>992</v>
      </c>
      <c r="F107" s="13" t="s">
        <v>1025</v>
      </c>
      <c r="G107" s="13" t="s">
        <v>994</v>
      </c>
      <c r="H107" s="7" t="s">
        <v>1006</v>
      </c>
      <c r="I107" s="13" t="s">
        <v>1007</v>
      </c>
      <c r="J107" s="115">
        <v>5532.7118644067796</v>
      </c>
      <c r="K107" s="116">
        <v>79</v>
      </c>
      <c r="L107" s="116">
        <v>74.066666666942183</v>
      </c>
      <c r="M107" s="116">
        <v>566.93333333305782</v>
      </c>
      <c r="N107" s="129">
        <f t="shared" si="26"/>
        <v>0.51611498257746824</v>
      </c>
      <c r="O107" s="129">
        <f t="shared" si="27"/>
        <v>0.89712962962924692</v>
      </c>
      <c r="P107" s="129">
        <f t="shared" si="28"/>
        <v>0.12230364330689499</v>
      </c>
      <c r="Q107" s="114">
        <f t="shared" si="29"/>
        <v>70.034327397554165</v>
      </c>
      <c r="R107" s="5" t="b">
        <f t="shared" si="30"/>
        <v>0</v>
      </c>
      <c r="S107" s="11"/>
      <c r="X107" s="11"/>
      <c r="Y107" s="11"/>
      <c r="Z107" s="11"/>
    </row>
    <row r="108" spans="1:26" ht="15" customHeight="1">
      <c r="A108" s="76"/>
      <c r="B108" s="12">
        <f t="shared" si="31"/>
        <v>77</v>
      </c>
      <c r="C108" s="7" t="s">
        <v>969</v>
      </c>
      <c r="D108" s="13" t="s">
        <v>1101</v>
      </c>
      <c r="E108" s="12" t="s">
        <v>992</v>
      </c>
      <c r="F108" s="13" t="s">
        <v>1025</v>
      </c>
      <c r="G108" s="13" t="s">
        <v>994</v>
      </c>
      <c r="H108" s="7" t="s">
        <v>1006</v>
      </c>
      <c r="I108" s="13" t="s">
        <v>1007</v>
      </c>
      <c r="J108" s="115">
        <v>0</v>
      </c>
      <c r="K108" s="116">
        <v>46</v>
      </c>
      <c r="L108" s="116">
        <v>117.11666666669771</v>
      </c>
      <c r="M108" s="116">
        <v>556.88333333330229</v>
      </c>
      <c r="N108" s="129">
        <f t="shared" si="26"/>
        <v>0.28200674363946815</v>
      </c>
      <c r="O108" s="129">
        <f t="shared" si="27"/>
        <v>0.83733796296291985</v>
      </c>
      <c r="P108" s="129">
        <f t="shared" si="28"/>
        <v>7.6300002764496777E-2</v>
      </c>
      <c r="Q108" s="114">
        <f t="shared" si="29"/>
        <v>0</v>
      </c>
      <c r="R108" s="5" t="b">
        <f t="shared" si="30"/>
        <v>0</v>
      </c>
      <c r="S108" s="11"/>
      <c r="X108" s="11"/>
      <c r="Y108" s="11"/>
      <c r="Z108" s="11"/>
    </row>
    <row r="109" spans="1:26" ht="15" customHeight="1">
      <c r="A109" s="76"/>
      <c r="B109" s="12">
        <f t="shared" si="31"/>
        <v>78</v>
      </c>
      <c r="C109" s="7" t="s">
        <v>969</v>
      </c>
      <c r="D109" s="13" t="s">
        <v>1102</v>
      </c>
      <c r="E109" s="12" t="s">
        <v>992</v>
      </c>
      <c r="F109" s="13" t="s">
        <v>1025</v>
      </c>
      <c r="G109" s="13" t="s">
        <v>994</v>
      </c>
      <c r="H109" s="7" t="s">
        <v>1006</v>
      </c>
      <c r="I109" s="13" t="s">
        <v>1007</v>
      </c>
      <c r="J109" s="115">
        <v>5644.0254237288136</v>
      </c>
      <c r="K109" s="116">
        <v>86</v>
      </c>
      <c r="L109" s="116">
        <v>128.73333333333721</v>
      </c>
      <c r="M109" s="116">
        <v>505.26666666666279</v>
      </c>
      <c r="N109" s="129">
        <f t="shared" si="26"/>
        <v>0.40049674014280556</v>
      </c>
      <c r="O109" s="129">
        <f t="shared" si="27"/>
        <v>0.82120370370369833</v>
      </c>
      <c r="P109" s="129">
        <f t="shared" si="28"/>
        <v>0.14545044537151972</v>
      </c>
      <c r="Q109" s="114">
        <f t="shared" si="29"/>
        <v>65.628202601497833</v>
      </c>
      <c r="R109" s="5" t="b">
        <f t="shared" si="30"/>
        <v>0</v>
      </c>
      <c r="S109" s="11"/>
      <c r="X109" s="11"/>
      <c r="Y109" s="11"/>
      <c r="Z109" s="11"/>
    </row>
    <row r="110" spans="1:26" ht="15" customHeight="1">
      <c r="A110" s="76"/>
      <c r="B110" s="12">
        <f t="shared" si="31"/>
        <v>79</v>
      </c>
      <c r="C110" s="7" t="s">
        <v>969</v>
      </c>
      <c r="D110" s="13" t="s">
        <v>1103</v>
      </c>
      <c r="E110" s="12" t="s">
        <v>992</v>
      </c>
      <c r="F110" s="13" t="s">
        <v>1025</v>
      </c>
      <c r="G110" s="13" t="s">
        <v>994</v>
      </c>
      <c r="H110" s="7" t="s">
        <v>1006</v>
      </c>
      <c r="I110" s="13" t="s">
        <v>1007</v>
      </c>
      <c r="J110" s="115">
        <v>0</v>
      </c>
      <c r="K110" s="116">
        <v>45</v>
      </c>
      <c r="L110" s="116">
        <v>74.150000000197906</v>
      </c>
      <c r="M110" s="116">
        <v>600.84999999980209</v>
      </c>
      <c r="N110" s="129">
        <f t="shared" si="26"/>
        <v>0.37767519932795013</v>
      </c>
      <c r="O110" s="129">
        <f t="shared" si="27"/>
        <v>0.897013888888614</v>
      </c>
      <c r="P110" s="129">
        <f t="shared" si="28"/>
        <v>6.9675621274311053E-2</v>
      </c>
      <c r="Q110" s="114">
        <f t="shared" si="29"/>
        <v>0</v>
      </c>
      <c r="R110" s="5" t="b">
        <f t="shared" si="30"/>
        <v>0</v>
      </c>
      <c r="S110" s="11"/>
      <c r="X110" s="11"/>
      <c r="Y110" s="11"/>
      <c r="Z110" s="11"/>
    </row>
    <row r="111" spans="1:26" ht="15" customHeight="1">
      <c r="A111" s="76"/>
      <c r="B111" s="12">
        <f t="shared" si="31"/>
        <v>80</v>
      </c>
      <c r="C111" s="7" t="s">
        <v>969</v>
      </c>
      <c r="D111" s="13" t="s">
        <v>1104</v>
      </c>
      <c r="E111" s="12" t="s">
        <v>992</v>
      </c>
      <c r="F111" s="13" t="s">
        <v>1025</v>
      </c>
      <c r="G111" s="13" t="s">
        <v>1105</v>
      </c>
      <c r="H111" s="7" t="s">
        <v>1006</v>
      </c>
      <c r="I111" s="13" t="s">
        <v>1007</v>
      </c>
      <c r="J111" s="115">
        <v>6448.8135593220341</v>
      </c>
      <c r="K111" s="116">
        <v>110</v>
      </c>
      <c r="L111" s="116">
        <v>7.5166666665463708</v>
      </c>
      <c r="M111" s="116">
        <v>602.48333333345363</v>
      </c>
      <c r="N111" s="129">
        <f t="shared" si="26"/>
        <v>0.93603744149861812</v>
      </c>
      <c r="O111" s="129">
        <f t="shared" si="27"/>
        <v>0.98956018518535227</v>
      </c>
      <c r="P111" s="129">
        <f t="shared" si="28"/>
        <v>0.15438957636433334</v>
      </c>
      <c r="Q111" s="114">
        <f t="shared" si="29"/>
        <v>58.625577812018491</v>
      </c>
      <c r="R111" s="5" t="str">
        <f t="shared" si="30"/>
        <v>Sims</v>
      </c>
      <c r="S111" s="11"/>
      <c r="X111" s="11"/>
      <c r="Y111" s="11"/>
      <c r="Z111" s="11"/>
    </row>
    <row r="112" spans="1:26" ht="15" customHeight="1">
      <c r="A112" s="76"/>
      <c r="B112" s="12">
        <f t="shared" si="31"/>
        <v>81</v>
      </c>
      <c r="C112" s="7" t="s">
        <v>969</v>
      </c>
      <c r="D112" s="13" t="s">
        <v>1106</v>
      </c>
      <c r="E112" s="12" t="s">
        <v>992</v>
      </c>
      <c r="F112" s="13" t="s">
        <v>1025</v>
      </c>
      <c r="G112" s="13" t="s">
        <v>1107</v>
      </c>
      <c r="H112" s="7" t="s">
        <v>1006</v>
      </c>
      <c r="I112" s="13" t="s">
        <v>1007</v>
      </c>
      <c r="J112" s="115">
        <v>6093.2627118644077</v>
      </c>
      <c r="K112" s="116">
        <v>93</v>
      </c>
      <c r="L112" s="116">
        <v>34.716666666849051</v>
      </c>
      <c r="M112" s="116">
        <v>592.28333333315095</v>
      </c>
      <c r="N112" s="129">
        <f t="shared" ref="N112:N169" si="32">+K112/(K112+L112)</f>
        <v>0.72817434425055871</v>
      </c>
      <c r="O112" s="129">
        <f t="shared" ref="O112:O169" si="33">+(K112+M112)/(K112+L112+M112)</f>
        <v>0.95178240740715414</v>
      </c>
      <c r="P112" s="129">
        <f t="shared" ref="P112:P169" si="34">+K112/(K112+M112)</f>
        <v>0.13571029014766361</v>
      </c>
      <c r="Q112" s="114">
        <f t="shared" ref="Q112:Q169" si="35">+J112/K112</f>
        <v>65.51895389101513</v>
      </c>
      <c r="R112" s="5" t="str">
        <f t="shared" si="30"/>
        <v>Sims</v>
      </c>
      <c r="S112" s="11"/>
      <c r="X112" s="11"/>
      <c r="Y112" s="11"/>
      <c r="Z112" s="11"/>
    </row>
    <row r="113" spans="1:26" ht="15" customHeight="1">
      <c r="A113" s="76"/>
      <c r="B113" s="12">
        <f t="shared" si="31"/>
        <v>82</v>
      </c>
      <c r="C113" s="7" t="s">
        <v>969</v>
      </c>
      <c r="D113" s="13" t="s">
        <v>1108</v>
      </c>
      <c r="E113" s="12" t="s">
        <v>992</v>
      </c>
      <c r="F113" s="13" t="s">
        <v>1025</v>
      </c>
      <c r="G113" s="13" t="s">
        <v>1107</v>
      </c>
      <c r="H113" s="7" t="s">
        <v>1006</v>
      </c>
      <c r="I113" s="13" t="s">
        <v>1007</v>
      </c>
      <c r="J113" s="115">
        <v>0</v>
      </c>
      <c r="K113" s="116">
        <v>41</v>
      </c>
      <c r="L113" s="116">
        <v>16.900000000081491</v>
      </c>
      <c r="M113" s="116">
        <v>662.09999999991851</v>
      </c>
      <c r="N113" s="129">
        <f t="shared" si="32"/>
        <v>0.70811744386774256</v>
      </c>
      <c r="O113" s="129">
        <f t="shared" si="33"/>
        <v>0.97652777777766464</v>
      </c>
      <c r="P113" s="129">
        <f t="shared" si="34"/>
        <v>5.8313184468787874E-2</v>
      </c>
      <c r="Q113" s="114">
        <f t="shared" si="35"/>
        <v>0</v>
      </c>
      <c r="R113" s="5" t="str">
        <f t="shared" si="30"/>
        <v>Sims</v>
      </c>
      <c r="S113" s="11"/>
      <c r="X113" s="11"/>
      <c r="Y113" s="11"/>
      <c r="Z113" s="11"/>
    </row>
    <row r="114" spans="1:26" ht="15" customHeight="1">
      <c r="A114" s="76"/>
      <c r="B114" s="12">
        <f t="shared" si="31"/>
        <v>83</v>
      </c>
      <c r="C114" s="7" t="s">
        <v>969</v>
      </c>
      <c r="D114" s="13" t="s">
        <v>1109</v>
      </c>
      <c r="E114" s="12" t="s">
        <v>992</v>
      </c>
      <c r="F114" s="13" t="s">
        <v>1025</v>
      </c>
      <c r="G114" s="13" t="s">
        <v>1107</v>
      </c>
      <c r="H114" s="7" t="s">
        <v>1006</v>
      </c>
      <c r="I114" s="13" t="s">
        <v>1007</v>
      </c>
      <c r="J114" s="115">
        <v>0</v>
      </c>
      <c r="K114" s="116">
        <v>46</v>
      </c>
      <c r="L114" s="116">
        <v>1.8333333331975155</v>
      </c>
      <c r="M114" s="116">
        <v>672.16666666680248</v>
      </c>
      <c r="N114" s="129">
        <f t="shared" si="32"/>
        <v>0.96167247387032639</v>
      </c>
      <c r="O114" s="129">
        <f t="shared" si="33"/>
        <v>0.9974537037038923</v>
      </c>
      <c r="P114" s="129">
        <f t="shared" si="34"/>
        <v>6.4051984219064245E-2</v>
      </c>
      <c r="Q114" s="114">
        <f t="shared" si="35"/>
        <v>0</v>
      </c>
      <c r="R114" s="5" t="str">
        <f t="shared" si="30"/>
        <v>Sims</v>
      </c>
      <c r="S114" s="11"/>
      <c r="X114" s="11"/>
      <c r="Y114" s="11"/>
      <c r="Z114" s="11"/>
    </row>
    <row r="115" spans="1:26" ht="15" customHeight="1">
      <c r="A115" s="76"/>
      <c r="B115" s="12">
        <f t="shared" si="31"/>
        <v>84</v>
      </c>
      <c r="C115" s="7" t="s">
        <v>969</v>
      </c>
      <c r="D115" s="13" t="s">
        <v>1110</v>
      </c>
      <c r="E115" s="12" t="s">
        <v>992</v>
      </c>
      <c r="F115" s="13" t="s">
        <v>1025</v>
      </c>
      <c r="G115" s="13" t="s">
        <v>1107</v>
      </c>
      <c r="H115" s="7" t="s">
        <v>1006</v>
      </c>
      <c r="I115" s="13" t="s">
        <v>1007</v>
      </c>
      <c r="J115" s="115">
        <v>5665.0423728813566</v>
      </c>
      <c r="K115" s="116">
        <v>88</v>
      </c>
      <c r="L115" s="116">
        <v>41.283333333441988</v>
      </c>
      <c r="M115" s="116">
        <v>590.71666666655801</v>
      </c>
      <c r="N115" s="129">
        <f t="shared" si="32"/>
        <v>0.6806755188855953</v>
      </c>
      <c r="O115" s="129">
        <f t="shared" si="33"/>
        <v>0.94266203703688611</v>
      </c>
      <c r="P115" s="129">
        <f t="shared" si="34"/>
        <v>0.12965645949465524</v>
      </c>
      <c r="Q115" s="114">
        <f t="shared" si="35"/>
        <v>64.375481510015419</v>
      </c>
      <c r="R115" s="5" t="str">
        <f t="shared" si="30"/>
        <v>Sims</v>
      </c>
      <c r="S115" s="11"/>
      <c r="X115" s="11"/>
      <c r="Y115" s="11"/>
      <c r="Z115" s="11"/>
    </row>
    <row r="116" spans="1:26" ht="15" customHeight="1">
      <c r="A116" s="76"/>
      <c r="B116" s="12">
        <f t="shared" si="31"/>
        <v>85</v>
      </c>
      <c r="C116" s="7" t="s">
        <v>969</v>
      </c>
      <c r="D116" s="13" t="s">
        <v>1111</v>
      </c>
      <c r="E116" s="12" t="s">
        <v>992</v>
      </c>
      <c r="F116" s="13" t="s">
        <v>1025</v>
      </c>
      <c r="G116" s="13" t="s">
        <v>1107</v>
      </c>
      <c r="H116" s="7" t="s">
        <v>1006</v>
      </c>
      <c r="I116" s="13" t="s">
        <v>1007</v>
      </c>
      <c r="J116" s="115">
        <v>7094.9152542372885</v>
      </c>
      <c r="K116" s="116">
        <v>117</v>
      </c>
      <c r="L116" s="116">
        <v>9.7666666667209938</v>
      </c>
      <c r="M116" s="116">
        <v>593.23333333327901</v>
      </c>
      <c r="N116" s="129">
        <f t="shared" si="32"/>
        <v>0.9229555613985001</v>
      </c>
      <c r="O116" s="129">
        <f t="shared" si="33"/>
        <v>0.98643518518510975</v>
      </c>
      <c r="P116" s="129">
        <f t="shared" si="34"/>
        <v>0.16473459426480822</v>
      </c>
      <c r="Q116" s="114">
        <f t="shared" si="35"/>
        <v>60.640301318267426</v>
      </c>
      <c r="R116" s="5" t="str">
        <f t="shared" si="30"/>
        <v>Sims</v>
      </c>
      <c r="S116" s="11"/>
      <c r="X116" s="11"/>
      <c r="Y116" s="11"/>
      <c r="Z116" s="11"/>
    </row>
    <row r="117" spans="1:26" ht="15" customHeight="1">
      <c r="A117" s="76"/>
      <c r="B117" s="12">
        <f t="shared" si="31"/>
        <v>86</v>
      </c>
      <c r="C117" s="7" t="s">
        <v>969</v>
      </c>
      <c r="D117" s="13" t="s">
        <v>1112</v>
      </c>
      <c r="E117" s="12" t="s">
        <v>992</v>
      </c>
      <c r="F117" s="13" t="s">
        <v>1025</v>
      </c>
      <c r="G117" s="13" t="s">
        <v>1113</v>
      </c>
      <c r="H117" s="7" t="s">
        <v>1006</v>
      </c>
      <c r="I117" s="13" t="s">
        <v>1007</v>
      </c>
      <c r="J117" s="115">
        <v>5747.7118644067805</v>
      </c>
      <c r="K117" s="116">
        <v>87</v>
      </c>
      <c r="L117" s="116">
        <v>47.750000000058208</v>
      </c>
      <c r="M117" s="116">
        <v>585.24999999994179</v>
      </c>
      <c r="N117" s="129">
        <f t="shared" si="32"/>
        <v>0.64564007421122394</v>
      </c>
      <c r="O117" s="129">
        <f t="shared" si="33"/>
        <v>0.93368055555547469</v>
      </c>
      <c r="P117" s="129">
        <f t="shared" si="34"/>
        <v>0.1294161398289439</v>
      </c>
      <c r="Q117" s="114">
        <f t="shared" si="35"/>
        <v>66.065653613871035</v>
      </c>
      <c r="R117" s="5" t="str">
        <f t="shared" si="30"/>
        <v>Sims</v>
      </c>
      <c r="S117" s="11"/>
      <c r="X117" s="11"/>
      <c r="Y117" s="11"/>
      <c r="Z117" s="11"/>
    </row>
    <row r="118" spans="1:26" ht="15" customHeight="1">
      <c r="A118" s="76"/>
      <c r="B118" s="12">
        <f t="shared" si="31"/>
        <v>87</v>
      </c>
      <c r="C118" s="7" t="s">
        <v>969</v>
      </c>
      <c r="D118" s="13" t="s">
        <v>1114</v>
      </c>
      <c r="E118" s="12" t="s">
        <v>992</v>
      </c>
      <c r="F118" s="13" t="s">
        <v>1025</v>
      </c>
      <c r="G118" s="13" t="s">
        <v>1113</v>
      </c>
      <c r="H118" s="7" t="s">
        <v>1006</v>
      </c>
      <c r="I118" s="13" t="s">
        <v>1007</v>
      </c>
      <c r="J118" s="115">
        <v>4813.3474576271183</v>
      </c>
      <c r="K118" s="116">
        <v>75</v>
      </c>
      <c r="L118" s="116">
        <v>189.18333333323244</v>
      </c>
      <c r="M118" s="116">
        <v>455.81666666676756</v>
      </c>
      <c r="N118" s="129">
        <f t="shared" si="32"/>
        <v>0.28389376064612443</v>
      </c>
      <c r="O118" s="129">
        <f t="shared" si="33"/>
        <v>0.73724537037051052</v>
      </c>
      <c r="P118" s="129">
        <f t="shared" si="34"/>
        <v>0.14129172030516327</v>
      </c>
      <c r="Q118" s="114">
        <f t="shared" si="35"/>
        <v>64.177966101694906</v>
      </c>
      <c r="R118" s="5" t="b">
        <f t="shared" si="30"/>
        <v>0</v>
      </c>
      <c r="S118" s="11"/>
      <c r="X118" s="11"/>
      <c r="Y118" s="11"/>
      <c r="Z118" s="11"/>
    </row>
    <row r="119" spans="1:26" ht="15" customHeight="1">
      <c r="A119" s="76"/>
      <c r="B119" s="12">
        <f t="shared" si="31"/>
        <v>88</v>
      </c>
      <c r="C119" s="7" t="s">
        <v>969</v>
      </c>
      <c r="D119" s="13" t="s">
        <v>1115</v>
      </c>
      <c r="E119" s="12" t="s">
        <v>992</v>
      </c>
      <c r="F119" s="13" t="s">
        <v>1025</v>
      </c>
      <c r="G119" s="13" t="s">
        <v>1113</v>
      </c>
      <c r="H119" s="7" t="s">
        <v>1006</v>
      </c>
      <c r="I119" s="13" t="s">
        <v>1007</v>
      </c>
      <c r="J119" s="115">
        <v>3938.2627118644073</v>
      </c>
      <c r="K119" s="116">
        <v>69</v>
      </c>
      <c r="L119" s="116">
        <v>77.366666666348465</v>
      </c>
      <c r="M119" s="116">
        <v>573.63333333365154</v>
      </c>
      <c r="N119" s="129">
        <f t="shared" si="32"/>
        <v>0.47141881120576185</v>
      </c>
      <c r="O119" s="129">
        <f t="shared" si="33"/>
        <v>0.89254629629673821</v>
      </c>
      <c r="P119" s="129">
        <f t="shared" si="34"/>
        <v>0.10737071424861118</v>
      </c>
      <c r="Q119" s="114">
        <f t="shared" si="35"/>
        <v>57.076271186440685</v>
      </c>
      <c r="R119" s="5" t="b">
        <f t="shared" si="30"/>
        <v>0</v>
      </c>
      <c r="S119" s="11"/>
      <c r="X119" s="11"/>
      <c r="Y119" s="11"/>
      <c r="Z119" s="11"/>
    </row>
    <row r="120" spans="1:26" ht="15" customHeight="1">
      <c r="A120" s="76"/>
      <c r="B120" s="12">
        <f t="shared" si="31"/>
        <v>89</v>
      </c>
      <c r="C120" s="7" t="s">
        <v>969</v>
      </c>
      <c r="D120" s="13" t="s">
        <v>1116</v>
      </c>
      <c r="E120" s="12" t="s">
        <v>992</v>
      </c>
      <c r="F120" s="13" t="s">
        <v>1025</v>
      </c>
      <c r="G120" s="13" t="s">
        <v>1113</v>
      </c>
      <c r="H120" s="7" t="s">
        <v>1006</v>
      </c>
      <c r="I120" s="13" t="s">
        <v>1007</v>
      </c>
      <c r="J120" s="115">
        <v>0</v>
      </c>
      <c r="K120" s="116">
        <v>0</v>
      </c>
      <c r="L120" s="116">
        <v>0</v>
      </c>
      <c r="M120" s="116">
        <v>0</v>
      </c>
      <c r="N120" s="129">
        <v>0</v>
      </c>
      <c r="O120" s="129">
        <v>0</v>
      </c>
      <c r="P120" s="129">
        <v>0</v>
      </c>
      <c r="Q120" s="114">
        <v>0</v>
      </c>
      <c r="R120" s="5" t="b">
        <f t="shared" si="30"/>
        <v>0</v>
      </c>
      <c r="S120" s="11"/>
      <c r="X120" s="11"/>
      <c r="Y120" s="11"/>
      <c r="Z120" s="11"/>
    </row>
    <row r="121" spans="1:26" ht="15" customHeight="1">
      <c r="A121" s="76"/>
      <c r="B121" s="12">
        <f t="shared" si="31"/>
        <v>90</v>
      </c>
      <c r="C121" s="7" t="s">
        <v>969</v>
      </c>
      <c r="D121" s="13" t="s">
        <v>1117</v>
      </c>
      <c r="E121" s="12" t="s">
        <v>1032</v>
      </c>
      <c r="F121" s="13" t="s">
        <v>1035</v>
      </c>
      <c r="G121" s="13" t="s">
        <v>1118</v>
      </c>
      <c r="H121" s="7" t="s">
        <v>1006</v>
      </c>
      <c r="I121" s="13" t="s">
        <v>1007</v>
      </c>
      <c r="J121" s="115">
        <v>5494.8644067796613</v>
      </c>
      <c r="K121" s="116">
        <v>106</v>
      </c>
      <c r="L121" s="116">
        <v>23.649999999732245</v>
      </c>
      <c r="M121" s="116">
        <v>590.35000000026776</v>
      </c>
      <c r="N121" s="129">
        <f t="shared" si="32"/>
        <v>0.81758580794615432</v>
      </c>
      <c r="O121" s="129">
        <f t="shared" si="33"/>
        <v>0.96715277777814967</v>
      </c>
      <c r="P121" s="129">
        <f t="shared" si="34"/>
        <v>0.15222230200324441</v>
      </c>
      <c r="Q121" s="114">
        <f t="shared" si="35"/>
        <v>51.838343460185484</v>
      </c>
      <c r="R121" s="5" t="str">
        <f t="shared" si="30"/>
        <v>Sims</v>
      </c>
      <c r="S121" s="11"/>
      <c r="X121" s="11"/>
      <c r="Y121" s="11"/>
      <c r="Z121" s="11"/>
    </row>
    <row r="122" spans="1:26" ht="15" customHeight="1">
      <c r="A122" s="76"/>
      <c r="B122" s="12">
        <f t="shared" si="31"/>
        <v>91</v>
      </c>
      <c r="C122" s="7" t="s">
        <v>969</v>
      </c>
      <c r="D122" s="13" t="s">
        <v>1119</v>
      </c>
      <c r="E122" s="12" t="s">
        <v>1032</v>
      </c>
      <c r="F122" s="13" t="s">
        <v>1035</v>
      </c>
      <c r="G122" s="13" t="s">
        <v>1118</v>
      </c>
      <c r="H122" s="7" t="s">
        <v>1006</v>
      </c>
      <c r="I122" s="13" t="s">
        <v>1007</v>
      </c>
      <c r="J122" s="115">
        <v>3921.2838983050847</v>
      </c>
      <c r="K122" s="116">
        <v>82</v>
      </c>
      <c r="L122" s="116">
        <v>88.366666666755918</v>
      </c>
      <c r="M122" s="116">
        <v>549.63333333324408</v>
      </c>
      <c r="N122" s="129">
        <f t="shared" si="32"/>
        <v>0.48131481119129549</v>
      </c>
      <c r="O122" s="129">
        <f t="shared" si="33"/>
        <v>0.8772685185183946</v>
      </c>
      <c r="P122" s="129">
        <f t="shared" si="34"/>
        <v>0.1298221542034064</v>
      </c>
      <c r="Q122" s="114">
        <f t="shared" si="35"/>
        <v>47.820535345183963</v>
      </c>
      <c r="R122" s="5" t="b">
        <f t="shared" si="30"/>
        <v>0</v>
      </c>
      <c r="S122" s="11"/>
      <c r="X122" s="11"/>
      <c r="Y122" s="11"/>
      <c r="Z122" s="11"/>
    </row>
    <row r="123" spans="1:26" ht="15" customHeight="1">
      <c r="A123" s="76"/>
      <c r="B123" s="12">
        <f t="shared" si="31"/>
        <v>92</v>
      </c>
      <c r="C123" s="7" t="s">
        <v>969</v>
      </c>
      <c r="D123" s="13" t="s">
        <v>1120</v>
      </c>
      <c r="E123" s="12" t="s">
        <v>1032</v>
      </c>
      <c r="F123" s="13" t="s">
        <v>1035</v>
      </c>
      <c r="G123" s="13" t="s">
        <v>1118</v>
      </c>
      <c r="H123" s="7" t="s">
        <v>1006</v>
      </c>
      <c r="I123" s="13" t="s">
        <v>1007</v>
      </c>
      <c r="J123" s="115">
        <v>5232.6737288135591</v>
      </c>
      <c r="K123" s="116">
        <v>112</v>
      </c>
      <c r="L123" s="116">
        <v>3.2999999999301508</v>
      </c>
      <c r="M123" s="116">
        <v>604.70000000006985</v>
      </c>
      <c r="N123" s="129">
        <f t="shared" si="32"/>
        <v>0.9713790112755234</v>
      </c>
      <c r="O123" s="129">
        <f t="shared" si="33"/>
        <v>0.99541666666676365</v>
      </c>
      <c r="P123" s="129">
        <f t="shared" si="34"/>
        <v>0.15627180131155166</v>
      </c>
      <c r="Q123" s="114">
        <f t="shared" si="35"/>
        <v>46.720301150121067</v>
      </c>
      <c r="R123" s="5" t="str">
        <f t="shared" si="30"/>
        <v>Sims</v>
      </c>
      <c r="S123" s="11"/>
      <c r="X123" s="11"/>
      <c r="Y123" s="11"/>
      <c r="Z123" s="11"/>
    </row>
    <row r="124" spans="1:26" ht="15" customHeight="1">
      <c r="A124" s="76"/>
      <c r="B124" s="12">
        <f t="shared" si="31"/>
        <v>93</v>
      </c>
      <c r="C124" s="7" t="s">
        <v>969</v>
      </c>
      <c r="D124" s="13" t="s">
        <v>1121</v>
      </c>
      <c r="E124" s="12" t="s">
        <v>1032</v>
      </c>
      <c r="F124" s="13" t="s">
        <v>1035</v>
      </c>
      <c r="G124" s="13" t="s">
        <v>1118</v>
      </c>
      <c r="H124" s="7" t="s">
        <v>1006</v>
      </c>
      <c r="I124" s="13" t="s">
        <v>1007</v>
      </c>
      <c r="J124" s="115">
        <v>4532.4745762711864</v>
      </c>
      <c r="K124" s="116">
        <v>88</v>
      </c>
      <c r="L124" s="116">
        <v>81.883333333593328</v>
      </c>
      <c r="M124" s="116">
        <v>550.11666666640667</v>
      </c>
      <c r="N124" s="129">
        <f t="shared" si="32"/>
        <v>0.51800255076934365</v>
      </c>
      <c r="O124" s="129">
        <f t="shared" si="33"/>
        <v>0.88627314814778702</v>
      </c>
      <c r="P124" s="129">
        <f t="shared" si="34"/>
        <v>0.13790581659576753</v>
      </c>
      <c r="Q124" s="114">
        <f t="shared" si="35"/>
        <v>51.505392912172574</v>
      </c>
      <c r="R124" s="5" t="b">
        <f t="shared" si="30"/>
        <v>0</v>
      </c>
      <c r="S124" s="11"/>
      <c r="X124" s="11"/>
      <c r="Y124" s="11"/>
      <c r="Z124" s="11"/>
    </row>
    <row r="125" spans="1:26" ht="15" customHeight="1">
      <c r="A125" s="76"/>
      <c r="B125" s="12">
        <f t="shared" si="31"/>
        <v>94</v>
      </c>
      <c r="C125" s="7" t="s">
        <v>969</v>
      </c>
      <c r="D125" s="13" t="s">
        <v>1122</v>
      </c>
      <c r="E125" s="12" t="s">
        <v>1032</v>
      </c>
      <c r="F125" s="13" t="s">
        <v>173</v>
      </c>
      <c r="G125" s="13" t="s">
        <v>971</v>
      </c>
      <c r="H125" s="7" t="s">
        <v>1006</v>
      </c>
      <c r="I125" s="13" t="s">
        <v>1007</v>
      </c>
      <c r="J125" s="115">
        <v>6330.2203389830502</v>
      </c>
      <c r="K125" s="116">
        <v>102</v>
      </c>
      <c r="L125" s="116">
        <v>39.10000000015134</v>
      </c>
      <c r="M125" s="116">
        <v>578.89999999984866</v>
      </c>
      <c r="N125" s="129">
        <f t="shared" si="32"/>
        <v>0.72289156626428486</v>
      </c>
      <c r="O125" s="129">
        <f t="shared" si="33"/>
        <v>0.94569444444423423</v>
      </c>
      <c r="P125" s="129">
        <f t="shared" si="34"/>
        <v>0.14980173300047389</v>
      </c>
      <c r="Q125" s="114">
        <f t="shared" si="35"/>
        <v>62.060983715520102</v>
      </c>
      <c r="R125" s="5" t="str">
        <f t="shared" si="30"/>
        <v>Sims</v>
      </c>
      <c r="S125" s="11"/>
      <c r="X125" s="11"/>
      <c r="Y125" s="11"/>
      <c r="Z125" s="11"/>
    </row>
    <row r="126" spans="1:26" ht="15" customHeight="1">
      <c r="A126" s="76"/>
      <c r="B126" s="12">
        <f t="shared" si="31"/>
        <v>95</v>
      </c>
      <c r="C126" s="7" t="s">
        <v>969</v>
      </c>
      <c r="D126" s="13" t="s">
        <v>1123</v>
      </c>
      <c r="E126" s="12" t="s">
        <v>1032</v>
      </c>
      <c r="F126" s="13" t="s">
        <v>173</v>
      </c>
      <c r="G126" s="13" t="s">
        <v>971</v>
      </c>
      <c r="H126" s="7" t="s">
        <v>1006</v>
      </c>
      <c r="I126" s="13" t="s">
        <v>1007</v>
      </c>
      <c r="J126" s="115">
        <v>5714.1991525423737</v>
      </c>
      <c r="K126" s="116">
        <v>94</v>
      </c>
      <c r="L126" s="116">
        <v>34.833333333372138</v>
      </c>
      <c r="M126" s="116">
        <v>591.16666666662786</v>
      </c>
      <c r="N126" s="129">
        <f t="shared" si="32"/>
        <v>0.72962483829214764</v>
      </c>
      <c r="O126" s="129">
        <f t="shared" si="33"/>
        <v>0.95162037037031644</v>
      </c>
      <c r="P126" s="129">
        <f t="shared" si="34"/>
        <v>0.13719289710533494</v>
      </c>
      <c r="Q126" s="114">
        <f t="shared" si="35"/>
        <v>60.789352686620994</v>
      </c>
      <c r="R126" s="5" t="str">
        <f t="shared" si="30"/>
        <v>Sims</v>
      </c>
      <c r="S126" s="11"/>
      <c r="X126" s="11"/>
      <c r="Y126" s="11"/>
      <c r="Z126" s="11"/>
    </row>
    <row r="127" spans="1:26" ht="15" customHeight="1">
      <c r="A127" s="76"/>
      <c r="B127" s="12">
        <f t="shared" si="31"/>
        <v>96</v>
      </c>
      <c r="C127" s="7" t="s">
        <v>969</v>
      </c>
      <c r="D127" s="13" t="s">
        <v>1124</v>
      </c>
      <c r="E127" s="12" t="s">
        <v>1032</v>
      </c>
      <c r="F127" s="13" t="s">
        <v>1035</v>
      </c>
      <c r="G127" s="13" t="s">
        <v>971</v>
      </c>
      <c r="H127" s="7" t="s">
        <v>1006</v>
      </c>
      <c r="I127" s="13" t="s">
        <v>1007</v>
      </c>
      <c r="J127" s="115">
        <v>7468.0677966101684</v>
      </c>
      <c r="K127" s="116">
        <v>110</v>
      </c>
      <c r="L127" s="116">
        <v>10.333333333488554</v>
      </c>
      <c r="M127" s="116">
        <v>599.66666666651145</v>
      </c>
      <c r="N127" s="129">
        <f t="shared" si="32"/>
        <v>0.91412742382153556</v>
      </c>
      <c r="O127" s="129">
        <f t="shared" si="33"/>
        <v>0.98564814814793256</v>
      </c>
      <c r="P127" s="129">
        <f t="shared" si="34"/>
        <v>0.15500234852046604</v>
      </c>
      <c r="Q127" s="114">
        <f t="shared" si="35"/>
        <v>67.891525423728808</v>
      </c>
      <c r="R127" s="5" t="str">
        <f t="shared" si="30"/>
        <v>Sims</v>
      </c>
      <c r="S127" s="11"/>
      <c r="X127" s="11"/>
      <c r="Y127" s="11"/>
      <c r="Z127" s="11"/>
    </row>
    <row r="128" spans="1:26" ht="15" customHeight="1">
      <c r="A128" s="76"/>
      <c r="B128" s="12">
        <f t="shared" si="31"/>
        <v>97</v>
      </c>
      <c r="C128" s="7" t="s">
        <v>969</v>
      </c>
      <c r="D128" s="13" t="s">
        <v>1125</v>
      </c>
      <c r="E128" s="12" t="s">
        <v>1032</v>
      </c>
      <c r="F128" s="13" t="s">
        <v>1035</v>
      </c>
      <c r="G128" s="13" t="s">
        <v>971</v>
      </c>
      <c r="H128" s="7" t="s">
        <v>1006</v>
      </c>
      <c r="I128" s="13" t="s">
        <v>1007</v>
      </c>
      <c r="J128" s="115">
        <v>5471.5550847457635</v>
      </c>
      <c r="K128" s="116">
        <v>103</v>
      </c>
      <c r="L128" s="116">
        <v>45.766666666546371</v>
      </c>
      <c r="M128" s="116">
        <v>571.23333333345363</v>
      </c>
      <c r="N128" s="129">
        <f t="shared" si="32"/>
        <v>0.69235939950761793</v>
      </c>
      <c r="O128" s="129">
        <f t="shared" si="33"/>
        <v>0.93643518518535229</v>
      </c>
      <c r="P128" s="129">
        <f t="shared" si="34"/>
        <v>0.15276610471149693</v>
      </c>
      <c r="Q128" s="114">
        <f t="shared" si="35"/>
        <v>53.121894026657898</v>
      </c>
      <c r="R128" s="5" t="str">
        <f t="shared" si="30"/>
        <v>Sims</v>
      </c>
      <c r="S128" s="11"/>
      <c r="X128" s="11"/>
      <c r="Y128" s="11"/>
      <c r="Z128" s="11"/>
    </row>
    <row r="129" spans="1:26" ht="15" customHeight="1">
      <c r="A129" s="76"/>
      <c r="B129" s="12">
        <f t="shared" si="31"/>
        <v>98</v>
      </c>
      <c r="C129" s="7" t="s">
        <v>969</v>
      </c>
      <c r="D129" s="13" t="s">
        <v>1126</v>
      </c>
      <c r="E129" s="12" t="s">
        <v>1032</v>
      </c>
      <c r="F129" s="13" t="s">
        <v>1035</v>
      </c>
      <c r="G129" s="13" t="s">
        <v>971</v>
      </c>
      <c r="H129" s="7" t="s">
        <v>1006</v>
      </c>
      <c r="I129" s="13" t="s">
        <v>1007</v>
      </c>
      <c r="J129" s="115">
        <v>4022.5169491525421</v>
      </c>
      <c r="K129" s="116">
        <v>81</v>
      </c>
      <c r="L129" s="116">
        <v>60.199999999778811</v>
      </c>
      <c r="M129" s="116">
        <v>578.80000000022119</v>
      </c>
      <c r="N129" s="129">
        <f t="shared" si="32"/>
        <v>0.57365439093574278</v>
      </c>
      <c r="O129" s="129">
        <f t="shared" si="33"/>
        <v>0.91638888888919612</v>
      </c>
      <c r="P129" s="129">
        <f t="shared" si="34"/>
        <v>0.12276447408301432</v>
      </c>
      <c r="Q129" s="114">
        <f t="shared" si="35"/>
        <v>49.660703075957308</v>
      </c>
      <c r="R129" s="5" t="str">
        <f t="shared" si="30"/>
        <v>Sims</v>
      </c>
      <c r="S129" s="11"/>
      <c r="X129" s="11"/>
      <c r="Y129" s="11"/>
      <c r="Z129" s="11"/>
    </row>
    <row r="130" spans="1:26" ht="15" customHeight="1">
      <c r="A130" s="76"/>
      <c r="B130" s="12">
        <f t="shared" si="31"/>
        <v>99</v>
      </c>
      <c r="C130" s="7" t="s">
        <v>969</v>
      </c>
      <c r="D130" s="13" t="s">
        <v>1127</v>
      </c>
      <c r="E130" s="12" t="s">
        <v>1032</v>
      </c>
      <c r="F130" s="13" t="s">
        <v>1035</v>
      </c>
      <c r="G130" s="13" t="s">
        <v>971</v>
      </c>
      <c r="H130" s="7" t="s">
        <v>1006</v>
      </c>
      <c r="I130" s="13" t="s">
        <v>1007</v>
      </c>
      <c r="J130" s="115">
        <v>4023.0127118644068</v>
      </c>
      <c r="K130" s="116">
        <v>86</v>
      </c>
      <c r="L130" s="116">
        <v>44.649999999906868</v>
      </c>
      <c r="M130" s="116">
        <v>589.35000000009313</v>
      </c>
      <c r="N130" s="129">
        <f t="shared" si="32"/>
        <v>0.65824722541187375</v>
      </c>
      <c r="O130" s="129">
        <f t="shared" si="33"/>
        <v>0.93798611111124042</v>
      </c>
      <c r="P130" s="129">
        <f t="shared" si="34"/>
        <v>0.12734137854444086</v>
      </c>
      <c r="Q130" s="114">
        <f t="shared" si="35"/>
        <v>46.779217579818685</v>
      </c>
      <c r="R130" s="5" t="str">
        <f t="shared" si="30"/>
        <v>Sims</v>
      </c>
      <c r="S130" s="11"/>
      <c r="X130" s="11"/>
      <c r="Y130" s="11"/>
      <c r="Z130" s="11"/>
    </row>
    <row r="131" spans="1:26" ht="15" customHeight="1">
      <c r="A131" s="76"/>
      <c r="B131" s="12">
        <f t="shared" si="31"/>
        <v>100</v>
      </c>
      <c r="C131" s="7" t="s">
        <v>969</v>
      </c>
      <c r="D131" s="13" t="s">
        <v>1128</v>
      </c>
      <c r="E131" s="12" t="s">
        <v>1032</v>
      </c>
      <c r="F131" s="13" t="s">
        <v>1035</v>
      </c>
      <c r="G131" s="13" t="s">
        <v>971</v>
      </c>
      <c r="H131" s="7" t="s">
        <v>1006</v>
      </c>
      <c r="I131" s="13" t="s">
        <v>1007</v>
      </c>
      <c r="J131" s="115">
        <v>5225.3813559322034</v>
      </c>
      <c r="K131" s="116">
        <v>109</v>
      </c>
      <c r="L131" s="116">
        <v>25.299999999871943</v>
      </c>
      <c r="M131" s="116">
        <v>585.70000000012806</v>
      </c>
      <c r="N131" s="129">
        <f t="shared" si="32"/>
        <v>0.81161578555550207</v>
      </c>
      <c r="O131" s="129">
        <f t="shared" si="33"/>
        <v>0.96486111111128892</v>
      </c>
      <c r="P131" s="129">
        <f t="shared" si="34"/>
        <v>0.15690225996830273</v>
      </c>
      <c r="Q131" s="114">
        <f t="shared" si="35"/>
        <v>47.939278494790855</v>
      </c>
      <c r="R131" s="5" t="str">
        <f t="shared" si="30"/>
        <v>Sims</v>
      </c>
      <c r="S131" s="11"/>
      <c r="X131" s="11"/>
      <c r="Y131" s="11"/>
      <c r="Z131" s="11"/>
    </row>
    <row r="132" spans="1:26" ht="15" customHeight="1">
      <c r="A132" s="76"/>
      <c r="B132" s="12">
        <f t="shared" si="31"/>
        <v>101</v>
      </c>
      <c r="C132" s="7" t="s">
        <v>969</v>
      </c>
      <c r="D132" s="13" t="s">
        <v>1129</v>
      </c>
      <c r="E132" s="12" t="s">
        <v>1032</v>
      </c>
      <c r="F132" s="13" t="s">
        <v>1035</v>
      </c>
      <c r="G132" s="13" t="s">
        <v>1130</v>
      </c>
      <c r="H132" s="7" t="s">
        <v>1006</v>
      </c>
      <c r="I132" s="13" t="s">
        <v>1007</v>
      </c>
      <c r="J132" s="115">
        <v>5277.3898305084749</v>
      </c>
      <c r="K132" s="116">
        <v>84</v>
      </c>
      <c r="L132" s="116">
        <v>123.46666666679084</v>
      </c>
      <c r="M132" s="116">
        <v>512.53333333320916</v>
      </c>
      <c r="N132" s="129">
        <f t="shared" si="32"/>
        <v>0.40488431876582448</v>
      </c>
      <c r="O132" s="129">
        <f t="shared" si="33"/>
        <v>0.82851851851834601</v>
      </c>
      <c r="P132" s="129">
        <f t="shared" si="34"/>
        <v>0.14081358962899668</v>
      </c>
      <c r="Q132" s="114">
        <f t="shared" si="35"/>
        <v>62.82606941081518</v>
      </c>
      <c r="R132" s="5" t="b">
        <f t="shared" si="30"/>
        <v>0</v>
      </c>
      <c r="S132" s="11"/>
      <c r="X132" s="11"/>
      <c r="Y132" s="11"/>
      <c r="Z132" s="11"/>
    </row>
    <row r="133" spans="1:26" ht="15" customHeight="1">
      <c r="A133" s="76"/>
      <c r="B133" s="12">
        <f t="shared" si="31"/>
        <v>102</v>
      </c>
      <c r="C133" s="7" t="s">
        <v>969</v>
      </c>
      <c r="D133" s="13" t="s">
        <v>1131</v>
      </c>
      <c r="E133" s="12" t="s">
        <v>1032</v>
      </c>
      <c r="F133" s="13" t="s">
        <v>1035</v>
      </c>
      <c r="G133" s="13" t="s">
        <v>971</v>
      </c>
      <c r="H133" s="7" t="s">
        <v>1006</v>
      </c>
      <c r="I133" s="13" t="s">
        <v>1007</v>
      </c>
      <c r="J133" s="115">
        <v>4523.0805084745762</v>
      </c>
      <c r="K133" s="116">
        <v>96</v>
      </c>
      <c r="L133" s="116">
        <v>36.016666666720994</v>
      </c>
      <c r="M133" s="116">
        <v>587.98333333327901</v>
      </c>
      <c r="N133" s="129">
        <f t="shared" si="32"/>
        <v>0.7271809115007738</v>
      </c>
      <c r="O133" s="129">
        <f t="shared" si="33"/>
        <v>0.94997685185177638</v>
      </c>
      <c r="P133" s="129">
        <f t="shared" si="34"/>
        <v>0.14035429713200753</v>
      </c>
      <c r="Q133" s="114">
        <f t="shared" si="35"/>
        <v>47.115421963276837</v>
      </c>
      <c r="R133" s="5" t="str">
        <f t="shared" si="30"/>
        <v>Sims</v>
      </c>
      <c r="S133" s="11"/>
      <c r="X133" s="11"/>
      <c r="Y133" s="11"/>
      <c r="Z133" s="11"/>
    </row>
    <row r="134" spans="1:26" ht="15" customHeight="1">
      <c r="A134" s="76"/>
      <c r="B134" s="12">
        <f t="shared" si="31"/>
        <v>103</v>
      </c>
      <c r="C134" s="7" t="s">
        <v>969</v>
      </c>
      <c r="D134" s="13" t="s">
        <v>1132</v>
      </c>
      <c r="E134" s="12" t="s">
        <v>1032</v>
      </c>
      <c r="F134" s="13" t="s">
        <v>1035</v>
      </c>
      <c r="G134" s="13" t="s">
        <v>971</v>
      </c>
      <c r="H134" s="7" t="s">
        <v>1006</v>
      </c>
      <c r="I134" s="13" t="s">
        <v>1007</v>
      </c>
      <c r="J134" s="115">
        <v>4978.453389830509</v>
      </c>
      <c r="K134" s="116">
        <v>92</v>
      </c>
      <c r="L134" s="116">
        <v>75.633333333476912</v>
      </c>
      <c r="M134" s="116">
        <v>552.36666666652309</v>
      </c>
      <c r="N134" s="129">
        <f t="shared" si="32"/>
        <v>0.54881686219877435</v>
      </c>
      <c r="O134" s="129">
        <f t="shared" si="33"/>
        <v>0.89495370370350424</v>
      </c>
      <c r="P134" s="129">
        <f t="shared" si="34"/>
        <v>0.14277585225806297</v>
      </c>
      <c r="Q134" s="114">
        <f t="shared" si="35"/>
        <v>54.113623802505529</v>
      </c>
      <c r="R134" s="5" t="b">
        <f t="shared" si="30"/>
        <v>0</v>
      </c>
      <c r="S134" s="11"/>
      <c r="X134" s="11"/>
      <c r="Y134" s="11"/>
      <c r="Z134" s="11"/>
    </row>
    <row r="135" spans="1:26" ht="15" customHeight="1">
      <c r="A135" s="76"/>
      <c r="B135" s="12">
        <f t="shared" si="31"/>
        <v>104</v>
      </c>
      <c r="C135" s="7" t="s">
        <v>969</v>
      </c>
      <c r="D135" s="13" t="s">
        <v>1133</v>
      </c>
      <c r="E135" s="12" t="s">
        <v>1032</v>
      </c>
      <c r="F135" s="13" t="s">
        <v>1833</v>
      </c>
      <c r="G135" s="13" t="s">
        <v>1134</v>
      </c>
      <c r="H135" s="7" t="s">
        <v>1006</v>
      </c>
      <c r="I135" s="13" t="s">
        <v>1007</v>
      </c>
      <c r="J135" s="115">
        <v>11394.703389830511</v>
      </c>
      <c r="K135" s="116">
        <v>125</v>
      </c>
      <c r="L135" s="116">
        <v>2.71666666661622</v>
      </c>
      <c r="M135" s="116">
        <v>592.28333333338378</v>
      </c>
      <c r="N135" s="129">
        <f t="shared" si="32"/>
        <v>0.97872895732780407</v>
      </c>
      <c r="O135" s="129">
        <f t="shared" si="33"/>
        <v>0.99622685185192195</v>
      </c>
      <c r="P135" s="129">
        <f t="shared" si="34"/>
        <v>0.1742686525547662</v>
      </c>
      <c r="Q135" s="114">
        <f t="shared" si="35"/>
        <v>91.157627118644086</v>
      </c>
      <c r="R135" s="5" t="str">
        <f t="shared" si="30"/>
        <v>Sims</v>
      </c>
      <c r="S135" s="11"/>
      <c r="X135" s="11"/>
      <c r="Y135" s="11"/>
      <c r="Z135" s="11"/>
    </row>
    <row r="136" spans="1:26" ht="15" customHeight="1">
      <c r="A136" s="76"/>
      <c r="B136" s="12">
        <f t="shared" si="31"/>
        <v>105</v>
      </c>
      <c r="C136" s="7" t="s">
        <v>969</v>
      </c>
      <c r="D136" s="13" t="s">
        <v>1135</v>
      </c>
      <c r="E136" s="12" t="s">
        <v>1032</v>
      </c>
      <c r="F136" s="13" t="s">
        <v>1833</v>
      </c>
      <c r="G136" s="13" t="s">
        <v>1134</v>
      </c>
      <c r="H136" s="7" t="s">
        <v>1006</v>
      </c>
      <c r="I136" s="13" t="s">
        <v>1007</v>
      </c>
      <c r="J136" s="115">
        <v>5842.6694915254247</v>
      </c>
      <c r="K136" s="116">
        <v>82</v>
      </c>
      <c r="L136" s="116">
        <v>418.23333333316259</v>
      </c>
      <c r="M136" s="116">
        <v>219.76666666683744</v>
      </c>
      <c r="N136" s="129">
        <f t="shared" si="32"/>
        <v>0.1639235023656187</v>
      </c>
      <c r="O136" s="129">
        <f t="shared" si="33"/>
        <v>0.41912037037060751</v>
      </c>
      <c r="P136" s="129">
        <f t="shared" si="34"/>
        <v>0.27173312714002079</v>
      </c>
      <c r="Q136" s="114">
        <f t="shared" si="35"/>
        <v>71.252066969822252</v>
      </c>
      <c r="R136" s="5" t="b">
        <f t="shared" si="30"/>
        <v>0</v>
      </c>
      <c r="S136" s="11"/>
      <c r="X136" s="11"/>
      <c r="Y136" s="11"/>
      <c r="Z136" s="11"/>
    </row>
    <row r="137" spans="1:26" ht="15" customHeight="1">
      <c r="A137" s="76"/>
      <c r="B137" s="12">
        <f t="shared" si="31"/>
        <v>106</v>
      </c>
      <c r="C137" s="7" t="s">
        <v>969</v>
      </c>
      <c r="D137" s="13" t="s">
        <v>1136</v>
      </c>
      <c r="E137" s="12" t="s">
        <v>1032</v>
      </c>
      <c r="F137" s="13" t="s">
        <v>1833</v>
      </c>
      <c r="G137" s="13" t="s">
        <v>1134</v>
      </c>
      <c r="H137" s="7" t="s">
        <v>1006</v>
      </c>
      <c r="I137" s="13" t="s">
        <v>1007</v>
      </c>
      <c r="J137" s="115">
        <v>8377.6271186440681</v>
      </c>
      <c r="K137" s="116">
        <v>119</v>
      </c>
      <c r="L137" s="116">
        <v>13.233333333162591</v>
      </c>
      <c r="M137" s="116">
        <v>587.76666666683741</v>
      </c>
      <c r="N137" s="129">
        <f t="shared" si="32"/>
        <v>0.89992437610401055</v>
      </c>
      <c r="O137" s="129">
        <f t="shared" si="33"/>
        <v>0.98162037037060756</v>
      </c>
      <c r="P137" s="129">
        <f t="shared" si="34"/>
        <v>0.1683724001320161</v>
      </c>
      <c r="Q137" s="114">
        <f t="shared" si="35"/>
        <v>70.400227887765283</v>
      </c>
      <c r="R137" s="5" t="str">
        <f t="shared" si="30"/>
        <v>Sims</v>
      </c>
      <c r="S137" s="11"/>
      <c r="X137" s="11"/>
      <c r="Y137" s="11"/>
      <c r="Z137" s="11"/>
    </row>
    <row r="138" spans="1:26" ht="15" customHeight="1">
      <c r="A138" s="76"/>
      <c r="B138" s="12">
        <f t="shared" si="31"/>
        <v>107</v>
      </c>
      <c r="C138" s="7" t="s">
        <v>969</v>
      </c>
      <c r="D138" s="13" t="s">
        <v>1137</v>
      </c>
      <c r="E138" s="12" t="s">
        <v>1032</v>
      </c>
      <c r="F138" s="13" t="s">
        <v>1833</v>
      </c>
      <c r="G138" s="13" t="s">
        <v>1134</v>
      </c>
      <c r="H138" s="7" t="s">
        <v>1006</v>
      </c>
      <c r="I138" s="13" t="s">
        <v>1007</v>
      </c>
      <c r="J138" s="115">
        <v>10588.474576271186</v>
      </c>
      <c r="K138" s="116">
        <v>123</v>
      </c>
      <c r="L138" s="116">
        <v>2.7833333333255723</v>
      </c>
      <c r="M138" s="116">
        <v>594.21666666667443</v>
      </c>
      <c r="N138" s="129">
        <f t="shared" si="32"/>
        <v>0.97787200212010805</v>
      </c>
      <c r="O138" s="129">
        <f t="shared" si="33"/>
        <v>0.99613425925927002</v>
      </c>
      <c r="P138" s="129">
        <f t="shared" si="34"/>
        <v>0.17149629354216345</v>
      </c>
      <c r="Q138" s="114">
        <f t="shared" si="35"/>
        <v>86.085159156676312</v>
      </c>
      <c r="R138" s="5" t="str">
        <f t="shared" si="30"/>
        <v>Sims</v>
      </c>
      <c r="S138" s="11"/>
      <c r="X138" s="11"/>
      <c r="Y138" s="11"/>
      <c r="Z138" s="11"/>
    </row>
    <row r="139" spans="1:26" ht="15" customHeight="1">
      <c r="A139" s="76"/>
      <c r="B139" s="12">
        <f t="shared" si="31"/>
        <v>108</v>
      </c>
      <c r="C139" s="7" t="s">
        <v>969</v>
      </c>
      <c r="D139" s="13" t="s">
        <v>1138</v>
      </c>
      <c r="E139" s="12" t="s">
        <v>1032</v>
      </c>
      <c r="F139" s="13" t="s">
        <v>1833</v>
      </c>
      <c r="G139" s="13" t="s">
        <v>1139</v>
      </c>
      <c r="H139" s="7" t="s">
        <v>1006</v>
      </c>
      <c r="I139" s="13" t="s">
        <v>1007</v>
      </c>
      <c r="J139" s="115">
        <v>9425.3389830508459</v>
      </c>
      <c r="K139" s="116">
        <v>115</v>
      </c>
      <c r="L139" s="116">
        <v>19.599999999976717</v>
      </c>
      <c r="M139" s="116">
        <v>585.40000000002328</v>
      </c>
      <c r="N139" s="129">
        <f t="shared" si="32"/>
        <v>0.85438335809821619</v>
      </c>
      <c r="O139" s="129">
        <f t="shared" si="33"/>
        <v>0.97277777777781016</v>
      </c>
      <c r="P139" s="129">
        <f t="shared" si="34"/>
        <v>0.1641918903483669</v>
      </c>
      <c r="Q139" s="114">
        <f t="shared" si="35"/>
        <v>81.959469417833446</v>
      </c>
      <c r="R139" s="5" t="str">
        <f t="shared" si="30"/>
        <v>Sims</v>
      </c>
      <c r="S139" s="11"/>
      <c r="X139" s="11"/>
      <c r="Y139" s="11"/>
      <c r="Z139" s="11"/>
    </row>
    <row r="140" spans="1:26" ht="15" customHeight="1">
      <c r="A140" s="76"/>
      <c r="B140" s="12">
        <f t="shared" si="31"/>
        <v>109</v>
      </c>
      <c r="C140" s="7" t="s">
        <v>969</v>
      </c>
      <c r="D140" s="13" t="s">
        <v>1140</v>
      </c>
      <c r="E140" s="12" t="s">
        <v>1032</v>
      </c>
      <c r="F140" s="13" t="s">
        <v>1833</v>
      </c>
      <c r="G140" s="13" t="s">
        <v>1134</v>
      </c>
      <c r="H140" s="7" t="s">
        <v>1006</v>
      </c>
      <c r="I140" s="13" t="s">
        <v>1007</v>
      </c>
      <c r="J140" s="115">
        <v>9468.6864406779659</v>
      </c>
      <c r="K140" s="116">
        <v>119</v>
      </c>
      <c r="L140" s="116">
        <v>8.1833333332906477</v>
      </c>
      <c r="M140" s="116">
        <v>592.81666666670935</v>
      </c>
      <c r="N140" s="129">
        <f t="shared" si="32"/>
        <v>0.93565718778697371</v>
      </c>
      <c r="O140" s="129">
        <f t="shared" si="33"/>
        <v>0.98863425925931858</v>
      </c>
      <c r="P140" s="129">
        <f t="shared" si="34"/>
        <v>0.16717787819896443</v>
      </c>
      <c r="Q140" s="114">
        <f t="shared" si="35"/>
        <v>79.568793619142568</v>
      </c>
      <c r="R140" s="5" t="str">
        <f t="shared" si="30"/>
        <v>Sims</v>
      </c>
      <c r="S140" s="11"/>
      <c r="X140" s="11"/>
      <c r="Y140" s="11"/>
      <c r="Z140" s="11"/>
    </row>
    <row r="141" spans="1:26" ht="15" customHeight="1">
      <c r="A141" s="76"/>
      <c r="B141" s="12">
        <f t="shared" si="31"/>
        <v>110</v>
      </c>
      <c r="C141" s="7" t="s">
        <v>969</v>
      </c>
      <c r="D141" s="13" t="s">
        <v>1141</v>
      </c>
      <c r="E141" s="12" t="s">
        <v>1032</v>
      </c>
      <c r="F141" s="13" t="s">
        <v>1833</v>
      </c>
      <c r="G141" s="13" t="s">
        <v>1139</v>
      </c>
      <c r="H141" s="7" t="s">
        <v>1006</v>
      </c>
      <c r="I141" s="13" t="s">
        <v>1007</v>
      </c>
      <c r="J141" s="115">
        <v>12345.550847457627</v>
      </c>
      <c r="K141" s="116">
        <v>112</v>
      </c>
      <c r="L141" s="116">
        <v>13.283333333325572</v>
      </c>
      <c r="M141" s="116">
        <v>594.71666666667443</v>
      </c>
      <c r="N141" s="129">
        <f t="shared" si="32"/>
        <v>0.89397365970472475</v>
      </c>
      <c r="O141" s="129">
        <f t="shared" si="33"/>
        <v>0.98155092592593673</v>
      </c>
      <c r="P141" s="129">
        <f t="shared" si="34"/>
        <v>0.15847935287597401</v>
      </c>
      <c r="Q141" s="114">
        <f t="shared" si="35"/>
        <v>110.22813256658596</v>
      </c>
      <c r="R141" s="5" t="str">
        <f t="shared" si="30"/>
        <v>Sims</v>
      </c>
      <c r="S141" s="11"/>
      <c r="X141" s="11"/>
      <c r="Y141" s="11"/>
      <c r="Z141" s="11"/>
    </row>
    <row r="142" spans="1:26" ht="15" customHeight="1">
      <c r="A142" s="76"/>
      <c r="B142" s="12">
        <f t="shared" si="31"/>
        <v>111</v>
      </c>
      <c r="C142" s="7" t="s">
        <v>969</v>
      </c>
      <c r="D142" s="13" t="s">
        <v>1142</v>
      </c>
      <c r="E142" s="12" t="s">
        <v>1032</v>
      </c>
      <c r="F142" s="13" t="s">
        <v>1833</v>
      </c>
      <c r="G142" s="13" t="s">
        <v>1139</v>
      </c>
      <c r="H142" s="7" t="s">
        <v>1006</v>
      </c>
      <c r="I142" s="13" t="s">
        <v>1007</v>
      </c>
      <c r="J142" s="115">
        <v>5642.796610169491</v>
      </c>
      <c r="K142" s="116">
        <v>94</v>
      </c>
      <c r="L142" s="116">
        <v>38.416666666511446</v>
      </c>
      <c r="M142" s="116">
        <v>587.58333333348855</v>
      </c>
      <c r="N142" s="129">
        <f t="shared" si="32"/>
        <v>0.70988042794293404</v>
      </c>
      <c r="O142" s="129">
        <f t="shared" si="33"/>
        <v>0.94664351851873407</v>
      </c>
      <c r="P142" s="129">
        <f t="shared" si="34"/>
        <v>0.13791417043645227</v>
      </c>
      <c r="Q142" s="114">
        <f t="shared" si="35"/>
        <v>60.029751172015864</v>
      </c>
      <c r="R142" s="5" t="str">
        <f t="shared" si="30"/>
        <v>Sims</v>
      </c>
      <c r="S142" s="11"/>
      <c r="X142" s="11"/>
      <c r="Y142" s="11"/>
      <c r="Z142" s="11"/>
    </row>
    <row r="143" spans="1:26" ht="15" customHeight="1">
      <c r="A143" s="76"/>
      <c r="B143" s="12">
        <f t="shared" si="31"/>
        <v>112</v>
      </c>
      <c r="C143" s="7" t="s">
        <v>969</v>
      </c>
      <c r="D143" s="13" t="s">
        <v>1143</v>
      </c>
      <c r="E143" s="12" t="s">
        <v>1032</v>
      </c>
      <c r="F143" s="13" t="s">
        <v>1833</v>
      </c>
      <c r="G143" s="13" t="s">
        <v>1139</v>
      </c>
      <c r="H143" s="7" t="s">
        <v>1006</v>
      </c>
      <c r="I143" s="13" t="s">
        <v>1007</v>
      </c>
      <c r="J143" s="115">
        <v>8373.8559322033907</v>
      </c>
      <c r="K143" s="116">
        <v>109</v>
      </c>
      <c r="L143" s="116">
        <v>264.40000000025611</v>
      </c>
      <c r="M143" s="116">
        <v>346.59999999974389</v>
      </c>
      <c r="N143" s="129">
        <f t="shared" si="32"/>
        <v>0.29191215854291708</v>
      </c>
      <c r="O143" s="129">
        <f t="shared" si="33"/>
        <v>0.63277777777742206</v>
      </c>
      <c r="P143" s="129">
        <f t="shared" si="34"/>
        <v>0.23924495171216259</v>
      </c>
      <c r="Q143" s="114">
        <f t="shared" si="35"/>
        <v>76.824366350489825</v>
      </c>
      <c r="R143" s="5" t="b">
        <f t="shared" si="30"/>
        <v>0</v>
      </c>
      <c r="S143" s="11"/>
      <c r="X143" s="11"/>
      <c r="Y143" s="11"/>
      <c r="Z143" s="11"/>
    </row>
    <row r="144" spans="1:26" ht="15" customHeight="1">
      <c r="A144" s="76"/>
      <c r="B144" s="12">
        <f t="shared" si="31"/>
        <v>113</v>
      </c>
      <c r="C144" s="7" t="s">
        <v>969</v>
      </c>
      <c r="D144" s="13" t="s">
        <v>1144</v>
      </c>
      <c r="E144" s="12" t="s">
        <v>1032</v>
      </c>
      <c r="F144" s="13" t="s">
        <v>1833</v>
      </c>
      <c r="G144" s="13" t="s">
        <v>1139</v>
      </c>
      <c r="H144" s="7" t="s">
        <v>1006</v>
      </c>
      <c r="I144" s="13" t="s">
        <v>1007</v>
      </c>
      <c r="J144" s="115">
        <v>7577.0762711864418</v>
      </c>
      <c r="K144" s="116">
        <v>100</v>
      </c>
      <c r="L144" s="116">
        <v>267.35000000026776</v>
      </c>
      <c r="M144" s="116">
        <v>352.64999999973224</v>
      </c>
      <c r="N144" s="129">
        <f t="shared" si="32"/>
        <v>0.27221995372240942</v>
      </c>
      <c r="O144" s="129">
        <f t="shared" si="33"/>
        <v>0.62868055555518365</v>
      </c>
      <c r="P144" s="129">
        <f t="shared" si="34"/>
        <v>0.22092124157750834</v>
      </c>
      <c r="Q144" s="114">
        <f t="shared" si="35"/>
        <v>75.770762711864421</v>
      </c>
      <c r="R144" s="5" t="b">
        <f t="shared" si="30"/>
        <v>0</v>
      </c>
      <c r="S144" s="11"/>
      <c r="X144" s="11"/>
      <c r="Y144" s="11"/>
      <c r="Z144" s="11"/>
    </row>
    <row r="145" spans="1:26" ht="15" customHeight="1">
      <c r="A145" s="76"/>
      <c r="B145" s="12">
        <f t="shared" si="31"/>
        <v>114</v>
      </c>
      <c r="C145" s="7" t="s">
        <v>969</v>
      </c>
      <c r="D145" s="13" t="s">
        <v>1145</v>
      </c>
      <c r="E145" s="12" t="s">
        <v>1032</v>
      </c>
      <c r="F145" s="13" t="s">
        <v>1833</v>
      </c>
      <c r="G145" s="13" t="s">
        <v>1146</v>
      </c>
      <c r="H145" s="7" t="s">
        <v>1006</v>
      </c>
      <c r="I145" s="13" t="s">
        <v>1007</v>
      </c>
      <c r="J145" s="115">
        <v>8915.8474576271183</v>
      </c>
      <c r="K145" s="116">
        <v>124</v>
      </c>
      <c r="L145" s="116">
        <v>5.6333333331858739</v>
      </c>
      <c r="M145" s="116">
        <v>590.36666666681413</v>
      </c>
      <c r="N145" s="129">
        <f t="shared" si="32"/>
        <v>0.95654409874112412</v>
      </c>
      <c r="O145" s="129">
        <f t="shared" si="33"/>
        <v>0.99217592592613069</v>
      </c>
      <c r="P145" s="129">
        <f t="shared" si="34"/>
        <v>0.17358032756284036</v>
      </c>
      <c r="Q145" s="114">
        <f t="shared" si="35"/>
        <v>71.90199562602514</v>
      </c>
      <c r="R145" s="5" t="str">
        <f t="shared" si="30"/>
        <v>Sims</v>
      </c>
      <c r="S145" s="11"/>
      <c r="X145" s="11"/>
      <c r="Y145" s="11"/>
      <c r="Z145" s="11"/>
    </row>
    <row r="146" spans="1:26" ht="15" customHeight="1">
      <c r="A146" s="76"/>
      <c r="B146" s="12">
        <f t="shared" si="31"/>
        <v>115</v>
      </c>
      <c r="C146" s="7" t="s">
        <v>969</v>
      </c>
      <c r="D146" s="13" t="s">
        <v>1147</v>
      </c>
      <c r="E146" s="12" t="s">
        <v>1032</v>
      </c>
      <c r="F146" s="13" t="s">
        <v>1833</v>
      </c>
      <c r="G146" s="13" t="s">
        <v>1146</v>
      </c>
      <c r="H146" s="7" t="s">
        <v>1006</v>
      </c>
      <c r="I146" s="13" t="s">
        <v>1007</v>
      </c>
      <c r="J146" s="115">
        <v>8822.7966101694929</v>
      </c>
      <c r="K146" s="116">
        <v>120</v>
      </c>
      <c r="L146" s="116">
        <v>9.9999999999417923</v>
      </c>
      <c r="M146" s="116">
        <v>590.00000000005821</v>
      </c>
      <c r="N146" s="129">
        <f t="shared" si="32"/>
        <v>0.92307692307733635</v>
      </c>
      <c r="O146" s="129">
        <f t="shared" si="33"/>
        <v>0.98611111111119198</v>
      </c>
      <c r="P146" s="129">
        <f t="shared" si="34"/>
        <v>0.1690140845070284</v>
      </c>
      <c r="Q146" s="114">
        <f t="shared" si="35"/>
        <v>73.523305084745772</v>
      </c>
      <c r="R146" s="5" t="str">
        <f t="shared" si="30"/>
        <v>Sims</v>
      </c>
      <c r="S146" s="11"/>
      <c r="X146" s="11"/>
      <c r="Y146" s="11"/>
      <c r="Z146" s="11"/>
    </row>
    <row r="147" spans="1:26" ht="15" customHeight="1">
      <c r="A147" s="76"/>
      <c r="B147" s="12">
        <f t="shared" si="31"/>
        <v>116</v>
      </c>
      <c r="C147" s="7" t="s">
        <v>969</v>
      </c>
      <c r="D147" s="13" t="s">
        <v>1148</v>
      </c>
      <c r="E147" s="12" t="s">
        <v>1032</v>
      </c>
      <c r="F147" s="13" t="s">
        <v>1833</v>
      </c>
      <c r="G147" s="13" t="s">
        <v>1146</v>
      </c>
      <c r="H147" s="7" t="s">
        <v>1006</v>
      </c>
      <c r="I147" s="13" t="s">
        <v>1007</v>
      </c>
      <c r="J147" s="115">
        <v>7649.0677966101703</v>
      </c>
      <c r="K147" s="116">
        <v>108</v>
      </c>
      <c r="L147" s="116">
        <v>23.616666666814126</v>
      </c>
      <c r="M147" s="116">
        <v>588.38333333318587</v>
      </c>
      <c r="N147" s="129">
        <f t="shared" si="32"/>
        <v>0.82056477143127016</v>
      </c>
      <c r="O147" s="129">
        <f t="shared" si="33"/>
        <v>0.96719907407386929</v>
      </c>
      <c r="P147" s="129">
        <f t="shared" si="34"/>
        <v>0.15508699710411825</v>
      </c>
      <c r="Q147" s="114">
        <f t="shared" si="35"/>
        <v>70.82470182046454</v>
      </c>
      <c r="R147" s="5" t="str">
        <f t="shared" si="30"/>
        <v>Sims</v>
      </c>
      <c r="S147" s="11"/>
      <c r="X147" s="11"/>
      <c r="Y147" s="11"/>
      <c r="Z147" s="11"/>
    </row>
    <row r="148" spans="1:26" ht="15" customHeight="1">
      <c r="A148" s="76"/>
      <c r="B148" s="12">
        <f t="shared" si="31"/>
        <v>117</v>
      </c>
      <c r="C148" s="7" t="s">
        <v>969</v>
      </c>
      <c r="D148" s="13" t="s">
        <v>1149</v>
      </c>
      <c r="E148" s="12" t="s">
        <v>1032</v>
      </c>
      <c r="F148" s="13" t="s">
        <v>1833</v>
      </c>
      <c r="G148" s="13" t="s">
        <v>1146</v>
      </c>
      <c r="H148" s="7" t="s">
        <v>1006</v>
      </c>
      <c r="I148" s="13" t="s">
        <v>1007</v>
      </c>
      <c r="J148" s="115">
        <v>12921.822033898305</v>
      </c>
      <c r="K148" s="116">
        <v>128</v>
      </c>
      <c r="L148" s="116">
        <v>10.816666666476522</v>
      </c>
      <c r="M148" s="116">
        <v>581.18333333352348</v>
      </c>
      <c r="N148" s="129">
        <f t="shared" si="32"/>
        <v>0.92207948133155482</v>
      </c>
      <c r="O148" s="129">
        <f t="shared" si="33"/>
        <v>0.98497685185211592</v>
      </c>
      <c r="P148" s="129">
        <f t="shared" si="34"/>
        <v>0.18048929519865434</v>
      </c>
      <c r="Q148" s="114">
        <f t="shared" si="35"/>
        <v>100.95173463983051</v>
      </c>
      <c r="R148" s="5" t="str">
        <f t="shared" si="30"/>
        <v>Sims</v>
      </c>
      <c r="S148" s="11"/>
      <c r="X148" s="11"/>
      <c r="Y148" s="11"/>
      <c r="Z148" s="11"/>
    </row>
    <row r="149" spans="1:26" ht="15" customHeight="1">
      <c r="A149" s="76"/>
      <c r="B149" s="12">
        <f t="shared" si="31"/>
        <v>118</v>
      </c>
      <c r="C149" s="7" t="s">
        <v>969</v>
      </c>
      <c r="D149" s="13" t="s">
        <v>1150</v>
      </c>
      <c r="E149" s="12" t="s">
        <v>1032</v>
      </c>
      <c r="F149" s="13" t="s">
        <v>1833</v>
      </c>
      <c r="G149" s="13" t="s">
        <v>1146</v>
      </c>
      <c r="H149" s="7" t="s">
        <v>1006</v>
      </c>
      <c r="I149" s="13" t="s">
        <v>1007</v>
      </c>
      <c r="J149" s="115">
        <v>9132.1610169491523</v>
      </c>
      <c r="K149" s="116">
        <v>108</v>
      </c>
      <c r="L149" s="116">
        <v>6.8166666667093523</v>
      </c>
      <c r="M149" s="116">
        <v>605.18333333329065</v>
      </c>
      <c r="N149" s="129">
        <f t="shared" si="32"/>
        <v>0.94062998983852386</v>
      </c>
      <c r="O149" s="129">
        <f t="shared" si="33"/>
        <v>0.99053240740734816</v>
      </c>
      <c r="P149" s="129">
        <f t="shared" si="34"/>
        <v>0.15143371269660413</v>
      </c>
      <c r="Q149" s="114">
        <f t="shared" si="35"/>
        <v>84.557046453232886</v>
      </c>
      <c r="R149" s="5" t="str">
        <f t="shared" si="30"/>
        <v>Sims</v>
      </c>
      <c r="S149" s="11"/>
      <c r="X149" s="11"/>
      <c r="Y149" s="11"/>
      <c r="Z149" s="11"/>
    </row>
    <row r="150" spans="1:26" ht="15" customHeight="1">
      <c r="A150" s="76"/>
      <c r="B150" s="12">
        <f t="shared" si="31"/>
        <v>119</v>
      </c>
      <c r="C150" s="7" t="s">
        <v>969</v>
      </c>
      <c r="D150" s="13" t="s">
        <v>1151</v>
      </c>
      <c r="E150" s="12" t="s">
        <v>1032</v>
      </c>
      <c r="F150" s="13" t="s">
        <v>1833</v>
      </c>
      <c r="G150" s="13" t="s">
        <v>1130</v>
      </c>
      <c r="H150" s="7" t="s">
        <v>1006</v>
      </c>
      <c r="I150" s="13" t="s">
        <v>1007</v>
      </c>
      <c r="J150" s="115">
        <v>10646.271186440677</v>
      </c>
      <c r="K150" s="116">
        <v>125</v>
      </c>
      <c r="L150" s="116">
        <v>0.71666666655801237</v>
      </c>
      <c r="M150" s="116">
        <v>594.28333333344199</v>
      </c>
      <c r="N150" s="129">
        <f t="shared" si="32"/>
        <v>0.99429935039195039</v>
      </c>
      <c r="O150" s="129">
        <f t="shared" si="33"/>
        <v>0.99900462962978054</v>
      </c>
      <c r="P150" s="129">
        <f t="shared" si="34"/>
        <v>0.17378409064575542</v>
      </c>
      <c r="Q150" s="114">
        <f t="shared" si="35"/>
        <v>85.170169491525414</v>
      </c>
      <c r="R150" s="5" t="str">
        <f t="shared" si="30"/>
        <v>Sims</v>
      </c>
      <c r="S150" s="11"/>
      <c r="X150" s="11"/>
      <c r="Y150" s="11"/>
      <c r="Z150" s="11"/>
    </row>
    <row r="151" spans="1:26" ht="15" customHeight="1">
      <c r="A151" s="76"/>
      <c r="B151" s="12">
        <f t="shared" si="31"/>
        <v>120</v>
      </c>
      <c r="C151" s="7" t="s">
        <v>969</v>
      </c>
      <c r="D151" s="13" t="s">
        <v>1152</v>
      </c>
      <c r="E151" s="12" t="s">
        <v>1032</v>
      </c>
      <c r="F151" s="13" t="s">
        <v>1833</v>
      </c>
      <c r="G151" s="13" t="s">
        <v>1153</v>
      </c>
      <c r="H151" s="7" t="s">
        <v>1006</v>
      </c>
      <c r="I151" s="13" t="s">
        <v>1007</v>
      </c>
      <c r="J151" s="115">
        <v>9589.7457627118656</v>
      </c>
      <c r="K151" s="116">
        <v>124</v>
      </c>
      <c r="L151" s="116">
        <v>5.6333333333604969</v>
      </c>
      <c r="M151" s="116">
        <v>590.3666666666395</v>
      </c>
      <c r="N151" s="129">
        <f t="shared" si="32"/>
        <v>0.95654409873983559</v>
      </c>
      <c r="O151" s="129">
        <f t="shared" si="33"/>
        <v>0.99217592592588821</v>
      </c>
      <c r="P151" s="129">
        <f t="shared" si="34"/>
        <v>0.1735803275628828</v>
      </c>
      <c r="Q151" s="114">
        <f t="shared" si="35"/>
        <v>77.336659376708596</v>
      </c>
      <c r="R151" s="5" t="str">
        <f t="shared" si="30"/>
        <v>Sims</v>
      </c>
      <c r="S151" s="11"/>
      <c r="X151" s="11"/>
      <c r="Y151" s="11"/>
      <c r="Z151" s="11"/>
    </row>
    <row r="152" spans="1:26" ht="15" customHeight="1">
      <c r="A152" s="76"/>
      <c r="B152" s="12">
        <f t="shared" si="31"/>
        <v>121</v>
      </c>
      <c r="C152" s="7" t="s">
        <v>969</v>
      </c>
      <c r="D152" s="13" t="s">
        <v>1154</v>
      </c>
      <c r="E152" s="12" t="s">
        <v>1032</v>
      </c>
      <c r="F152" s="13" t="s">
        <v>1833</v>
      </c>
      <c r="G152" s="13" t="s">
        <v>1155</v>
      </c>
      <c r="H152" s="7" t="s">
        <v>1006</v>
      </c>
      <c r="I152" s="13" t="s">
        <v>1007</v>
      </c>
      <c r="J152" s="115">
        <v>8989.5338983050842</v>
      </c>
      <c r="K152" s="116">
        <v>103</v>
      </c>
      <c r="L152" s="116">
        <v>34.716666666849051</v>
      </c>
      <c r="M152" s="116">
        <v>582.28333333315095</v>
      </c>
      <c r="N152" s="129">
        <f t="shared" si="32"/>
        <v>0.74791238049035647</v>
      </c>
      <c r="O152" s="129">
        <f t="shared" si="33"/>
        <v>0.95178240740715414</v>
      </c>
      <c r="P152" s="129">
        <f t="shared" si="34"/>
        <v>0.1503027944646167</v>
      </c>
      <c r="Q152" s="114">
        <f t="shared" si="35"/>
        <v>87.277028138884319</v>
      </c>
      <c r="R152" s="5" t="str">
        <f t="shared" si="30"/>
        <v>Sims</v>
      </c>
      <c r="S152" s="11"/>
      <c r="X152" s="11"/>
      <c r="Y152" s="11"/>
      <c r="Z152" s="11"/>
    </row>
    <row r="153" spans="1:26" ht="15" customHeight="1">
      <c r="A153" s="76"/>
      <c r="B153" s="12">
        <f t="shared" si="31"/>
        <v>122</v>
      </c>
      <c r="C153" s="7" t="s">
        <v>969</v>
      </c>
      <c r="D153" s="13" t="s">
        <v>1156</v>
      </c>
      <c r="E153" s="12" t="s">
        <v>1032</v>
      </c>
      <c r="F153" s="13" t="s">
        <v>1833</v>
      </c>
      <c r="G153" s="13" t="s">
        <v>1134</v>
      </c>
      <c r="H153" s="7" t="s">
        <v>1006</v>
      </c>
      <c r="I153" s="13" t="s">
        <v>1007</v>
      </c>
      <c r="J153" s="115">
        <v>8413.0084745762706</v>
      </c>
      <c r="K153" s="116">
        <v>107</v>
      </c>
      <c r="L153" s="116">
        <v>15.083333333430346</v>
      </c>
      <c r="M153" s="116">
        <v>597.91666666656965</v>
      </c>
      <c r="N153" s="129">
        <f t="shared" si="32"/>
        <v>0.87645051194469603</v>
      </c>
      <c r="O153" s="129">
        <f t="shared" si="33"/>
        <v>0.97905092592579124</v>
      </c>
      <c r="P153" s="129">
        <f t="shared" si="34"/>
        <v>0.15179099184302833</v>
      </c>
      <c r="Q153" s="114">
        <f t="shared" si="35"/>
        <v>78.62624742594646</v>
      </c>
      <c r="R153" s="5" t="str">
        <f t="shared" si="30"/>
        <v>Sims</v>
      </c>
      <c r="S153" s="11"/>
      <c r="X153" s="11"/>
      <c r="Y153" s="11"/>
      <c r="Z153" s="11"/>
    </row>
    <row r="154" spans="1:26" ht="15" customHeight="1">
      <c r="A154" s="76"/>
      <c r="B154" s="12">
        <f t="shared" si="31"/>
        <v>123</v>
      </c>
      <c r="C154" s="7" t="s">
        <v>969</v>
      </c>
      <c r="D154" s="13" t="s">
        <v>1157</v>
      </c>
      <c r="E154" s="12" t="s">
        <v>1032</v>
      </c>
      <c r="F154" s="13" t="s">
        <v>1833</v>
      </c>
      <c r="G154" s="13" t="s">
        <v>1158</v>
      </c>
      <c r="H154" s="7" t="s">
        <v>1006</v>
      </c>
      <c r="I154" s="13" t="s">
        <v>1007</v>
      </c>
      <c r="J154" s="115">
        <v>10041.271186440676</v>
      </c>
      <c r="K154" s="116">
        <v>122</v>
      </c>
      <c r="L154" s="116">
        <v>44.616666666814126</v>
      </c>
      <c r="M154" s="116">
        <v>553.38333333318587</v>
      </c>
      <c r="N154" s="129">
        <f t="shared" si="32"/>
        <v>0.73221966589912191</v>
      </c>
      <c r="O154" s="129">
        <f t="shared" si="33"/>
        <v>0.93803240740720262</v>
      </c>
      <c r="P154" s="129">
        <f t="shared" si="34"/>
        <v>0.18063815610891587</v>
      </c>
      <c r="Q154" s="114">
        <f t="shared" si="35"/>
        <v>82.305501528202257</v>
      </c>
      <c r="R154" s="5" t="str">
        <f t="shared" si="30"/>
        <v>Sims</v>
      </c>
      <c r="S154" s="11"/>
      <c r="X154" s="11"/>
      <c r="Y154" s="11"/>
      <c r="Z154" s="11"/>
    </row>
    <row r="155" spans="1:26" ht="15" customHeight="1">
      <c r="A155" s="76"/>
      <c r="B155" s="12">
        <f t="shared" si="31"/>
        <v>124</v>
      </c>
      <c r="C155" s="7" t="s">
        <v>969</v>
      </c>
      <c r="D155" s="13" t="s">
        <v>1159</v>
      </c>
      <c r="E155" s="12" t="s">
        <v>1032</v>
      </c>
      <c r="F155" s="13" t="s">
        <v>1834</v>
      </c>
      <c r="G155" s="13" t="s">
        <v>1160</v>
      </c>
      <c r="H155" s="7" t="s">
        <v>1006</v>
      </c>
      <c r="I155" s="13" t="s">
        <v>1161</v>
      </c>
      <c r="J155" s="115">
        <v>2011.6355932203385</v>
      </c>
      <c r="K155" s="116">
        <v>70</v>
      </c>
      <c r="L155" s="116">
        <v>455.70000000006985</v>
      </c>
      <c r="M155" s="116">
        <v>194.29999999993018</v>
      </c>
      <c r="N155" s="129">
        <f t="shared" si="32"/>
        <v>0.13315579227694635</v>
      </c>
      <c r="O155" s="129">
        <f t="shared" si="33"/>
        <v>0.36708333333323634</v>
      </c>
      <c r="P155" s="129">
        <f t="shared" si="34"/>
        <v>0.26485054861906354</v>
      </c>
      <c r="Q155" s="114">
        <f t="shared" si="35"/>
        <v>28.737651331719121</v>
      </c>
      <c r="R155" s="5" t="b">
        <f t="shared" si="30"/>
        <v>0</v>
      </c>
      <c r="S155" s="11"/>
      <c r="X155" s="11"/>
      <c r="Y155" s="11"/>
      <c r="Z155" s="11"/>
    </row>
    <row r="156" spans="1:26" ht="15" customHeight="1">
      <c r="A156" s="76"/>
      <c r="B156" s="12">
        <f t="shared" si="31"/>
        <v>125</v>
      </c>
      <c r="C156" s="7" t="s">
        <v>969</v>
      </c>
      <c r="D156" s="13" t="s">
        <v>1162</v>
      </c>
      <c r="E156" s="12" t="s">
        <v>1032</v>
      </c>
      <c r="F156" s="13" t="s">
        <v>1834</v>
      </c>
      <c r="G156" s="13" t="s">
        <v>1163</v>
      </c>
      <c r="H156" s="7" t="s">
        <v>1006</v>
      </c>
      <c r="I156" s="13" t="s">
        <v>1161</v>
      </c>
      <c r="J156" s="115">
        <v>2214.8177966101689</v>
      </c>
      <c r="K156" s="116">
        <v>70</v>
      </c>
      <c r="L156" s="116">
        <v>83.25</v>
      </c>
      <c r="M156" s="116">
        <v>566.75</v>
      </c>
      <c r="N156" s="129">
        <f t="shared" si="32"/>
        <v>0.45676998368678629</v>
      </c>
      <c r="O156" s="129">
        <f t="shared" si="33"/>
        <v>0.88437500000000002</v>
      </c>
      <c r="P156" s="129">
        <f t="shared" si="34"/>
        <v>0.1099332548095799</v>
      </c>
      <c r="Q156" s="114">
        <f t="shared" si="35"/>
        <v>31.640254237288126</v>
      </c>
      <c r="R156" s="5" t="b">
        <f t="shared" si="30"/>
        <v>0</v>
      </c>
      <c r="S156" s="11"/>
      <c r="X156" s="11"/>
      <c r="Y156" s="11"/>
      <c r="Z156" s="11"/>
    </row>
    <row r="157" spans="1:26" ht="15" customHeight="1">
      <c r="A157" s="76"/>
      <c r="B157" s="12">
        <f t="shared" si="31"/>
        <v>126</v>
      </c>
      <c r="C157" s="7" t="s">
        <v>969</v>
      </c>
      <c r="D157" s="13" t="s">
        <v>1164</v>
      </c>
      <c r="E157" s="12" t="s">
        <v>1032</v>
      </c>
      <c r="F157" s="13" t="s">
        <v>1834</v>
      </c>
      <c r="G157" s="13" t="s">
        <v>1163</v>
      </c>
      <c r="H157" s="7" t="s">
        <v>1006</v>
      </c>
      <c r="I157" s="13" t="s">
        <v>1161</v>
      </c>
      <c r="J157" s="115">
        <v>1206.6694915254236</v>
      </c>
      <c r="K157" s="116">
        <v>49</v>
      </c>
      <c r="L157" s="116">
        <v>88.199999999895226</v>
      </c>
      <c r="M157" s="116">
        <v>582.80000000010477</v>
      </c>
      <c r="N157" s="129">
        <f t="shared" si="32"/>
        <v>0.35714285714312988</v>
      </c>
      <c r="O157" s="129">
        <f t="shared" si="33"/>
        <v>0.8775000000001455</v>
      </c>
      <c r="P157" s="129">
        <f t="shared" si="34"/>
        <v>7.7556188667286918E-2</v>
      </c>
      <c r="Q157" s="114">
        <f t="shared" si="35"/>
        <v>24.625907990314769</v>
      </c>
      <c r="R157" s="5" t="b">
        <f t="shared" si="30"/>
        <v>0</v>
      </c>
      <c r="S157" s="11"/>
      <c r="X157" s="11"/>
      <c r="Y157" s="11"/>
      <c r="Z157" s="11"/>
    </row>
    <row r="158" spans="1:26" ht="15" customHeight="1">
      <c r="A158" s="76"/>
      <c r="B158" s="12">
        <f t="shared" si="31"/>
        <v>127</v>
      </c>
      <c r="C158" s="7" t="s">
        <v>969</v>
      </c>
      <c r="D158" s="13" t="s">
        <v>1165</v>
      </c>
      <c r="E158" s="12" t="s">
        <v>1032</v>
      </c>
      <c r="F158" s="13" t="s">
        <v>1834</v>
      </c>
      <c r="G158" s="13" t="s">
        <v>1166</v>
      </c>
      <c r="H158" s="7" t="s">
        <v>1006</v>
      </c>
      <c r="I158" s="13" t="s">
        <v>1161</v>
      </c>
      <c r="J158" s="115">
        <v>1787.5084745762711</v>
      </c>
      <c r="K158" s="116">
        <v>85</v>
      </c>
      <c r="L158" s="116">
        <v>83.483333333395422</v>
      </c>
      <c r="M158" s="116">
        <v>551.51666666660458</v>
      </c>
      <c r="N158" s="129">
        <f t="shared" si="32"/>
        <v>0.50450093975646659</v>
      </c>
      <c r="O158" s="129">
        <f t="shared" si="33"/>
        <v>0.88405092592583967</v>
      </c>
      <c r="P158" s="129">
        <f t="shared" si="34"/>
        <v>0.13353931554556039</v>
      </c>
      <c r="Q158" s="114">
        <f t="shared" si="35"/>
        <v>21.029511465603189</v>
      </c>
      <c r="R158" s="5" t="b">
        <f t="shared" si="30"/>
        <v>0</v>
      </c>
      <c r="S158" s="11"/>
      <c r="X158" s="11"/>
      <c r="Y158" s="11"/>
      <c r="Z158" s="11"/>
    </row>
    <row r="159" spans="1:26" ht="15" customHeight="1">
      <c r="A159" s="76"/>
      <c r="B159" s="12">
        <f t="shared" si="31"/>
        <v>128</v>
      </c>
      <c r="C159" s="7" t="s">
        <v>969</v>
      </c>
      <c r="D159" s="13" t="s">
        <v>1167</v>
      </c>
      <c r="E159" s="12" t="s">
        <v>1032</v>
      </c>
      <c r="F159" s="13" t="s">
        <v>1834</v>
      </c>
      <c r="G159" s="13" t="s">
        <v>1168</v>
      </c>
      <c r="H159" s="7" t="s">
        <v>1006</v>
      </c>
      <c r="I159" s="13" t="s">
        <v>1161</v>
      </c>
      <c r="J159" s="115">
        <v>2400.5169491525421</v>
      </c>
      <c r="K159" s="116">
        <v>94</v>
      </c>
      <c r="L159" s="116">
        <v>19.733333333220799</v>
      </c>
      <c r="M159" s="116">
        <v>606.2666666667792</v>
      </c>
      <c r="N159" s="129">
        <f t="shared" si="32"/>
        <v>0.82649472450257633</v>
      </c>
      <c r="O159" s="129">
        <f t="shared" si="33"/>
        <v>0.97259259259274888</v>
      </c>
      <c r="P159" s="129">
        <f t="shared" si="34"/>
        <v>0.13423457730386265</v>
      </c>
      <c r="Q159" s="114">
        <f t="shared" si="35"/>
        <v>25.537414352686618</v>
      </c>
      <c r="R159" s="5" t="str">
        <f t="shared" si="30"/>
        <v>Sims</v>
      </c>
      <c r="S159" s="11"/>
      <c r="X159" s="11"/>
      <c r="Y159" s="11"/>
      <c r="Z159" s="11"/>
    </row>
    <row r="160" spans="1:26" ht="15" customHeight="1">
      <c r="A160" s="76"/>
      <c r="B160" s="12">
        <f t="shared" si="31"/>
        <v>129</v>
      </c>
      <c r="C160" s="7" t="s">
        <v>969</v>
      </c>
      <c r="D160" s="13" t="s">
        <v>1169</v>
      </c>
      <c r="E160" s="12" t="s">
        <v>1032</v>
      </c>
      <c r="F160" s="13" t="s">
        <v>1834</v>
      </c>
      <c r="G160" s="13" t="s">
        <v>1168</v>
      </c>
      <c r="H160" s="7" t="s">
        <v>1006</v>
      </c>
      <c r="I160" s="13" t="s">
        <v>1161</v>
      </c>
      <c r="J160" s="115">
        <v>1995.8728813559319</v>
      </c>
      <c r="K160" s="116">
        <v>85</v>
      </c>
      <c r="L160" s="116">
        <v>38.850000000034925</v>
      </c>
      <c r="M160" s="116">
        <v>596.14999999996508</v>
      </c>
      <c r="N160" s="129">
        <f t="shared" si="32"/>
        <v>0.68631408962435225</v>
      </c>
      <c r="O160" s="129">
        <f t="shared" si="33"/>
        <v>0.94604166666661815</v>
      </c>
      <c r="P160" s="129">
        <f t="shared" si="34"/>
        <v>0.12478895984732344</v>
      </c>
      <c r="Q160" s="114">
        <f t="shared" si="35"/>
        <v>23.480857427716845</v>
      </c>
      <c r="R160" s="5" t="str">
        <f t="shared" ref="R160:R223" si="36">IF(O160&gt;89.9999999999999%,"Sims")</f>
        <v>Sims</v>
      </c>
      <c r="S160" s="11"/>
      <c r="X160" s="11"/>
      <c r="Y160" s="11"/>
      <c r="Z160" s="11"/>
    </row>
    <row r="161" spans="1:26" ht="15" customHeight="1">
      <c r="A161" s="76"/>
      <c r="B161" s="12">
        <f t="shared" si="31"/>
        <v>130</v>
      </c>
      <c r="C161" s="7" t="s">
        <v>969</v>
      </c>
      <c r="D161" s="13" t="s">
        <v>1170</v>
      </c>
      <c r="E161" s="12" t="s">
        <v>1032</v>
      </c>
      <c r="F161" s="13" t="s">
        <v>1834</v>
      </c>
      <c r="G161" s="13" t="s">
        <v>1168</v>
      </c>
      <c r="H161" s="7" t="s">
        <v>1006</v>
      </c>
      <c r="I161" s="13" t="s">
        <v>1161</v>
      </c>
      <c r="J161" s="115">
        <v>1849.6271186440672</v>
      </c>
      <c r="K161" s="116">
        <v>66</v>
      </c>
      <c r="L161" s="116">
        <v>95.383333333244082</v>
      </c>
      <c r="M161" s="116">
        <v>558.61666666675592</v>
      </c>
      <c r="N161" s="129">
        <f t="shared" si="32"/>
        <v>0.40896416399898688</v>
      </c>
      <c r="O161" s="129">
        <f t="shared" si="33"/>
        <v>0.86752314814827214</v>
      </c>
      <c r="P161" s="129">
        <f t="shared" si="34"/>
        <v>0.10566480774873747</v>
      </c>
      <c r="Q161" s="114">
        <f t="shared" si="35"/>
        <v>28.024653312788896</v>
      </c>
      <c r="R161" s="5" t="b">
        <f t="shared" si="36"/>
        <v>0</v>
      </c>
      <c r="S161" s="11"/>
      <c r="X161" s="11"/>
      <c r="Y161" s="11"/>
      <c r="Z161" s="11"/>
    </row>
    <row r="162" spans="1:26" ht="15" customHeight="1">
      <c r="A162" s="76"/>
      <c r="B162" s="12">
        <f t="shared" si="31"/>
        <v>131</v>
      </c>
      <c r="C162" s="7" t="s">
        <v>969</v>
      </c>
      <c r="D162" s="13" t="s">
        <v>1171</v>
      </c>
      <c r="E162" s="12" t="s">
        <v>1032</v>
      </c>
      <c r="F162" s="13" t="s">
        <v>1834</v>
      </c>
      <c r="G162" s="13" t="s">
        <v>1168</v>
      </c>
      <c r="H162" s="7" t="s">
        <v>1006</v>
      </c>
      <c r="I162" s="13" t="s">
        <v>1161</v>
      </c>
      <c r="J162" s="115">
        <v>1852.8940677966102</v>
      </c>
      <c r="K162" s="116">
        <v>88</v>
      </c>
      <c r="L162" s="116">
        <v>76.666666666860692</v>
      </c>
      <c r="M162" s="116">
        <v>555.33333333313931</v>
      </c>
      <c r="N162" s="129">
        <f t="shared" si="32"/>
        <v>0.53441295546495737</v>
      </c>
      <c r="O162" s="129">
        <f t="shared" si="33"/>
        <v>0.89351851851824904</v>
      </c>
      <c r="P162" s="129">
        <f t="shared" si="34"/>
        <v>0.13678756476688064</v>
      </c>
      <c r="Q162" s="114">
        <f t="shared" si="35"/>
        <v>21.055614406779661</v>
      </c>
      <c r="R162" s="5" t="b">
        <f t="shared" si="36"/>
        <v>0</v>
      </c>
      <c r="S162" s="11"/>
      <c r="X162" s="11"/>
      <c r="Y162" s="11"/>
      <c r="Z162" s="11"/>
    </row>
    <row r="163" spans="1:26" ht="15" customHeight="1">
      <c r="A163" s="76"/>
      <c r="B163" s="12">
        <f t="shared" si="31"/>
        <v>132</v>
      </c>
      <c r="C163" s="7" t="s">
        <v>969</v>
      </c>
      <c r="D163" s="13" t="s">
        <v>1172</v>
      </c>
      <c r="E163" s="12" t="s">
        <v>1032</v>
      </c>
      <c r="F163" s="13" t="s">
        <v>1834</v>
      </c>
      <c r="G163" s="13" t="s">
        <v>1168</v>
      </c>
      <c r="H163" s="7" t="s">
        <v>1006</v>
      </c>
      <c r="I163" s="13" t="s">
        <v>1161</v>
      </c>
      <c r="J163" s="115">
        <v>1213.0211864406781</v>
      </c>
      <c r="K163" s="116">
        <v>71</v>
      </c>
      <c r="L163" s="116">
        <v>122.3833333334187</v>
      </c>
      <c r="M163" s="116">
        <v>526.6166666665813</v>
      </c>
      <c r="N163" s="129">
        <f t="shared" si="32"/>
        <v>0.36714642764785999</v>
      </c>
      <c r="O163" s="129">
        <f t="shared" si="33"/>
        <v>0.83002314814802958</v>
      </c>
      <c r="P163" s="129">
        <f t="shared" si="34"/>
        <v>0.11880525420421699</v>
      </c>
      <c r="Q163" s="114">
        <f t="shared" si="35"/>
        <v>17.08480544282645</v>
      </c>
      <c r="R163" s="5" t="b">
        <f t="shared" si="36"/>
        <v>0</v>
      </c>
      <c r="S163" s="11"/>
      <c r="X163" s="11"/>
      <c r="Y163" s="11"/>
      <c r="Z163" s="11"/>
    </row>
    <row r="164" spans="1:26" ht="15" customHeight="1">
      <c r="A164" s="76"/>
      <c r="B164" s="12">
        <f t="shared" si="31"/>
        <v>133</v>
      </c>
      <c r="C164" s="7" t="s">
        <v>969</v>
      </c>
      <c r="D164" s="13" t="s">
        <v>1173</v>
      </c>
      <c r="E164" s="12" t="s">
        <v>1032</v>
      </c>
      <c r="F164" s="13" t="s">
        <v>1834</v>
      </c>
      <c r="G164" s="13" t="s">
        <v>1168</v>
      </c>
      <c r="H164" s="7" t="s">
        <v>1006</v>
      </c>
      <c r="I164" s="13" t="s">
        <v>1161</v>
      </c>
      <c r="J164" s="115">
        <v>2793.8728813559314</v>
      </c>
      <c r="K164" s="116">
        <v>94</v>
      </c>
      <c r="L164" s="116">
        <v>18.216666666849051</v>
      </c>
      <c r="M164" s="116">
        <v>607.78333333315095</v>
      </c>
      <c r="N164" s="129">
        <f t="shared" si="32"/>
        <v>0.83766523095066592</v>
      </c>
      <c r="O164" s="129">
        <f t="shared" si="33"/>
        <v>0.97469907407382073</v>
      </c>
      <c r="P164" s="129">
        <f t="shared" si="34"/>
        <v>0.13394447479044971</v>
      </c>
      <c r="Q164" s="114">
        <f t="shared" si="35"/>
        <v>29.722051929318418</v>
      </c>
      <c r="R164" s="5" t="str">
        <f t="shared" si="36"/>
        <v>Sims</v>
      </c>
      <c r="S164" s="11"/>
      <c r="X164" s="11"/>
      <c r="Y164" s="11"/>
      <c r="Z164" s="11"/>
    </row>
    <row r="165" spans="1:26" ht="15" customHeight="1">
      <c r="A165" s="76"/>
      <c r="B165" s="12">
        <f t="shared" si="31"/>
        <v>134</v>
      </c>
      <c r="C165" s="7" t="s">
        <v>969</v>
      </c>
      <c r="D165" s="13" t="s">
        <v>1174</v>
      </c>
      <c r="E165" s="12" t="s">
        <v>1032</v>
      </c>
      <c r="F165" s="13" t="s">
        <v>1834</v>
      </c>
      <c r="G165" s="13" t="s">
        <v>1175</v>
      </c>
      <c r="H165" s="7" t="s">
        <v>1006</v>
      </c>
      <c r="I165" s="13" t="s">
        <v>1161</v>
      </c>
      <c r="J165" s="115">
        <v>2035.2245762711871</v>
      </c>
      <c r="K165" s="116">
        <v>88</v>
      </c>
      <c r="L165" s="116">
        <v>63.716666667081881</v>
      </c>
      <c r="M165" s="116">
        <v>568.28333333291812</v>
      </c>
      <c r="N165" s="129">
        <f t="shared" si="32"/>
        <v>0.58002856201093589</v>
      </c>
      <c r="O165" s="129">
        <f t="shared" si="33"/>
        <v>0.91150462962905299</v>
      </c>
      <c r="P165" s="129">
        <f t="shared" si="34"/>
        <v>0.13408842725457348</v>
      </c>
      <c r="Q165" s="114">
        <f t="shared" si="35"/>
        <v>23.127552003081671</v>
      </c>
      <c r="R165" s="5" t="str">
        <f t="shared" si="36"/>
        <v>Sims</v>
      </c>
      <c r="S165" s="11"/>
      <c r="X165" s="11"/>
      <c r="Y165" s="11"/>
      <c r="Z165" s="11"/>
    </row>
    <row r="166" spans="1:26" ht="15" customHeight="1">
      <c r="A166" s="76"/>
      <c r="B166" s="12">
        <f t="shared" ref="B166:B169" si="37">+B165+1</f>
        <v>135</v>
      </c>
      <c r="C166" s="7" t="s">
        <v>969</v>
      </c>
      <c r="D166" s="13" t="s">
        <v>1176</v>
      </c>
      <c r="E166" s="12" t="s">
        <v>1032</v>
      </c>
      <c r="F166" s="13" t="s">
        <v>1834</v>
      </c>
      <c r="G166" s="13" t="s">
        <v>1175</v>
      </c>
      <c r="H166" s="7" t="s">
        <v>1006</v>
      </c>
      <c r="I166" s="13" t="s">
        <v>1161</v>
      </c>
      <c r="J166" s="115">
        <v>2219.9406779661022</v>
      </c>
      <c r="K166" s="116">
        <v>87</v>
      </c>
      <c r="L166" s="116">
        <v>20.016666666429956</v>
      </c>
      <c r="M166" s="116">
        <v>612.98333333357004</v>
      </c>
      <c r="N166" s="129">
        <f t="shared" si="32"/>
        <v>0.81295748325985773</v>
      </c>
      <c r="O166" s="129">
        <f t="shared" si="33"/>
        <v>0.97219907407440287</v>
      </c>
      <c r="P166" s="129">
        <f t="shared" si="34"/>
        <v>0.12428867353980416</v>
      </c>
      <c r="Q166" s="114">
        <f t="shared" si="35"/>
        <v>25.51655951685175</v>
      </c>
      <c r="R166" s="5" t="str">
        <f t="shared" si="36"/>
        <v>Sims</v>
      </c>
      <c r="S166" s="11"/>
      <c r="X166" s="11"/>
      <c r="Y166" s="11"/>
      <c r="Z166" s="11"/>
    </row>
    <row r="167" spans="1:26" ht="15" customHeight="1">
      <c r="A167" s="76"/>
      <c r="B167" s="12">
        <f t="shared" si="37"/>
        <v>136</v>
      </c>
      <c r="C167" s="7" t="s">
        <v>969</v>
      </c>
      <c r="D167" s="13" t="s">
        <v>1177</v>
      </c>
      <c r="E167" s="12" t="s">
        <v>1032</v>
      </c>
      <c r="F167" s="13" t="s">
        <v>1834</v>
      </c>
      <c r="G167" s="13" t="s">
        <v>1175</v>
      </c>
      <c r="H167" s="7" t="s">
        <v>1006</v>
      </c>
      <c r="I167" s="13" t="s">
        <v>1161</v>
      </c>
      <c r="J167" s="115">
        <v>2502.9406779661022</v>
      </c>
      <c r="K167" s="116">
        <v>93</v>
      </c>
      <c r="L167" s="116">
        <v>41.116666666755918</v>
      </c>
      <c r="M167" s="116">
        <v>585.88333333324408</v>
      </c>
      <c r="N167" s="129">
        <f t="shared" si="32"/>
        <v>0.69342612153551464</v>
      </c>
      <c r="O167" s="129">
        <f t="shared" si="33"/>
        <v>0.94289351851839454</v>
      </c>
      <c r="P167" s="129">
        <f t="shared" si="34"/>
        <v>0.13698966439989035</v>
      </c>
      <c r="Q167" s="114">
        <f t="shared" si="35"/>
        <v>26.913340623291422</v>
      </c>
      <c r="R167" s="5" t="str">
        <f t="shared" si="36"/>
        <v>Sims</v>
      </c>
      <c r="S167" s="11"/>
      <c r="X167" s="11"/>
      <c r="Y167" s="11"/>
      <c r="Z167" s="11"/>
    </row>
    <row r="168" spans="1:26" ht="15" customHeight="1">
      <c r="A168" s="76"/>
      <c r="B168" s="12">
        <f t="shared" si="37"/>
        <v>137</v>
      </c>
      <c r="C168" s="7" t="s">
        <v>969</v>
      </c>
      <c r="D168" s="13" t="s">
        <v>1178</v>
      </c>
      <c r="E168" s="12" t="s">
        <v>1032</v>
      </c>
      <c r="F168" s="13" t="s">
        <v>1834</v>
      </c>
      <c r="G168" s="13" t="s">
        <v>1175</v>
      </c>
      <c r="H168" s="7" t="s">
        <v>1006</v>
      </c>
      <c r="I168" s="13" t="s">
        <v>1161</v>
      </c>
      <c r="J168" s="115">
        <v>3160.7711864406774</v>
      </c>
      <c r="K168" s="116">
        <v>111</v>
      </c>
      <c r="L168" s="116">
        <v>78.333333333546761</v>
      </c>
      <c r="M168" s="116">
        <v>530.66666666645324</v>
      </c>
      <c r="N168" s="129">
        <f t="shared" si="32"/>
        <v>0.58626760563314195</v>
      </c>
      <c r="O168" s="129">
        <f t="shared" si="33"/>
        <v>0.89120370370340729</v>
      </c>
      <c r="P168" s="129">
        <f t="shared" si="34"/>
        <v>0.17298701298707053</v>
      </c>
      <c r="Q168" s="114">
        <f t="shared" si="35"/>
        <v>28.475416094060158</v>
      </c>
      <c r="R168" s="5" t="b">
        <f t="shared" si="36"/>
        <v>0</v>
      </c>
      <c r="S168" s="11"/>
      <c r="X168" s="11"/>
      <c r="Y168" s="11"/>
      <c r="Z168" s="11"/>
    </row>
    <row r="169" spans="1:26" ht="15" customHeight="1">
      <c r="A169" s="76"/>
      <c r="B169" s="12">
        <f t="shared" si="37"/>
        <v>138</v>
      </c>
      <c r="C169" s="7" t="s">
        <v>969</v>
      </c>
      <c r="D169" s="13" t="s">
        <v>1179</v>
      </c>
      <c r="E169" s="12" t="s">
        <v>1032</v>
      </c>
      <c r="F169" s="13" t="s">
        <v>1834</v>
      </c>
      <c r="G169" s="13" t="s">
        <v>1175</v>
      </c>
      <c r="H169" s="7" t="s">
        <v>1006</v>
      </c>
      <c r="I169" s="13" t="s">
        <v>1161</v>
      </c>
      <c r="J169" s="115">
        <v>1587.5593220338978</v>
      </c>
      <c r="K169" s="116">
        <v>68</v>
      </c>
      <c r="L169" s="116">
        <v>47.133333333476912</v>
      </c>
      <c r="M169" s="116">
        <v>604.86666666652309</v>
      </c>
      <c r="N169" s="129">
        <f t="shared" si="32"/>
        <v>0.59061957151055466</v>
      </c>
      <c r="O169" s="129">
        <f t="shared" si="33"/>
        <v>0.93453703703683766</v>
      </c>
      <c r="P169" s="129">
        <f t="shared" si="34"/>
        <v>0.10106014069158997</v>
      </c>
      <c r="Q169" s="114">
        <f t="shared" si="35"/>
        <v>23.346460618145557</v>
      </c>
      <c r="R169" s="5" t="str">
        <f t="shared" si="36"/>
        <v>Sims</v>
      </c>
      <c r="S169" s="11"/>
      <c r="X169" s="11"/>
      <c r="Y169" s="11"/>
      <c r="Z169" s="11"/>
    </row>
    <row r="170" spans="1:26" ht="15" hidden="1" customHeight="1">
      <c r="A170" s="76"/>
      <c r="B170" s="12"/>
      <c r="C170" s="7"/>
      <c r="D170" s="13"/>
      <c r="E170" s="12"/>
      <c r="F170" s="13"/>
      <c r="G170" s="13"/>
      <c r="H170" s="7"/>
      <c r="I170" s="13"/>
      <c r="J170" s="115"/>
      <c r="K170" s="116"/>
      <c r="L170" s="116"/>
      <c r="M170" s="116"/>
      <c r="N170" s="129"/>
      <c r="O170" s="129"/>
      <c r="P170" s="129"/>
      <c r="Q170" s="114"/>
      <c r="R170" s="5" t="b">
        <f t="shared" si="36"/>
        <v>0</v>
      </c>
      <c r="S170" s="11"/>
      <c r="X170" s="11"/>
      <c r="Y170" s="11"/>
      <c r="Z170" s="11"/>
    </row>
    <row r="171" spans="1:26" ht="15" hidden="1" customHeight="1">
      <c r="A171" s="76"/>
      <c r="B171" s="12"/>
      <c r="C171" s="7"/>
      <c r="D171" s="13"/>
      <c r="E171" s="12"/>
      <c r="F171" s="13"/>
      <c r="G171" s="13"/>
      <c r="H171" s="7"/>
      <c r="I171" s="13"/>
      <c r="J171" s="115"/>
      <c r="K171" s="116"/>
      <c r="L171" s="116"/>
      <c r="M171" s="116"/>
      <c r="N171" s="129"/>
      <c r="O171" s="129"/>
      <c r="P171" s="129"/>
      <c r="Q171" s="114"/>
      <c r="R171" s="5" t="b">
        <f t="shared" si="36"/>
        <v>0</v>
      </c>
      <c r="S171" s="11"/>
      <c r="X171" s="11"/>
      <c r="Y171" s="11"/>
      <c r="Z171" s="11"/>
    </row>
    <row r="172" spans="1:26" ht="15" hidden="1" customHeight="1">
      <c r="A172" s="76"/>
      <c r="B172" s="12"/>
      <c r="C172" s="7"/>
      <c r="D172" s="13"/>
      <c r="E172" s="12"/>
      <c r="F172" s="13"/>
      <c r="G172" s="13"/>
      <c r="H172" s="7"/>
      <c r="I172" s="13"/>
      <c r="J172" s="115"/>
      <c r="K172" s="116"/>
      <c r="L172" s="116"/>
      <c r="M172" s="116"/>
      <c r="N172" s="129"/>
      <c r="O172" s="129"/>
      <c r="P172" s="129"/>
      <c r="Q172" s="114"/>
      <c r="R172" s="5" t="b">
        <f t="shared" si="36"/>
        <v>0</v>
      </c>
      <c r="S172" s="11"/>
      <c r="X172" s="11"/>
      <c r="Y172" s="11"/>
      <c r="Z172" s="11"/>
    </row>
    <row r="173" spans="1:26" ht="15" hidden="1" customHeight="1">
      <c r="A173" s="76"/>
      <c r="B173" s="12"/>
      <c r="C173" s="7"/>
      <c r="D173" s="13"/>
      <c r="E173" s="12"/>
      <c r="F173" s="13"/>
      <c r="G173" s="13"/>
      <c r="H173" s="7"/>
      <c r="I173" s="13"/>
      <c r="J173" s="115"/>
      <c r="K173" s="116"/>
      <c r="L173" s="116"/>
      <c r="M173" s="116"/>
      <c r="N173" s="129"/>
      <c r="O173" s="129"/>
      <c r="P173" s="129"/>
      <c r="Q173" s="114"/>
      <c r="R173" s="5" t="b">
        <f t="shared" si="36"/>
        <v>0</v>
      </c>
      <c r="S173" s="11"/>
      <c r="X173" s="11"/>
      <c r="Y173" s="11"/>
      <c r="Z173" s="11"/>
    </row>
    <row r="174" spans="1:26" ht="15" hidden="1" customHeight="1">
      <c r="A174" s="76"/>
      <c r="B174" s="12"/>
      <c r="C174" s="7"/>
      <c r="D174" s="13"/>
      <c r="E174" s="12"/>
      <c r="F174" s="13"/>
      <c r="G174" s="13"/>
      <c r="H174" s="7"/>
      <c r="I174" s="13"/>
      <c r="J174" s="115"/>
      <c r="K174" s="116"/>
      <c r="L174" s="116"/>
      <c r="M174" s="116"/>
      <c r="N174" s="129"/>
      <c r="O174" s="129"/>
      <c r="P174" s="129"/>
      <c r="Q174" s="114"/>
      <c r="R174" s="5" t="b">
        <f t="shared" si="36"/>
        <v>0</v>
      </c>
      <c r="S174" s="11"/>
      <c r="X174" s="11"/>
      <c r="Y174" s="11"/>
      <c r="Z174" s="11"/>
    </row>
    <row r="175" spans="1:26" ht="15" customHeight="1">
      <c r="A175" s="76"/>
      <c r="B175" s="353" t="s">
        <v>22</v>
      </c>
      <c r="C175" s="353"/>
      <c r="D175" s="353"/>
      <c r="E175" s="353"/>
      <c r="F175" s="8">
        <f>+COUNTA(F32:F174)</f>
        <v>138</v>
      </c>
      <c r="G175" s="9"/>
      <c r="H175" s="7"/>
      <c r="I175" s="7"/>
      <c r="J175" s="7"/>
      <c r="K175" s="98"/>
      <c r="L175" s="98"/>
      <c r="M175" s="98"/>
      <c r="N175" s="98"/>
      <c r="O175" s="98"/>
      <c r="P175" s="98"/>
      <c r="Q175" s="101"/>
      <c r="R175" s="5" t="b">
        <f t="shared" si="36"/>
        <v>0</v>
      </c>
      <c r="S175" s="11"/>
      <c r="X175" s="11"/>
      <c r="Y175" s="11"/>
      <c r="Z175" s="11"/>
    </row>
    <row r="176" spans="1:26" ht="15" customHeight="1">
      <c r="A176" s="76"/>
      <c r="B176" s="74"/>
      <c r="C176" s="74"/>
      <c r="D176" s="74"/>
      <c r="E176" s="74"/>
      <c r="F176" s="74"/>
      <c r="G176" s="74"/>
      <c r="H176" s="74"/>
      <c r="I176" s="74"/>
      <c r="J176" s="74"/>
      <c r="K176" s="99"/>
      <c r="L176" s="99"/>
      <c r="M176" s="99"/>
      <c r="N176" s="99"/>
      <c r="O176" s="99"/>
      <c r="P176" s="99"/>
      <c r="Q176" s="103"/>
      <c r="R176" s="5" t="b">
        <f t="shared" si="36"/>
        <v>0</v>
      </c>
      <c r="S176" s="11"/>
      <c r="X176" s="11"/>
      <c r="Y176" s="11"/>
      <c r="Z176" s="11"/>
    </row>
    <row r="177" spans="1:26" ht="15" customHeight="1">
      <c r="A177" s="65" t="s">
        <v>95</v>
      </c>
      <c r="B177" s="66" t="s">
        <v>96</v>
      </c>
      <c r="C177" s="4"/>
      <c r="D177" s="4"/>
      <c r="E177" s="4"/>
      <c r="F177" s="16"/>
      <c r="G177" s="4"/>
      <c r="H177" s="4"/>
      <c r="I177" s="4"/>
      <c r="J177" s="4"/>
      <c r="K177" s="100"/>
      <c r="L177" s="100"/>
      <c r="M177" s="100"/>
      <c r="N177" s="100"/>
      <c r="O177" s="100"/>
      <c r="P177" s="100"/>
      <c r="Q177" s="102"/>
      <c r="R177" s="5" t="b">
        <f t="shared" si="36"/>
        <v>0</v>
      </c>
      <c r="S177" s="11"/>
      <c r="X177" s="11"/>
      <c r="Y177" s="11"/>
      <c r="Z177" s="11"/>
    </row>
    <row r="178" spans="1:26" ht="15" customHeight="1">
      <c r="A178" s="76"/>
      <c r="B178" s="6" t="s">
        <v>2</v>
      </c>
      <c r="C178" s="6" t="s">
        <v>3</v>
      </c>
      <c r="D178" s="6" t="s">
        <v>4</v>
      </c>
      <c r="E178" s="6" t="s">
        <v>5</v>
      </c>
      <c r="F178" s="6" t="s">
        <v>6</v>
      </c>
      <c r="G178" s="6" t="s">
        <v>7</v>
      </c>
      <c r="H178" s="6" t="s">
        <v>8</v>
      </c>
      <c r="I178" s="6" t="s">
        <v>9</v>
      </c>
      <c r="J178" s="6"/>
      <c r="K178" s="6" t="s">
        <v>262</v>
      </c>
      <c r="L178" s="6" t="s">
        <v>268</v>
      </c>
      <c r="M178" s="6" t="s">
        <v>269</v>
      </c>
      <c r="N178" s="6" t="s">
        <v>263</v>
      </c>
      <c r="O178" s="6" t="s">
        <v>264</v>
      </c>
      <c r="P178" s="6" t="s">
        <v>265</v>
      </c>
      <c r="Q178" s="67" t="s">
        <v>266</v>
      </c>
      <c r="R178" s="5" t="str">
        <f t="shared" si="36"/>
        <v>Sims</v>
      </c>
      <c r="S178" s="11"/>
      <c r="X178" s="11"/>
      <c r="Y178" s="11"/>
      <c r="Z178" s="11"/>
    </row>
    <row r="179" spans="1:26" ht="15" customHeight="1">
      <c r="A179" s="76"/>
      <c r="B179" s="12">
        <v>1</v>
      </c>
      <c r="C179" s="7" t="s">
        <v>969</v>
      </c>
      <c r="D179" s="13" t="s">
        <v>1835</v>
      </c>
      <c r="E179" s="12" t="s">
        <v>1032</v>
      </c>
      <c r="F179" s="13" t="s">
        <v>174</v>
      </c>
      <c r="G179" s="13" t="s">
        <v>1180</v>
      </c>
      <c r="H179" s="7" t="s">
        <v>1181</v>
      </c>
      <c r="I179" s="13" t="s">
        <v>1182</v>
      </c>
      <c r="J179" s="115">
        <v>0</v>
      </c>
      <c r="K179" s="116">
        <v>0</v>
      </c>
      <c r="L179" s="116">
        <v>0</v>
      </c>
      <c r="M179" s="116">
        <v>0</v>
      </c>
      <c r="N179" s="129">
        <v>0</v>
      </c>
      <c r="O179" s="129">
        <v>0</v>
      </c>
      <c r="P179" s="129">
        <v>0</v>
      </c>
      <c r="Q179" s="114"/>
      <c r="R179" s="5" t="b">
        <f t="shared" si="36"/>
        <v>0</v>
      </c>
      <c r="S179" s="11"/>
      <c r="X179" s="11"/>
      <c r="Y179" s="11"/>
      <c r="Z179" s="11"/>
    </row>
    <row r="180" spans="1:26" ht="15" customHeight="1">
      <c r="A180" s="76"/>
      <c r="B180" s="12">
        <f>+B179+1</f>
        <v>2</v>
      </c>
      <c r="C180" s="7" t="s">
        <v>969</v>
      </c>
      <c r="D180" s="13" t="s">
        <v>1836</v>
      </c>
      <c r="E180" s="12" t="s">
        <v>1032</v>
      </c>
      <c r="F180" s="13" t="s">
        <v>174</v>
      </c>
      <c r="G180" s="13" t="s">
        <v>1180</v>
      </c>
      <c r="H180" s="7" t="s">
        <v>1181</v>
      </c>
      <c r="I180" s="13" t="s">
        <v>1182</v>
      </c>
      <c r="J180" s="115">
        <v>0</v>
      </c>
      <c r="K180" s="116">
        <v>0</v>
      </c>
      <c r="L180" s="116">
        <v>0</v>
      </c>
      <c r="M180" s="116">
        <v>0</v>
      </c>
      <c r="N180" s="129">
        <v>0</v>
      </c>
      <c r="O180" s="129">
        <v>0</v>
      </c>
      <c r="P180" s="129">
        <v>0</v>
      </c>
      <c r="Q180" s="114"/>
      <c r="R180" s="5" t="b">
        <f t="shared" si="36"/>
        <v>0</v>
      </c>
      <c r="S180" s="11"/>
      <c r="X180" s="11"/>
      <c r="Y180" s="11"/>
      <c r="Z180" s="11"/>
    </row>
    <row r="181" spans="1:26" ht="15" customHeight="1">
      <c r="A181" s="76"/>
      <c r="B181" s="12">
        <f t="shared" ref="B181:B259" si="38">+B180+1</f>
        <v>3</v>
      </c>
      <c r="C181" s="7" t="s">
        <v>969</v>
      </c>
      <c r="D181" s="13" t="s">
        <v>1837</v>
      </c>
      <c r="E181" s="12" t="s">
        <v>1032</v>
      </c>
      <c r="F181" s="13" t="s">
        <v>174</v>
      </c>
      <c r="G181" s="13" t="s">
        <v>1183</v>
      </c>
      <c r="H181" s="7" t="s">
        <v>1181</v>
      </c>
      <c r="I181" s="13" t="s">
        <v>1182</v>
      </c>
      <c r="J181" s="115">
        <v>0</v>
      </c>
      <c r="K181" s="116">
        <v>0</v>
      </c>
      <c r="L181" s="116">
        <v>0</v>
      </c>
      <c r="M181" s="116">
        <v>0</v>
      </c>
      <c r="N181" s="129">
        <v>0</v>
      </c>
      <c r="O181" s="129">
        <v>0</v>
      </c>
      <c r="P181" s="129">
        <v>0</v>
      </c>
      <c r="Q181" s="114"/>
      <c r="R181" s="5" t="b">
        <f t="shared" si="36"/>
        <v>0</v>
      </c>
      <c r="S181" s="11"/>
      <c r="X181" s="11"/>
      <c r="Y181" s="11"/>
      <c r="Z181" s="11"/>
    </row>
    <row r="182" spans="1:26" ht="15" customHeight="1">
      <c r="A182" s="76"/>
      <c r="B182" s="12">
        <f t="shared" si="38"/>
        <v>4</v>
      </c>
      <c r="C182" s="7" t="s">
        <v>969</v>
      </c>
      <c r="D182" s="13" t="s">
        <v>1838</v>
      </c>
      <c r="E182" s="12" t="s">
        <v>1032</v>
      </c>
      <c r="F182" s="13" t="s">
        <v>168</v>
      </c>
      <c r="G182" s="13" t="s">
        <v>1184</v>
      </c>
      <c r="H182" s="7" t="s">
        <v>1181</v>
      </c>
      <c r="I182" s="13" t="s">
        <v>1185</v>
      </c>
      <c r="J182" s="115">
        <v>0</v>
      </c>
      <c r="K182" s="116">
        <v>0</v>
      </c>
      <c r="L182" s="116">
        <v>0</v>
      </c>
      <c r="M182" s="116">
        <v>0</v>
      </c>
      <c r="N182" s="129">
        <v>0</v>
      </c>
      <c r="O182" s="129">
        <v>0</v>
      </c>
      <c r="P182" s="129">
        <v>0</v>
      </c>
      <c r="Q182" s="114"/>
      <c r="R182" s="5" t="b">
        <f t="shared" si="36"/>
        <v>0</v>
      </c>
      <c r="S182" s="11"/>
      <c r="X182" s="11"/>
      <c r="Y182" s="11"/>
      <c r="Z182" s="11"/>
    </row>
    <row r="183" spans="1:26" ht="15" customHeight="1">
      <c r="A183" s="76"/>
      <c r="B183" s="12">
        <f t="shared" si="38"/>
        <v>5</v>
      </c>
      <c r="C183" s="7" t="s">
        <v>969</v>
      </c>
      <c r="D183" s="13" t="s">
        <v>1839</v>
      </c>
      <c r="E183" s="12" t="s">
        <v>1032</v>
      </c>
      <c r="F183" s="13" t="s">
        <v>168</v>
      </c>
      <c r="G183" s="13" t="s">
        <v>1184</v>
      </c>
      <c r="H183" s="7" t="s">
        <v>1181</v>
      </c>
      <c r="I183" s="13" t="s">
        <v>1185</v>
      </c>
      <c r="J183" s="115">
        <v>0</v>
      </c>
      <c r="K183" s="116">
        <v>0</v>
      </c>
      <c r="L183" s="116">
        <v>0</v>
      </c>
      <c r="M183" s="116">
        <v>0</v>
      </c>
      <c r="N183" s="129">
        <v>0</v>
      </c>
      <c r="O183" s="129">
        <v>0</v>
      </c>
      <c r="P183" s="129">
        <v>0</v>
      </c>
      <c r="Q183" s="114"/>
      <c r="R183" s="5" t="b">
        <f t="shared" si="36"/>
        <v>0</v>
      </c>
      <c r="S183" s="11"/>
      <c r="X183" s="11"/>
      <c r="Y183" s="11"/>
      <c r="Z183" s="11"/>
    </row>
    <row r="184" spans="1:26" ht="15" customHeight="1">
      <c r="A184" s="76"/>
      <c r="B184" s="12">
        <f t="shared" si="38"/>
        <v>6</v>
      </c>
      <c r="C184" s="7" t="s">
        <v>969</v>
      </c>
      <c r="D184" s="13" t="s">
        <v>1840</v>
      </c>
      <c r="E184" s="12" t="s">
        <v>1032</v>
      </c>
      <c r="F184" s="13" t="s">
        <v>168</v>
      </c>
      <c r="G184" s="13" t="s">
        <v>1186</v>
      </c>
      <c r="H184" s="7" t="s">
        <v>1181</v>
      </c>
      <c r="I184" s="13" t="s">
        <v>1185</v>
      </c>
      <c r="J184" s="115">
        <v>0</v>
      </c>
      <c r="K184" s="116">
        <v>20</v>
      </c>
      <c r="L184" s="116">
        <v>41.833333333139308</v>
      </c>
      <c r="M184" s="116">
        <v>658.16666666686069</v>
      </c>
      <c r="N184" s="129">
        <f t="shared" ref="N184" si="39">+K184/(K184+L184)</f>
        <v>0.32345013477190443</v>
      </c>
      <c r="O184" s="129">
        <f t="shared" ref="O184" si="40">+(K184+M184)/(K184+L184+M184)</f>
        <v>0.94189814814841766</v>
      </c>
      <c r="P184" s="129">
        <f t="shared" ref="P184" si="41">+K184/(K184+M184)</f>
        <v>2.9491275497656837E-2</v>
      </c>
      <c r="Q184" s="114"/>
      <c r="R184" s="5" t="str">
        <f t="shared" si="36"/>
        <v>Sims</v>
      </c>
      <c r="S184" s="11"/>
      <c r="X184" s="11"/>
      <c r="Y184" s="11"/>
      <c r="Z184" s="11"/>
    </row>
    <row r="185" spans="1:26" ht="15" customHeight="1">
      <c r="A185" s="76"/>
      <c r="B185" s="12">
        <f t="shared" si="38"/>
        <v>7</v>
      </c>
      <c r="C185" s="7" t="s">
        <v>969</v>
      </c>
      <c r="D185" s="13" t="s">
        <v>1841</v>
      </c>
      <c r="E185" s="12" t="s">
        <v>1032</v>
      </c>
      <c r="F185" s="13" t="s">
        <v>168</v>
      </c>
      <c r="G185" s="13" t="s">
        <v>1187</v>
      </c>
      <c r="H185" s="7" t="s">
        <v>1181</v>
      </c>
      <c r="I185" s="13" t="s">
        <v>1185</v>
      </c>
      <c r="J185" s="115">
        <v>0</v>
      </c>
      <c r="K185" s="116">
        <v>41</v>
      </c>
      <c r="L185" s="116">
        <v>40.933333333523478</v>
      </c>
      <c r="M185" s="116">
        <v>638.06666666647652</v>
      </c>
      <c r="N185" s="129">
        <f t="shared" ref="N185:N189" si="42">+K185/(K185+L185)</f>
        <v>0.50040683482389969</v>
      </c>
      <c r="O185" s="129">
        <f t="shared" ref="O185:O189" si="43">+(K185+M185)/(K185+L185+M185)</f>
        <v>0.94314814814788406</v>
      </c>
      <c r="P185" s="129">
        <f t="shared" ref="P185:P189" si="44">+K185/(K185+M185)</f>
        <v>6.0376988022793267E-2</v>
      </c>
      <c r="Q185" s="114"/>
      <c r="R185" s="5" t="str">
        <f t="shared" si="36"/>
        <v>Sims</v>
      </c>
      <c r="S185" s="11"/>
      <c r="X185" s="11"/>
      <c r="Y185" s="11"/>
      <c r="Z185" s="11"/>
    </row>
    <row r="186" spans="1:26" ht="15" customHeight="1">
      <c r="A186" s="76"/>
      <c r="B186" s="12">
        <f t="shared" si="38"/>
        <v>8</v>
      </c>
      <c r="C186" s="7" t="s">
        <v>955</v>
      </c>
      <c r="D186" s="13" t="s">
        <v>1842</v>
      </c>
      <c r="E186" s="12" t="s">
        <v>1032</v>
      </c>
      <c r="F186" s="13" t="s">
        <v>169</v>
      </c>
      <c r="G186" s="13" t="s">
        <v>1188</v>
      </c>
      <c r="H186" s="7" t="s">
        <v>1181</v>
      </c>
      <c r="I186" s="13" t="s">
        <v>1189</v>
      </c>
      <c r="J186" s="115">
        <v>0</v>
      </c>
      <c r="K186" s="116">
        <v>56</v>
      </c>
      <c r="L186" s="116">
        <v>86.066666666592937</v>
      </c>
      <c r="M186" s="116">
        <v>577.93333333340706</v>
      </c>
      <c r="N186" s="129">
        <f t="shared" si="42"/>
        <v>0.39418113561728574</v>
      </c>
      <c r="O186" s="129">
        <f t="shared" si="43"/>
        <v>0.88046296296306537</v>
      </c>
      <c r="P186" s="129">
        <f t="shared" si="44"/>
        <v>8.8337364601945773E-2</v>
      </c>
      <c r="Q186" s="114"/>
      <c r="R186" s="5" t="b">
        <f t="shared" si="36"/>
        <v>0</v>
      </c>
      <c r="S186" s="11"/>
      <c r="X186" s="11"/>
      <c r="Y186" s="11"/>
      <c r="Z186" s="11"/>
    </row>
    <row r="187" spans="1:26" ht="15" customHeight="1">
      <c r="A187" s="76"/>
      <c r="B187" s="12">
        <f t="shared" si="38"/>
        <v>9</v>
      </c>
      <c r="C187" s="7" t="s">
        <v>955</v>
      </c>
      <c r="D187" s="13" t="s">
        <v>1843</v>
      </c>
      <c r="E187" s="12" t="s">
        <v>1032</v>
      </c>
      <c r="F187" s="13" t="s">
        <v>169</v>
      </c>
      <c r="G187" s="13" t="s">
        <v>1188</v>
      </c>
      <c r="H187" s="7" t="s">
        <v>1181</v>
      </c>
      <c r="I187" s="13" t="s">
        <v>1189</v>
      </c>
      <c r="J187" s="115">
        <v>0</v>
      </c>
      <c r="K187" s="116">
        <v>118</v>
      </c>
      <c r="L187" s="116">
        <v>73.266666666604578</v>
      </c>
      <c r="M187" s="116">
        <v>528.73333333339542</v>
      </c>
      <c r="N187" s="129">
        <f t="shared" si="42"/>
        <v>0.61693970024418776</v>
      </c>
      <c r="O187" s="129">
        <f t="shared" si="43"/>
        <v>0.89824074074082694</v>
      </c>
      <c r="P187" s="129">
        <f t="shared" si="44"/>
        <v>0.18245541696730544</v>
      </c>
      <c r="Q187" s="114"/>
      <c r="R187" s="5" t="b">
        <f t="shared" si="36"/>
        <v>0</v>
      </c>
      <c r="S187" s="4"/>
    </row>
    <row r="188" spans="1:26" ht="15" customHeight="1">
      <c r="A188" s="76"/>
      <c r="B188" s="12">
        <f t="shared" si="38"/>
        <v>10</v>
      </c>
      <c r="C188" s="7" t="s">
        <v>955</v>
      </c>
      <c r="D188" s="13" t="s">
        <v>1844</v>
      </c>
      <c r="E188" s="12" t="s">
        <v>1032</v>
      </c>
      <c r="F188" s="13" t="s">
        <v>169</v>
      </c>
      <c r="G188" s="13" t="s">
        <v>1190</v>
      </c>
      <c r="H188" s="7" t="s">
        <v>1181</v>
      </c>
      <c r="I188" s="7" t="s">
        <v>1189</v>
      </c>
      <c r="J188" s="115">
        <v>0</v>
      </c>
      <c r="K188" s="116">
        <v>224</v>
      </c>
      <c r="L188" s="116">
        <v>108.09999999962747</v>
      </c>
      <c r="M188" s="116">
        <v>387.90000000037253</v>
      </c>
      <c r="N188" s="129">
        <f t="shared" si="42"/>
        <v>0.67449563384598399</v>
      </c>
      <c r="O188" s="129">
        <f t="shared" si="43"/>
        <v>0.84986111111162854</v>
      </c>
      <c r="P188" s="129">
        <f t="shared" si="44"/>
        <v>0.36607288772652985</v>
      </c>
      <c r="Q188" s="114"/>
      <c r="R188" s="5" t="b">
        <f t="shared" si="36"/>
        <v>0</v>
      </c>
      <c r="S188" s="11"/>
    </row>
    <row r="189" spans="1:26" ht="15" customHeight="1">
      <c r="A189" s="76"/>
      <c r="B189" s="12">
        <f t="shared" si="38"/>
        <v>11</v>
      </c>
      <c r="C189" s="7" t="s">
        <v>955</v>
      </c>
      <c r="D189" s="13" t="s">
        <v>1845</v>
      </c>
      <c r="E189" s="12" t="s">
        <v>1032</v>
      </c>
      <c r="F189" s="13" t="s">
        <v>169</v>
      </c>
      <c r="G189" s="13" t="s">
        <v>1190</v>
      </c>
      <c r="H189" s="7" t="s">
        <v>1181</v>
      </c>
      <c r="I189" s="13" t="s">
        <v>1189</v>
      </c>
      <c r="J189" s="115">
        <v>0</v>
      </c>
      <c r="K189" s="116">
        <v>233</v>
      </c>
      <c r="L189" s="116">
        <v>110.78333333315095</v>
      </c>
      <c r="M189" s="116">
        <v>376.21666666684905</v>
      </c>
      <c r="N189" s="129">
        <f t="shared" si="42"/>
        <v>0.67775246036783909</v>
      </c>
      <c r="O189" s="129">
        <f t="shared" si="43"/>
        <v>0.84613425925951258</v>
      </c>
      <c r="P189" s="129">
        <f t="shared" si="44"/>
        <v>0.38245834815188395</v>
      </c>
      <c r="Q189" s="114"/>
      <c r="R189" s="5" t="b">
        <f t="shared" si="36"/>
        <v>0</v>
      </c>
      <c r="S189" s="11"/>
    </row>
    <row r="190" spans="1:26" ht="15" customHeight="1">
      <c r="A190" s="76"/>
      <c r="B190" s="12">
        <f t="shared" si="38"/>
        <v>12</v>
      </c>
      <c r="C190" s="7" t="s">
        <v>955</v>
      </c>
      <c r="D190" s="13" t="s">
        <v>1846</v>
      </c>
      <c r="E190" s="13" t="s">
        <v>1032</v>
      </c>
      <c r="F190" s="13" t="s">
        <v>174</v>
      </c>
      <c r="G190" s="13" t="s">
        <v>1191</v>
      </c>
      <c r="H190" s="7" t="s">
        <v>1181</v>
      </c>
      <c r="I190" s="13" t="s">
        <v>1182</v>
      </c>
      <c r="J190" s="115">
        <v>0</v>
      </c>
      <c r="K190" s="116">
        <v>0</v>
      </c>
      <c r="L190" s="116">
        <v>0</v>
      </c>
      <c r="M190" s="116">
        <v>0</v>
      </c>
      <c r="N190" s="129">
        <v>0</v>
      </c>
      <c r="O190" s="129">
        <v>0</v>
      </c>
      <c r="P190" s="129">
        <v>0</v>
      </c>
      <c r="Q190" s="114"/>
      <c r="R190" s="5" t="b">
        <f t="shared" si="36"/>
        <v>0</v>
      </c>
      <c r="S190" s="11"/>
    </row>
    <row r="191" spans="1:26" ht="15" customHeight="1">
      <c r="A191" s="76"/>
      <c r="B191" s="12">
        <f t="shared" si="38"/>
        <v>13</v>
      </c>
      <c r="C191" s="7" t="s">
        <v>955</v>
      </c>
      <c r="D191" s="13" t="s">
        <v>1847</v>
      </c>
      <c r="E191" s="12" t="s">
        <v>1032</v>
      </c>
      <c r="F191" s="13" t="s">
        <v>174</v>
      </c>
      <c r="G191" s="13" t="s">
        <v>1192</v>
      </c>
      <c r="H191" s="7" t="s">
        <v>1181</v>
      </c>
      <c r="I191" s="13" t="s">
        <v>1182</v>
      </c>
      <c r="J191" s="115">
        <v>0</v>
      </c>
      <c r="K191" s="116">
        <v>0</v>
      </c>
      <c r="L191" s="116">
        <v>0</v>
      </c>
      <c r="M191" s="116">
        <v>0</v>
      </c>
      <c r="N191" s="129">
        <v>0</v>
      </c>
      <c r="O191" s="129">
        <v>0</v>
      </c>
      <c r="P191" s="129">
        <v>0</v>
      </c>
      <c r="Q191" s="114"/>
      <c r="R191" s="5" t="b">
        <f t="shared" si="36"/>
        <v>0</v>
      </c>
      <c r="S191" s="11"/>
    </row>
    <row r="192" spans="1:26" ht="15" customHeight="1">
      <c r="A192" s="76"/>
      <c r="B192" s="12">
        <f t="shared" si="38"/>
        <v>14</v>
      </c>
      <c r="C192" s="7" t="s">
        <v>955</v>
      </c>
      <c r="D192" s="13" t="s">
        <v>1848</v>
      </c>
      <c r="E192" s="12" t="s">
        <v>1032</v>
      </c>
      <c r="F192" s="13" t="s">
        <v>174</v>
      </c>
      <c r="G192" s="13" t="s">
        <v>1193</v>
      </c>
      <c r="H192" s="7" t="s">
        <v>1181</v>
      </c>
      <c r="I192" s="13" t="s">
        <v>1182</v>
      </c>
      <c r="J192" s="115">
        <v>0</v>
      </c>
      <c r="K192" s="116">
        <v>0</v>
      </c>
      <c r="L192" s="116">
        <v>0</v>
      </c>
      <c r="M192" s="116">
        <v>0</v>
      </c>
      <c r="N192" s="129">
        <v>0</v>
      </c>
      <c r="O192" s="129">
        <v>0</v>
      </c>
      <c r="P192" s="129">
        <v>0</v>
      </c>
      <c r="Q192" s="114"/>
      <c r="R192" s="5" t="b">
        <f t="shared" si="36"/>
        <v>0</v>
      </c>
      <c r="S192" s="11"/>
    </row>
    <row r="193" spans="1:19" ht="15" customHeight="1">
      <c r="A193" s="76"/>
      <c r="B193" s="12">
        <f t="shared" si="38"/>
        <v>15</v>
      </c>
      <c r="C193" s="7" t="s">
        <v>955</v>
      </c>
      <c r="D193" s="13" t="s">
        <v>1849</v>
      </c>
      <c r="E193" s="12" t="s">
        <v>1032</v>
      </c>
      <c r="F193" s="13" t="s">
        <v>174</v>
      </c>
      <c r="G193" s="13" t="s">
        <v>1193</v>
      </c>
      <c r="H193" s="7" t="s">
        <v>1181</v>
      </c>
      <c r="I193" s="7" t="s">
        <v>1182</v>
      </c>
      <c r="J193" s="115">
        <v>0</v>
      </c>
      <c r="K193" s="116">
        <v>0</v>
      </c>
      <c r="L193" s="116">
        <v>0</v>
      </c>
      <c r="M193" s="116">
        <v>0</v>
      </c>
      <c r="N193" s="129">
        <v>0</v>
      </c>
      <c r="O193" s="129">
        <v>0</v>
      </c>
      <c r="P193" s="129">
        <v>0</v>
      </c>
      <c r="Q193" s="114"/>
      <c r="R193" s="5" t="b">
        <f t="shared" si="36"/>
        <v>0</v>
      </c>
      <c r="S193" s="11"/>
    </row>
    <row r="194" spans="1:19" ht="14.25" customHeight="1">
      <c r="A194" s="76"/>
      <c r="B194" s="12">
        <f t="shared" si="38"/>
        <v>16</v>
      </c>
      <c r="C194" s="7" t="s">
        <v>955</v>
      </c>
      <c r="D194" s="13" t="s">
        <v>1850</v>
      </c>
      <c r="E194" s="13" t="s">
        <v>1032</v>
      </c>
      <c r="F194" s="13" t="s">
        <v>170</v>
      </c>
      <c r="G194" s="13" t="s">
        <v>1194</v>
      </c>
      <c r="H194" s="7" t="s">
        <v>1181</v>
      </c>
      <c r="I194" s="13" t="s">
        <v>1195</v>
      </c>
      <c r="J194" s="115">
        <v>0</v>
      </c>
      <c r="K194" s="116">
        <v>0</v>
      </c>
      <c r="L194" s="116">
        <v>0</v>
      </c>
      <c r="M194" s="116">
        <v>0</v>
      </c>
      <c r="N194" s="129">
        <v>0</v>
      </c>
      <c r="O194" s="129">
        <v>0</v>
      </c>
      <c r="P194" s="129">
        <v>0</v>
      </c>
      <c r="Q194" s="114"/>
      <c r="R194" s="5" t="b">
        <f t="shared" si="36"/>
        <v>0</v>
      </c>
      <c r="S194" s="11"/>
    </row>
    <row r="195" spans="1:19" ht="15" customHeight="1">
      <c r="A195" s="76"/>
      <c r="B195" s="12">
        <f t="shared" si="38"/>
        <v>17</v>
      </c>
      <c r="C195" s="7" t="s">
        <v>955</v>
      </c>
      <c r="D195" s="13" t="s">
        <v>1851</v>
      </c>
      <c r="E195" s="12" t="s">
        <v>1032</v>
      </c>
      <c r="F195" s="13" t="s">
        <v>170</v>
      </c>
      <c r="G195" s="13" t="s">
        <v>1194</v>
      </c>
      <c r="H195" s="7" t="s">
        <v>1181</v>
      </c>
      <c r="I195" s="13" t="s">
        <v>1195</v>
      </c>
      <c r="J195" s="115">
        <v>0</v>
      </c>
      <c r="K195" s="116">
        <v>0</v>
      </c>
      <c r="L195" s="116">
        <v>0</v>
      </c>
      <c r="M195" s="116">
        <v>0</v>
      </c>
      <c r="N195" s="129">
        <v>0</v>
      </c>
      <c r="O195" s="129">
        <v>0</v>
      </c>
      <c r="P195" s="129">
        <v>0</v>
      </c>
      <c r="Q195" s="114"/>
      <c r="R195" s="5" t="b">
        <f t="shared" si="36"/>
        <v>0</v>
      </c>
      <c r="S195" s="4"/>
    </row>
    <row r="196" spans="1:19" ht="15" customHeight="1">
      <c r="A196" s="76"/>
      <c r="B196" s="12">
        <f t="shared" si="38"/>
        <v>18</v>
      </c>
      <c r="C196" s="7" t="s">
        <v>955</v>
      </c>
      <c r="D196" s="13" t="s">
        <v>1852</v>
      </c>
      <c r="E196" s="13" t="s">
        <v>1032</v>
      </c>
      <c r="F196" s="13" t="s">
        <v>170</v>
      </c>
      <c r="G196" s="13" t="s">
        <v>1194</v>
      </c>
      <c r="H196" s="7" t="s">
        <v>1181</v>
      </c>
      <c r="I196" s="13" t="s">
        <v>1195</v>
      </c>
      <c r="J196" s="115">
        <v>0</v>
      </c>
      <c r="K196" s="116">
        <v>0</v>
      </c>
      <c r="L196" s="116">
        <v>0</v>
      </c>
      <c r="M196" s="116">
        <v>0</v>
      </c>
      <c r="N196" s="129">
        <v>0</v>
      </c>
      <c r="O196" s="129">
        <v>0</v>
      </c>
      <c r="P196" s="129">
        <v>0</v>
      </c>
      <c r="Q196" s="114"/>
      <c r="R196" s="5" t="s">
        <v>183</v>
      </c>
      <c r="S196" s="4"/>
    </row>
    <row r="197" spans="1:19" ht="15" customHeight="1">
      <c r="A197" s="76"/>
      <c r="B197" s="12">
        <f t="shared" si="38"/>
        <v>19</v>
      </c>
      <c r="C197" s="7" t="s">
        <v>955</v>
      </c>
      <c r="D197" s="13" t="s">
        <v>1853</v>
      </c>
      <c r="E197" s="13" t="s">
        <v>1032</v>
      </c>
      <c r="F197" s="13" t="s">
        <v>170</v>
      </c>
      <c r="G197" s="13" t="s">
        <v>1196</v>
      </c>
      <c r="H197" s="7" t="s">
        <v>1181</v>
      </c>
      <c r="I197" s="13" t="s">
        <v>1195</v>
      </c>
      <c r="J197" s="115">
        <v>0</v>
      </c>
      <c r="K197" s="116">
        <v>54</v>
      </c>
      <c r="L197" s="116">
        <v>441.80000000016298</v>
      </c>
      <c r="M197" s="116">
        <v>224.19999999983705</v>
      </c>
      <c r="N197" s="129">
        <f t="shared" ref="N197" si="45">+K197/(K197+L197)</f>
        <v>0.10891488503425222</v>
      </c>
      <c r="O197" s="129">
        <f t="shared" ref="O197" si="46">+(K197+M197)/(K197+L197+M197)</f>
        <v>0.38638888888866252</v>
      </c>
      <c r="P197" s="129">
        <f t="shared" ref="P197" si="47">+K197/(K197+M197)</f>
        <v>0.19410496046021436</v>
      </c>
      <c r="Q197" s="114"/>
      <c r="R197" s="5" t="b">
        <f t="shared" si="36"/>
        <v>0</v>
      </c>
      <c r="S197" s="11"/>
    </row>
    <row r="198" spans="1:19" ht="15" customHeight="1">
      <c r="A198" s="76"/>
      <c r="B198" s="12">
        <f t="shared" si="38"/>
        <v>20</v>
      </c>
      <c r="C198" s="7" t="s">
        <v>955</v>
      </c>
      <c r="D198" s="13" t="s">
        <v>1854</v>
      </c>
      <c r="E198" s="12" t="s">
        <v>1032</v>
      </c>
      <c r="F198" s="13" t="s">
        <v>170</v>
      </c>
      <c r="G198" s="13" t="s">
        <v>1196</v>
      </c>
      <c r="H198" s="7" t="s">
        <v>1181</v>
      </c>
      <c r="I198" s="13" t="s">
        <v>1195</v>
      </c>
      <c r="J198" s="115">
        <v>0</v>
      </c>
      <c r="K198" s="116">
        <v>49</v>
      </c>
      <c r="L198" s="116">
        <v>514.8666666666395</v>
      </c>
      <c r="M198" s="116">
        <v>156.13333333336053</v>
      </c>
      <c r="N198" s="129">
        <f t="shared" ref="N198:N206" si="48">+K198/(K198+L198)</f>
        <v>8.6899976353752115E-2</v>
      </c>
      <c r="O198" s="129">
        <f t="shared" ref="O198:O206" si="49">+(K198+M198)/(K198+L198+M198)</f>
        <v>0.28490740740744519</v>
      </c>
      <c r="P198" s="129">
        <f t="shared" ref="P198:P206" si="50">+K198/(K198+M198)</f>
        <v>0.23886902827426149</v>
      </c>
      <c r="Q198" s="114"/>
      <c r="R198" s="5" t="b">
        <f t="shared" si="36"/>
        <v>0</v>
      </c>
      <c r="S198" s="11"/>
    </row>
    <row r="199" spans="1:19" ht="15" customHeight="1">
      <c r="A199" s="76"/>
      <c r="B199" s="12">
        <f t="shared" si="38"/>
        <v>21</v>
      </c>
      <c r="C199" s="7" t="s">
        <v>969</v>
      </c>
      <c r="D199" s="13" t="s">
        <v>1855</v>
      </c>
      <c r="E199" s="13" t="s">
        <v>1032</v>
      </c>
      <c r="F199" s="13" t="s">
        <v>169</v>
      </c>
      <c r="G199" s="13" t="s">
        <v>1197</v>
      </c>
      <c r="H199" s="7" t="s">
        <v>1181</v>
      </c>
      <c r="I199" s="13" t="s">
        <v>1189</v>
      </c>
      <c r="J199" s="115">
        <v>0</v>
      </c>
      <c r="K199" s="116">
        <v>157</v>
      </c>
      <c r="L199" s="116">
        <v>121.31666666659294</v>
      </c>
      <c r="M199" s="116">
        <v>441.68333333340706</v>
      </c>
      <c r="N199" s="129">
        <f t="shared" si="48"/>
        <v>0.56410563506811762</v>
      </c>
      <c r="O199" s="129">
        <f t="shared" si="49"/>
        <v>0.83150462962973204</v>
      </c>
      <c r="P199" s="129">
        <f t="shared" si="50"/>
        <v>0.26224214247929734</v>
      </c>
      <c r="Q199" s="114"/>
      <c r="R199" s="5" t="b">
        <f t="shared" si="36"/>
        <v>0</v>
      </c>
      <c r="S199" s="11"/>
    </row>
    <row r="200" spans="1:19" ht="15" customHeight="1">
      <c r="A200" s="76"/>
      <c r="B200" s="12">
        <f t="shared" si="38"/>
        <v>22</v>
      </c>
      <c r="C200" s="7" t="s">
        <v>969</v>
      </c>
      <c r="D200" s="13" t="s">
        <v>1856</v>
      </c>
      <c r="E200" s="12" t="s">
        <v>1032</v>
      </c>
      <c r="F200" s="13" t="s">
        <v>169</v>
      </c>
      <c r="G200" s="13" t="s">
        <v>1197</v>
      </c>
      <c r="H200" s="7" t="s">
        <v>1181</v>
      </c>
      <c r="I200" s="13" t="s">
        <v>1189</v>
      </c>
      <c r="J200" s="115">
        <v>0</v>
      </c>
      <c r="K200" s="116">
        <v>115</v>
      </c>
      <c r="L200" s="116">
        <v>72.849999999976717</v>
      </c>
      <c r="M200" s="116">
        <v>532.15000000002328</v>
      </c>
      <c r="N200" s="129">
        <f t="shared" si="48"/>
        <v>0.61219057758857731</v>
      </c>
      <c r="O200" s="129">
        <f t="shared" si="49"/>
        <v>0.89881944444447681</v>
      </c>
      <c r="P200" s="129">
        <f t="shared" si="50"/>
        <v>0.17770223286718051</v>
      </c>
      <c r="Q200" s="114"/>
      <c r="R200" s="5" t="b">
        <f t="shared" si="36"/>
        <v>0</v>
      </c>
      <c r="S200" s="11"/>
    </row>
    <row r="201" spans="1:19" ht="15" customHeight="1">
      <c r="A201" s="76"/>
      <c r="B201" s="12">
        <f t="shared" si="38"/>
        <v>23</v>
      </c>
      <c r="C201" s="7" t="s">
        <v>969</v>
      </c>
      <c r="D201" s="13" t="s">
        <v>1857</v>
      </c>
      <c r="E201" s="13" t="s">
        <v>1032</v>
      </c>
      <c r="F201" s="13" t="s">
        <v>169</v>
      </c>
      <c r="G201" s="13" t="s">
        <v>1197</v>
      </c>
      <c r="H201" s="7" t="s">
        <v>1181</v>
      </c>
      <c r="I201" s="13" t="s">
        <v>1189</v>
      </c>
      <c r="J201" s="115">
        <v>0</v>
      </c>
      <c r="K201" s="116">
        <v>208</v>
      </c>
      <c r="L201" s="116">
        <v>127.90000000043074</v>
      </c>
      <c r="M201" s="116">
        <v>384.09999999956926</v>
      </c>
      <c r="N201" s="129">
        <f t="shared" si="48"/>
        <v>0.61923191425940238</v>
      </c>
      <c r="O201" s="129">
        <f t="shared" si="49"/>
        <v>0.82236111111051291</v>
      </c>
      <c r="P201" s="129">
        <f t="shared" si="50"/>
        <v>0.3512920114848021</v>
      </c>
      <c r="Q201" s="114"/>
      <c r="R201" s="5" t="b">
        <f t="shared" si="36"/>
        <v>0</v>
      </c>
      <c r="S201" s="11"/>
    </row>
    <row r="202" spans="1:19" ht="15" customHeight="1">
      <c r="A202" s="76"/>
      <c r="B202" s="12">
        <f t="shared" si="38"/>
        <v>24</v>
      </c>
      <c r="C202" s="7" t="s">
        <v>969</v>
      </c>
      <c r="D202" s="13" t="s">
        <v>1858</v>
      </c>
      <c r="E202" s="13" t="s">
        <v>1032</v>
      </c>
      <c r="F202" s="13" t="s">
        <v>169</v>
      </c>
      <c r="G202" s="13" t="s">
        <v>1198</v>
      </c>
      <c r="H202" s="7" t="s">
        <v>1181</v>
      </c>
      <c r="I202" s="13" t="s">
        <v>1189</v>
      </c>
      <c r="J202" s="115">
        <v>0</v>
      </c>
      <c r="K202" s="116">
        <v>157</v>
      </c>
      <c r="L202" s="116">
        <v>247.8666666666395</v>
      </c>
      <c r="M202" s="116">
        <v>315.13333333336038</v>
      </c>
      <c r="N202" s="129">
        <f t="shared" si="48"/>
        <v>0.38778198583898532</v>
      </c>
      <c r="O202" s="129">
        <f t="shared" si="49"/>
        <v>0.65574074074077837</v>
      </c>
      <c r="P202" s="129">
        <f t="shared" si="50"/>
        <v>0.3325331827167276</v>
      </c>
      <c r="Q202" s="114"/>
      <c r="R202" s="5" t="b">
        <f t="shared" si="36"/>
        <v>0</v>
      </c>
      <c r="S202" s="11"/>
    </row>
    <row r="203" spans="1:19" ht="15" customHeight="1">
      <c r="A203" s="76"/>
      <c r="B203" s="12">
        <f t="shared" si="38"/>
        <v>25</v>
      </c>
      <c r="C203" s="7" t="s">
        <v>969</v>
      </c>
      <c r="D203" s="13" t="s">
        <v>1859</v>
      </c>
      <c r="E203" s="13" t="s">
        <v>1032</v>
      </c>
      <c r="F203" s="13" t="s">
        <v>169</v>
      </c>
      <c r="G203" s="13" t="s">
        <v>1198</v>
      </c>
      <c r="H203" s="7" t="s">
        <v>1181</v>
      </c>
      <c r="I203" s="13" t="s">
        <v>1189</v>
      </c>
      <c r="J203" s="115">
        <v>0</v>
      </c>
      <c r="K203" s="116">
        <v>49</v>
      </c>
      <c r="L203" s="116">
        <v>559.64999999944121</v>
      </c>
      <c r="M203" s="116">
        <v>111.35000000055878</v>
      </c>
      <c r="N203" s="129">
        <f t="shared" si="48"/>
        <v>8.050603795292037E-2</v>
      </c>
      <c r="O203" s="129">
        <f t="shared" si="49"/>
        <v>0.22270833333410944</v>
      </c>
      <c r="P203" s="129">
        <f t="shared" si="50"/>
        <v>0.30558154037935292</v>
      </c>
      <c r="Q203" s="114"/>
      <c r="R203" s="5" t="b">
        <f t="shared" si="36"/>
        <v>0</v>
      </c>
      <c r="S203" s="11"/>
    </row>
    <row r="204" spans="1:19" ht="15" customHeight="1">
      <c r="A204" s="76"/>
      <c r="B204" s="12">
        <f t="shared" si="38"/>
        <v>26</v>
      </c>
      <c r="C204" s="7" t="s">
        <v>969</v>
      </c>
      <c r="D204" s="13" t="s">
        <v>1860</v>
      </c>
      <c r="E204" s="13" t="s">
        <v>1032</v>
      </c>
      <c r="F204" s="13" t="s">
        <v>169</v>
      </c>
      <c r="G204" s="13" t="s">
        <v>1199</v>
      </c>
      <c r="H204" s="7" t="s">
        <v>1181</v>
      </c>
      <c r="I204" s="13" t="s">
        <v>1189</v>
      </c>
      <c r="J204" s="115">
        <v>0</v>
      </c>
      <c r="K204" s="116">
        <v>67</v>
      </c>
      <c r="L204" s="116">
        <v>119.4000000001397</v>
      </c>
      <c r="M204" s="116">
        <v>533.5999999998603</v>
      </c>
      <c r="N204" s="129">
        <f t="shared" si="48"/>
        <v>0.35944206008556751</v>
      </c>
      <c r="O204" s="129">
        <f t="shared" si="49"/>
        <v>0.83416666666647266</v>
      </c>
      <c r="P204" s="129">
        <f t="shared" si="50"/>
        <v>0.1115551115551375</v>
      </c>
      <c r="Q204" s="114"/>
      <c r="R204" s="5" t="b">
        <f t="shared" si="36"/>
        <v>0</v>
      </c>
      <c r="S204" s="11"/>
    </row>
    <row r="205" spans="1:19" ht="14.25" customHeight="1">
      <c r="A205" s="76"/>
      <c r="B205" s="12">
        <f t="shared" si="38"/>
        <v>27</v>
      </c>
      <c r="C205" s="7" t="s">
        <v>969</v>
      </c>
      <c r="D205" s="13" t="s">
        <v>1861</v>
      </c>
      <c r="E205" s="13" t="s">
        <v>992</v>
      </c>
      <c r="F205" s="13" t="s">
        <v>1200</v>
      </c>
      <c r="G205" s="13" t="s">
        <v>999</v>
      </c>
      <c r="H205" s="7" t="s">
        <v>1181</v>
      </c>
      <c r="I205" s="13" t="s">
        <v>1201</v>
      </c>
      <c r="J205" s="115">
        <v>0</v>
      </c>
      <c r="K205" s="116">
        <v>119</v>
      </c>
      <c r="L205" s="116">
        <v>114.33333333354676</v>
      </c>
      <c r="M205" s="116">
        <v>486.66666666645324</v>
      </c>
      <c r="N205" s="129">
        <f t="shared" si="48"/>
        <v>0.50999999999953349</v>
      </c>
      <c r="O205" s="129">
        <f t="shared" si="49"/>
        <v>0.84120370370340725</v>
      </c>
      <c r="P205" s="129">
        <f t="shared" si="50"/>
        <v>0.19647771051190194</v>
      </c>
      <c r="Q205" s="114"/>
      <c r="R205" s="5" t="b">
        <f t="shared" si="36"/>
        <v>0</v>
      </c>
      <c r="S205" s="11"/>
    </row>
    <row r="206" spans="1:19" ht="15" customHeight="1">
      <c r="A206" s="76"/>
      <c r="B206" s="12">
        <f t="shared" si="38"/>
        <v>28</v>
      </c>
      <c r="C206" s="7" t="s">
        <v>969</v>
      </c>
      <c r="D206" s="13" t="s">
        <v>1862</v>
      </c>
      <c r="E206" s="13" t="s">
        <v>992</v>
      </c>
      <c r="F206" s="13" t="s">
        <v>1200</v>
      </c>
      <c r="G206" s="13" t="s">
        <v>999</v>
      </c>
      <c r="H206" s="7" t="s">
        <v>1181</v>
      </c>
      <c r="I206" s="13" t="s">
        <v>1201</v>
      </c>
      <c r="J206" s="115">
        <v>0</v>
      </c>
      <c r="K206" s="116">
        <v>191</v>
      </c>
      <c r="L206" s="116">
        <v>7.7333333333954215</v>
      </c>
      <c r="M206" s="116">
        <v>521.26666666660458</v>
      </c>
      <c r="N206" s="129">
        <f t="shared" si="48"/>
        <v>0.96108688359580841</v>
      </c>
      <c r="O206" s="129">
        <f t="shared" si="49"/>
        <v>0.98925925925917302</v>
      </c>
      <c r="P206" s="129">
        <f t="shared" si="50"/>
        <v>0.26815799326097434</v>
      </c>
      <c r="Q206" s="114"/>
      <c r="R206" s="5" t="str">
        <f t="shared" si="36"/>
        <v>Sims</v>
      </c>
      <c r="S206" s="11"/>
    </row>
    <row r="207" spans="1:19" ht="15" customHeight="1">
      <c r="A207" s="76"/>
      <c r="B207" s="12">
        <f t="shared" si="38"/>
        <v>29</v>
      </c>
      <c r="C207" s="7" t="s">
        <v>969</v>
      </c>
      <c r="D207" s="13" t="s">
        <v>1863</v>
      </c>
      <c r="E207" s="13" t="s">
        <v>992</v>
      </c>
      <c r="F207" s="13" t="s">
        <v>1200</v>
      </c>
      <c r="G207" s="13" t="s">
        <v>1001</v>
      </c>
      <c r="H207" s="7" t="s">
        <v>1181</v>
      </c>
      <c r="I207" s="13" t="s">
        <v>1201</v>
      </c>
      <c r="J207" s="115">
        <v>0</v>
      </c>
      <c r="K207" s="116">
        <v>0</v>
      </c>
      <c r="L207" s="116">
        <v>0</v>
      </c>
      <c r="M207" s="116">
        <v>0</v>
      </c>
      <c r="N207" s="129">
        <v>0</v>
      </c>
      <c r="O207" s="129">
        <v>0</v>
      </c>
      <c r="P207" s="129">
        <v>0</v>
      </c>
      <c r="Q207" s="114"/>
      <c r="R207" s="5" t="b">
        <f t="shared" si="36"/>
        <v>0</v>
      </c>
      <c r="S207" s="11"/>
    </row>
    <row r="208" spans="1:19" ht="15" customHeight="1">
      <c r="A208" s="76"/>
      <c r="B208" s="12">
        <f t="shared" si="38"/>
        <v>30</v>
      </c>
      <c r="C208" s="7" t="s">
        <v>969</v>
      </c>
      <c r="D208" s="13" t="s">
        <v>1864</v>
      </c>
      <c r="E208" s="13" t="s">
        <v>992</v>
      </c>
      <c r="F208" s="13" t="s">
        <v>1200</v>
      </c>
      <c r="G208" s="13" t="s">
        <v>1001</v>
      </c>
      <c r="H208" s="7" t="s">
        <v>1181</v>
      </c>
      <c r="I208" s="13" t="s">
        <v>1201</v>
      </c>
      <c r="J208" s="115">
        <v>0</v>
      </c>
      <c r="K208" s="116">
        <v>237</v>
      </c>
      <c r="L208" s="116">
        <v>225.40000000008149</v>
      </c>
      <c r="M208" s="116">
        <v>257.5999999999184</v>
      </c>
      <c r="N208" s="129">
        <f t="shared" ref="N208:N246" si="51">+K208/(K208+L208)</f>
        <v>0.51254325259506539</v>
      </c>
      <c r="O208" s="129">
        <f t="shared" ref="O208:O246" si="52">+(K208+M208)/(K208+L208+M208)</f>
        <v>0.68694444444433123</v>
      </c>
      <c r="P208" s="129">
        <f t="shared" ref="P208:P246" si="53">+K208/(K208+M208)</f>
        <v>0.47917509098269129</v>
      </c>
      <c r="Q208" s="114"/>
      <c r="R208" s="5" t="b">
        <f t="shared" si="36"/>
        <v>0</v>
      </c>
      <c r="S208" s="11"/>
    </row>
    <row r="209" spans="1:19" ht="15" customHeight="1">
      <c r="A209" s="76"/>
      <c r="B209" s="12">
        <f t="shared" si="38"/>
        <v>31</v>
      </c>
      <c r="C209" s="7" t="s">
        <v>969</v>
      </c>
      <c r="D209" s="13" t="s">
        <v>1865</v>
      </c>
      <c r="E209" s="13" t="s">
        <v>992</v>
      </c>
      <c r="F209" s="13" t="s">
        <v>1200</v>
      </c>
      <c r="G209" s="13" t="s">
        <v>1202</v>
      </c>
      <c r="H209" s="7" t="s">
        <v>1181</v>
      </c>
      <c r="I209" s="13" t="s">
        <v>1201</v>
      </c>
      <c r="J209" s="115">
        <v>0</v>
      </c>
      <c r="K209" s="116">
        <v>209</v>
      </c>
      <c r="L209" s="116">
        <v>170.41666666703532</v>
      </c>
      <c r="M209" s="116">
        <v>340.58333333296457</v>
      </c>
      <c r="N209" s="129">
        <f t="shared" si="51"/>
        <v>0.55084559630958996</v>
      </c>
      <c r="O209" s="129">
        <f t="shared" si="52"/>
        <v>0.76331018518467308</v>
      </c>
      <c r="P209" s="129">
        <f t="shared" si="53"/>
        <v>0.38028809704346972</v>
      </c>
      <c r="Q209" s="114"/>
      <c r="R209" s="5" t="b">
        <f t="shared" si="36"/>
        <v>0</v>
      </c>
      <c r="S209" s="11"/>
    </row>
    <row r="210" spans="1:19" ht="15" customHeight="1">
      <c r="A210" s="76"/>
      <c r="B210" s="12">
        <f t="shared" si="38"/>
        <v>32</v>
      </c>
      <c r="C210" s="7" t="s">
        <v>969</v>
      </c>
      <c r="D210" s="13" t="s">
        <v>1866</v>
      </c>
      <c r="E210" s="13" t="s">
        <v>992</v>
      </c>
      <c r="F210" s="13" t="s">
        <v>1200</v>
      </c>
      <c r="G210" s="13" t="s">
        <v>1202</v>
      </c>
      <c r="H210" s="7" t="s">
        <v>1181</v>
      </c>
      <c r="I210" s="13" t="s">
        <v>1201</v>
      </c>
      <c r="J210" s="115">
        <v>0</v>
      </c>
      <c r="K210" s="116">
        <v>149</v>
      </c>
      <c r="L210" s="116">
        <v>42.166666666511446</v>
      </c>
      <c r="M210" s="116">
        <v>528.83333333348855</v>
      </c>
      <c r="N210" s="129">
        <f t="shared" si="51"/>
        <v>0.77942458587683161</v>
      </c>
      <c r="O210" s="129">
        <f t="shared" si="52"/>
        <v>0.94143518518540081</v>
      </c>
      <c r="P210" s="129">
        <f t="shared" si="53"/>
        <v>0.21981804770095778</v>
      </c>
      <c r="Q210" s="114"/>
      <c r="R210" s="5" t="str">
        <f t="shared" si="36"/>
        <v>Sims</v>
      </c>
      <c r="S210" s="11"/>
    </row>
    <row r="211" spans="1:19" ht="15" customHeight="1">
      <c r="A211" s="76"/>
      <c r="B211" s="12">
        <f t="shared" si="38"/>
        <v>33</v>
      </c>
      <c r="C211" s="7" t="s">
        <v>969</v>
      </c>
      <c r="D211" s="13" t="s">
        <v>1867</v>
      </c>
      <c r="E211" s="13" t="s">
        <v>1032</v>
      </c>
      <c r="F211" s="13" t="s">
        <v>169</v>
      </c>
      <c r="G211" s="13" t="s">
        <v>999</v>
      </c>
      <c r="H211" s="7" t="s">
        <v>1181</v>
      </c>
      <c r="I211" s="13" t="s">
        <v>1189</v>
      </c>
      <c r="J211" s="115">
        <v>0</v>
      </c>
      <c r="K211" s="116">
        <v>221</v>
      </c>
      <c r="L211" s="116">
        <v>61.250000000232831</v>
      </c>
      <c r="M211" s="116">
        <v>437.74999999976717</v>
      </c>
      <c r="N211" s="129">
        <f t="shared" si="51"/>
        <v>0.78299379982220618</v>
      </c>
      <c r="O211" s="129">
        <f t="shared" si="52"/>
        <v>0.91493055555523217</v>
      </c>
      <c r="P211" s="129">
        <f t="shared" si="53"/>
        <v>0.33548387096786053</v>
      </c>
      <c r="Q211" s="114"/>
      <c r="R211" s="5" t="str">
        <f t="shared" si="36"/>
        <v>Sims</v>
      </c>
      <c r="S211" s="11"/>
    </row>
    <row r="212" spans="1:19" ht="15" customHeight="1">
      <c r="A212" s="76"/>
      <c r="B212" s="12">
        <f t="shared" si="38"/>
        <v>34</v>
      </c>
      <c r="C212" s="7" t="s">
        <v>969</v>
      </c>
      <c r="D212" s="13" t="s">
        <v>1868</v>
      </c>
      <c r="E212" s="13" t="s">
        <v>1032</v>
      </c>
      <c r="F212" s="13" t="s">
        <v>169</v>
      </c>
      <c r="G212" s="13" t="s">
        <v>999</v>
      </c>
      <c r="H212" s="7" t="s">
        <v>1181</v>
      </c>
      <c r="I212" s="13" t="s">
        <v>1189</v>
      </c>
      <c r="J212" s="115">
        <v>0</v>
      </c>
      <c r="K212" s="116">
        <v>0</v>
      </c>
      <c r="L212" s="116">
        <v>0</v>
      </c>
      <c r="M212" s="116">
        <v>0</v>
      </c>
      <c r="N212" s="129">
        <v>0</v>
      </c>
      <c r="O212" s="129">
        <v>0</v>
      </c>
      <c r="P212" s="129">
        <v>0</v>
      </c>
      <c r="Q212" s="114"/>
      <c r="R212" s="5" t="b">
        <f t="shared" si="36"/>
        <v>0</v>
      </c>
      <c r="S212" s="11"/>
    </row>
    <row r="213" spans="1:19" ht="15" customHeight="1">
      <c r="A213" s="76"/>
      <c r="B213" s="12">
        <f t="shared" si="38"/>
        <v>35</v>
      </c>
      <c r="C213" s="7" t="s">
        <v>969</v>
      </c>
      <c r="D213" s="13" t="s">
        <v>1869</v>
      </c>
      <c r="E213" s="13" t="s">
        <v>1032</v>
      </c>
      <c r="F213" s="13" t="s">
        <v>169</v>
      </c>
      <c r="G213" s="13" t="s">
        <v>971</v>
      </c>
      <c r="H213" s="7" t="s">
        <v>1181</v>
      </c>
      <c r="I213" s="13" t="s">
        <v>1189</v>
      </c>
      <c r="J213" s="115">
        <v>0</v>
      </c>
      <c r="K213" s="116">
        <v>160</v>
      </c>
      <c r="L213" s="116">
        <v>237.93333333305782</v>
      </c>
      <c r="M213" s="116">
        <v>322.06666666694207</v>
      </c>
      <c r="N213" s="129">
        <f t="shared" si="51"/>
        <v>0.40207739989975905</v>
      </c>
      <c r="O213" s="129">
        <f t="shared" si="52"/>
        <v>0.66953703703741962</v>
      </c>
      <c r="P213" s="129">
        <f t="shared" si="53"/>
        <v>0.33190430092637657</v>
      </c>
      <c r="Q213" s="114"/>
      <c r="R213" s="5" t="b">
        <f t="shared" si="36"/>
        <v>0</v>
      </c>
      <c r="S213" s="11"/>
    </row>
    <row r="214" spans="1:19" ht="15" customHeight="1">
      <c r="A214" s="76"/>
      <c r="B214" s="12">
        <f t="shared" si="38"/>
        <v>36</v>
      </c>
      <c r="C214" s="7" t="s">
        <v>969</v>
      </c>
      <c r="D214" s="13" t="s">
        <v>1870</v>
      </c>
      <c r="E214" s="13" t="s">
        <v>992</v>
      </c>
      <c r="F214" s="13" t="s">
        <v>1200</v>
      </c>
      <c r="G214" s="13" t="s">
        <v>1203</v>
      </c>
      <c r="H214" s="7" t="s">
        <v>1181</v>
      </c>
      <c r="I214" s="13" t="s">
        <v>1201</v>
      </c>
      <c r="J214" s="115">
        <v>0</v>
      </c>
      <c r="K214" s="116">
        <v>189</v>
      </c>
      <c r="L214" s="116">
        <v>148.15000000008149</v>
      </c>
      <c r="M214" s="116">
        <v>382.84999999991851</v>
      </c>
      <c r="N214" s="129">
        <f t="shared" si="51"/>
        <v>0.56058134361546585</v>
      </c>
      <c r="O214" s="129">
        <f t="shared" si="52"/>
        <v>0.7942361111109979</v>
      </c>
      <c r="P214" s="129">
        <f t="shared" si="53"/>
        <v>0.33050625163946301</v>
      </c>
      <c r="Q214" s="114"/>
      <c r="R214" s="5" t="b">
        <f t="shared" si="36"/>
        <v>0</v>
      </c>
      <c r="S214" s="11"/>
    </row>
    <row r="215" spans="1:19" ht="15" customHeight="1">
      <c r="A215" s="76"/>
      <c r="B215" s="12">
        <f t="shared" si="38"/>
        <v>37</v>
      </c>
      <c r="C215" s="7" t="s">
        <v>969</v>
      </c>
      <c r="D215" s="13" t="s">
        <v>1871</v>
      </c>
      <c r="E215" s="13" t="s">
        <v>992</v>
      </c>
      <c r="F215" s="13" t="s">
        <v>1200</v>
      </c>
      <c r="G215" s="13" t="s">
        <v>1203</v>
      </c>
      <c r="H215" s="7" t="s">
        <v>1181</v>
      </c>
      <c r="I215" s="13" t="s">
        <v>1201</v>
      </c>
      <c r="J215" s="115">
        <v>0</v>
      </c>
      <c r="K215" s="116">
        <v>135</v>
      </c>
      <c r="L215" s="116">
        <v>37.96666666661622</v>
      </c>
      <c r="M215" s="116">
        <v>547.03333333338378</v>
      </c>
      <c r="N215" s="129">
        <f t="shared" si="51"/>
        <v>0.78049720562751612</v>
      </c>
      <c r="O215" s="129">
        <f t="shared" si="52"/>
        <v>0.94726851851858862</v>
      </c>
      <c r="P215" s="129">
        <f t="shared" si="53"/>
        <v>0.19793753970967698</v>
      </c>
      <c r="Q215" s="114"/>
      <c r="R215" s="5" t="str">
        <f t="shared" si="36"/>
        <v>Sims</v>
      </c>
      <c r="S215" s="11"/>
    </row>
    <row r="216" spans="1:19" ht="15" customHeight="1">
      <c r="A216" s="76"/>
      <c r="B216" s="12">
        <f t="shared" si="38"/>
        <v>38</v>
      </c>
      <c r="C216" s="7" t="s">
        <v>969</v>
      </c>
      <c r="D216" s="13" t="s">
        <v>1872</v>
      </c>
      <c r="E216" s="13" t="s">
        <v>992</v>
      </c>
      <c r="F216" s="13" t="s">
        <v>1200</v>
      </c>
      <c r="G216" s="13" t="s">
        <v>1203</v>
      </c>
      <c r="H216" s="7" t="s">
        <v>1181</v>
      </c>
      <c r="I216" s="13" t="s">
        <v>1201</v>
      </c>
      <c r="J216" s="115">
        <v>0</v>
      </c>
      <c r="K216" s="116">
        <v>126</v>
      </c>
      <c r="L216" s="116">
        <v>101.34999999997672</v>
      </c>
      <c r="M216" s="116">
        <v>492.65000000002328</v>
      </c>
      <c r="N216" s="129">
        <f t="shared" si="51"/>
        <v>0.55421156806691407</v>
      </c>
      <c r="O216" s="129">
        <f t="shared" si="52"/>
        <v>0.8592361111111434</v>
      </c>
      <c r="P216" s="129">
        <f t="shared" si="53"/>
        <v>0.20366927988360989</v>
      </c>
      <c r="Q216" s="114"/>
      <c r="R216" s="5" t="b">
        <f t="shared" si="36"/>
        <v>0</v>
      </c>
      <c r="S216" s="11"/>
    </row>
    <row r="217" spans="1:19" ht="15" customHeight="1">
      <c r="A217" s="76"/>
      <c r="B217" s="12">
        <f t="shared" si="38"/>
        <v>39</v>
      </c>
      <c r="C217" s="7" t="s">
        <v>955</v>
      </c>
      <c r="D217" s="13" t="s">
        <v>1873</v>
      </c>
      <c r="E217" s="13" t="s">
        <v>1032</v>
      </c>
      <c r="F217" s="13" t="s">
        <v>1204</v>
      </c>
      <c r="G217" s="13" t="s">
        <v>1205</v>
      </c>
      <c r="H217" s="7" t="s">
        <v>1206</v>
      </c>
      <c r="I217" s="13" t="s">
        <v>1207</v>
      </c>
      <c r="J217" s="115">
        <v>0</v>
      </c>
      <c r="K217" s="116">
        <v>0</v>
      </c>
      <c r="L217" s="116">
        <v>0</v>
      </c>
      <c r="M217" s="116">
        <v>0</v>
      </c>
      <c r="N217" s="129">
        <v>0</v>
      </c>
      <c r="O217" s="129">
        <v>0</v>
      </c>
      <c r="P217" s="129">
        <v>0</v>
      </c>
      <c r="Q217" s="114"/>
      <c r="R217" s="5" t="b">
        <f t="shared" si="36"/>
        <v>0</v>
      </c>
      <c r="S217" s="11"/>
    </row>
    <row r="218" spans="1:19" ht="15" customHeight="1">
      <c r="A218" s="76"/>
      <c r="B218" s="12">
        <f t="shared" si="38"/>
        <v>40</v>
      </c>
      <c r="C218" s="7" t="s">
        <v>955</v>
      </c>
      <c r="D218" s="13" t="s">
        <v>1874</v>
      </c>
      <c r="E218" s="13" t="s">
        <v>1032</v>
      </c>
      <c r="F218" s="13" t="s">
        <v>1208</v>
      </c>
      <c r="G218" s="13" t="s">
        <v>1209</v>
      </c>
      <c r="H218" s="7" t="s">
        <v>1206</v>
      </c>
      <c r="I218" s="13"/>
      <c r="J218" s="115">
        <v>0</v>
      </c>
      <c r="K218" s="116">
        <v>0</v>
      </c>
      <c r="L218" s="116">
        <v>0</v>
      </c>
      <c r="M218" s="116">
        <v>0</v>
      </c>
      <c r="N218" s="129">
        <v>0</v>
      </c>
      <c r="O218" s="129">
        <v>0</v>
      </c>
      <c r="P218" s="129">
        <v>0</v>
      </c>
      <c r="Q218" s="114"/>
      <c r="R218" s="5" t="b">
        <f t="shared" si="36"/>
        <v>0</v>
      </c>
      <c r="S218" s="11"/>
    </row>
    <row r="219" spans="1:19" ht="15" customHeight="1">
      <c r="A219" s="76"/>
      <c r="B219" s="12">
        <f t="shared" si="38"/>
        <v>41</v>
      </c>
      <c r="C219" s="7" t="s">
        <v>955</v>
      </c>
      <c r="D219" s="13" t="s">
        <v>1875</v>
      </c>
      <c r="E219" s="13" t="s">
        <v>992</v>
      </c>
      <c r="F219" s="13" t="s">
        <v>1210</v>
      </c>
      <c r="G219" s="13" t="s">
        <v>1211</v>
      </c>
      <c r="H219" s="7" t="s">
        <v>1206</v>
      </c>
      <c r="I219" s="13" t="s">
        <v>1212</v>
      </c>
      <c r="J219" s="115">
        <v>0</v>
      </c>
      <c r="K219" s="116">
        <v>63</v>
      </c>
      <c r="L219" s="116">
        <v>235.16666666662786</v>
      </c>
      <c r="M219" s="116">
        <v>421.83333333337214</v>
      </c>
      <c r="N219" s="129">
        <f t="shared" si="51"/>
        <v>0.21129122414759596</v>
      </c>
      <c r="O219" s="129">
        <f t="shared" si="52"/>
        <v>0.67337962962968356</v>
      </c>
      <c r="P219" s="129">
        <f t="shared" si="53"/>
        <v>0.12994156067376064</v>
      </c>
      <c r="Q219" s="114"/>
      <c r="R219" s="5" t="b">
        <f t="shared" si="36"/>
        <v>0</v>
      </c>
      <c r="S219" s="11"/>
    </row>
    <row r="220" spans="1:19" ht="15" customHeight="1">
      <c r="A220" s="76"/>
      <c r="B220" s="12">
        <f t="shared" si="38"/>
        <v>42</v>
      </c>
      <c r="C220" s="7" t="s">
        <v>955</v>
      </c>
      <c r="D220" s="13" t="s">
        <v>1876</v>
      </c>
      <c r="E220" s="13" t="s">
        <v>992</v>
      </c>
      <c r="F220" s="13" t="s">
        <v>1210</v>
      </c>
      <c r="G220" s="13" t="s">
        <v>1211</v>
      </c>
      <c r="H220" s="7" t="s">
        <v>1206</v>
      </c>
      <c r="I220" s="13" t="s">
        <v>1212</v>
      </c>
      <c r="J220" s="115">
        <v>0</v>
      </c>
      <c r="K220" s="116">
        <v>111</v>
      </c>
      <c r="L220" s="116">
        <v>257.31666666653473</v>
      </c>
      <c r="M220" s="116">
        <v>351.68333333346527</v>
      </c>
      <c r="N220" s="129">
        <f t="shared" si="51"/>
        <v>0.30137110276493895</v>
      </c>
      <c r="O220" s="129">
        <f t="shared" si="52"/>
        <v>0.64261574074092398</v>
      </c>
      <c r="P220" s="129">
        <f t="shared" si="53"/>
        <v>0.23990490256107852</v>
      </c>
      <c r="Q220" s="114"/>
      <c r="R220" s="5" t="b">
        <f t="shared" si="36"/>
        <v>0</v>
      </c>
      <c r="S220" s="11"/>
    </row>
    <row r="221" spans="1:19" ht="15" customHeight="1">
      <c r="A221" s="76"/>
      <c r="B221" s="12">
        <f t="shared" si="38"/>
        <v>43</v>
      </c>
      <c r="C221" s="7" t="s">
        <v>955</v>
      </c>
      <c r="D221" s="13" t="s">
        <v>1877</v>
      </c>
      <c r="E221" s="13" t="s">
        <v>992</v>
      </c>
      <c r="F221" s="13" t="s">
        <v>1210</v>
      </c>
      <c r="G221" s="13" t="s">
        <v>1213</v>
      </c>
      <c r="H221" s="7" t="s">
        <v>1206</v>
      </c>
      <c r="I221" s="13" t="s">
        <v>1212</v>
      </c>
      <c r="J221" s="115">
        <v>0</v>
      </c>
      <c r="K221" s="116">
        <v>64</v>
      </c>
      <c r="L221" s="116">
        <v>210.05000000016298</v>
      </c>
      <c r="M221" s="116">
        <v>445.94999999983702</v>
      </c>
      <c r="N221" s="129">
        <f t="shared" si="51"/>
        <v>0.23353402663733602</v>
      </c>
      <c r="O221" s="129">
        <f t="shared" si="52"/>
        <v>0.70826388888866254</v>
      </c>
      <c r="P221" s="129">
        <f t="shared" si="53"/>
        <v>0.12550250024516219</v>
      </c>
      <c r="Q221" s="114"/>
      <c r="R221" s="5" t="b">
        <f t="shared" si="36"/>
        <v>0</v>
      </c>
      <c r="S221" s="11"/>
    </row>
    <row r="222" spans="1:19" ht="15" customHeight="1">
      <c r="A222" s="76"/>
      <c r="B222" s="12">
        <f t="shared" si="38"/>
        <v>44</v>
      </c>
      <c r="C222" s="7" t="s">
        <v>955</v>
      </c>
      <c r="D222" s="13" t="s">
        <v>1878</v>
      </c>
      <c r="E222" s="13" t="s">
        <v>992</v>
      </c>
      <c r="F222" s="13" t="s">
        <v>1210</v>
      </c>
      <c r="G222" s="13" t="s">
        <v>1213</v>
      </c>
      <c r="H222" s="7" t="s">
        <v>1206</v>
      </c>
      <c r="I222" s="13" t="s">
        <v>1212</v>
      </c>
      <c r="J222" s="115">
        <v>0</v>
      </c>
      <c r="K222" s="116">
        <v>75</v>
      </c>
      <c r="L222" s="116">
        <v>240.1500000001397</v>
      </c>
      <c r="M222" s="116">
        <v>404.8499999998603</v>
      </c>
      <c r="N222" s="129">
        <f t="shared" si="51"/>
        <v>0.23798191337447805</v>
      </c>
      <c r="O222" s="129">
        <f t="shared" si="52"/>
        <v>0.66645833333313931</v>
      </c>
      <c r="P222" s="129">
        <f t="shared" si="53"/>
        <v>0.15629884338860442</v>
      </c>
      <c r="Q222" s="114"/>
      <c r="R222" s="5" t="b">
        <f t="shared" si="36"/>
        <v>0</v>
      </c>
      <c r="S222" s="11"/>
    </row>
    <row r="223" spans="1:19" ht="15" customHeight="1">
      <c r="A223" s="76"/>
      <c r="B223" s="12">
        <f t="shared" si="38"/>
        <v>45</v>
      </c>
      <c r="C223" s="7" t="s">
        <v>969</v>
      </c>
      <c r="D223" s="13" t="s">
        <v>1214</v>
      </c>
      <c r="E223" s="13" t="s">
        <v>1032</v>
      </c>
      <c r="F223" s="13" t="s">
        <v>1208</v>
      </c>
      <c r="G223" s="13" t="s">
        <v>1073</v>
      </c>
      <c r="H223" s="7" t="s">
        <v>1206</v>
      </c>
      <c r="I223" s="13"/>
      <c r="J223" s="115">
        <v>0</v>
      </c>
      <c r="K223" s="116">
        <v>0</v>
      </c>
      <c r="L223" s="116">
        <v>0</v>
      </c>
      <c r="M223" s="116">
        <v>0</v>
      </c>
      <c r="N223" s="129">
        <v>0</v>
      </c>
      <c r="O223" s="129">
        <v>0</v>
      </c>
      <c r="P223" s="129">
        <v>0</v>
      </c>
      <c r="Q223" s="114"/>
      <c r="R223" s="5" t="b">
        <f t="shared" si="36"/>
        <v>0</v>
      </c>
      <c r="S223" s="11"/>
    </row>
    <row r="224" spans="1:19" ht="15" customHeight="1">
      <c r="A224" s="76"/>
      <c r="B224" s="12">
        <f t="shared" si="38"/>
        <v>46</v>
      </c>
      <c r="C224" s="7" t="s">
        <v>969</v>
      </c>
      <c r="D224" s="13" t="s">
        <v>1215</v>
      </c>
      <c r="E224" s="13" t="s">
        <v>1032</v>
      </c>
      <c r="F224" s="13" t="s">
        <v>1208</v>
      </c>
      <c r="G224" s="13" t="s">
        <v>1216</v>
      </c>
      <c r="H224" s="7" t="s">
        <v>1206</v>
      </c>
      <c r="I224" s="13"/>
      <c r="J224" s="115">
        <v>0</v>
      </c>
      <c r="K224" s="116">
        <v>29</v>
      </c>
      <c r="L224" s="116">
        <v>118.11666666698875</v>
      </c>
      <c r="M224" s="116">
        <v>572.88333333301125</v>
      </c>
      <c r="N224" s="129">
        <v>0</v>
      </c>
      <c r="O224" s="129">
        <v>0</v>
      </c>
      <c r="P224" s="129">
        <v>0</v>
      </c>
      <c r="Q224" s="114"/>
      <c r="R224" s="5" t="b">
        <f t="shared" ref="R224:R270" si="54">IF(O224&gt;89.9999999999999%,"Sims")</f>
        <v>0</v>
      </c>
      <c r="S224" s="11"/>
    </row>
    <row r="225" spans="1:19" ht="15" customHeight="1">
      <c r="A225" s="76"/>
      <c r="B225" s="12">
        <f t="shared" si="38"/>
        <v>47</v>
      </c>
      <c r="C225" s="7" t="s">
        <v>969</v>
      </c>
      <c r="D225" s="13" t="s">
        <v>1879</v>
      </c>
      <c r="E225" s="12" t="s">
        <v>992</v>
      </c>
      <c r="F225" s="13" t="s">
        <v>1210</v>
      </c>
      <c r="G225" s="13" t="s">
        <v>1217</v>
      </c>
      <c r="H225" s="7" t="s">
        <v>1206</v>
      </c>
      <c r="I225" s="13" t="s">
        <v>1212</v>
      </c>
      <c r="J225" s="115">
        <v>0</v>
      </c>
      <c r="K225" s="116">
        <v>120</v>
      </c>
      <c r="L225" s="116">
        <v>36.083333333604969</v>
      </c>
      <c r="M225" s="116">
        <v>563.91666666639503</v>
      </c>
      <c r="N225" s="129">
        <f t="shared" si="51"/>
        <v>0.7688200747450582</v>
      </c>
      <c r="O225" s="129">
        <f t="shared" si="52"/>
        <v>0.94988425925888198</v>
      </c>
      <c r="P225" s="129">
        <f t="shared" si="53"/>
        <v>0.17545997319368489</v>
      </c>
      <c r="Q225" s="114"/>
      <c r="R225" s="5" t="str">
        <f t="shared" si="54"/>
        <v>Sims</v>
      </c>
      <c r="S225" s="11"/>
    </row>
    <row r="226" spans="1:19" ht="15" customHeight="1">
      <c r="A226" s="76"/>
      <c r="B226" s="12">
        <f t="shared" si="38"/>
        <v>48</v>
      </c>
      <c r="C226" s="7" t="s">
        <v>969</v>
      </c>
      <c r="D226" s="13" t="s">
        <v>1880</v>
      </c>
      <c r="E226" s="12" t="s">
        <v>992</v>
      </c>
      <c r="F226" s="13" t="s">
        <v>1210</v>
      </c>
      <c r="G226" s="13" t="s">
        <v>1218</v>
      </c>
      <c r="H226" s="7" t="s">
        <v>1206</v>
      </c>
      <c r="I226" s="13" t="s">
        <v>1212</v>
      </c>
      <c r="J226" s="115">
        <v>0</v>
      </c>
      <c r="K226" s="116">
        <v>117</v>
      </c>
      <c r="L226" s="116">
        <v>27.550000000046566</v>
      </c>
      <c r="M226" s="116">
        <v>575.44999999995343</v>
      </c>
      <c r="N226" s="129">
        <f t="shared" si="51"/>
        <v>0.80940850916611762</v>
      </c>
      <c r="O226" s="129">
        <f t="shared" si="52"/>
        <v>0.9617361111110464</v>
      </c>
      <c r="P226" s="129">
        <f t="shared" si="53"/>
        <v>0.16896526825042654</v>
      </c>
      <c r="Q226" s="114"/>
      <c r="R226" s="5" t="str">
        <f t="shared" si="54"/>
        <v>Sims</v>
      </c>
      <c r="S226" s="11"/>
    </row>
    <row r="227" spans="1:19" ht="15" customHeight="1">
      <c r="A227" s="76"/>
      <c r="B227" s="12">
        <f t="shared" si="38"/>
        <v>49</v>
      </c>
      <c r="C227" s="7" t="s">
        <v>969</v>
      </c>
      <c r="D227" s="13" t="s">
        <v>1881</v>
      </c>
      <c r="E227" s="12" t="s">
        <v>992</v>
      </c>
      <c r="F227" s="13" t="s">
        <v>1210</v>
      </c>
      <c r="G227" s="13" t="s">
        <v>1219</v>
      </c>
      <c r="H227" s="7" t="s">
        <v>1206</v>
      </c>
      <c r="I227" s="13" t="s">
        <v>1212</v>
      </c>
      <c r="J227" s="115">
        <v>0</v>
      </c>
      <c r="K227" s="116">
        <v>116</v>
      </c>
      <c r="L227" s="116">
        <v>146.0166666667792</v>
      </c>
      <c r="M227" s="116">
        <v>457.9833333332208</v>
      </c>
      <c r="N227" s="129">
        <f t="shared" si="51"/>
        <v>0.44271992875752247</v>
      </c>
      <c r="O227" s="129">
        <f t="shared" si="52"/>
        <v>0.79719907407391777</v>
      </c>
      <c r="P227" s="129">
        <f t="shared" si="53"/>
        <v>0.20209646040829771</v>
      </c>
      <c r="Q227" s="114"/>
      <c r="R227" s="5" t="b">
        <f t="shared" si="54"/>
        <v>0</v>
      </c>
      <c r="S227" s="11"/>
    </row>
    <row r="228" spans="1:19" ht="15" customHeight="1">
      <c r="A228" s="76"/>
      <c r="B228" s="12">
        <f t="shared" si="38"/>
        <v>50</v>
      </c>
      <c r="C228" s="7" t="s">
        <v>969</v>
      </c>
      <c r="D228" s="13" t="s">
        <v>1882</v>
      </c>
      <c r="E228" s="13" t="s">
        <v>1032</v>
      </c>
      <c r="F228" s="13" t="s">
        <v>1220</v>
      </c>
      <c r="G228" s="13" t="s">
        <v>1221</v>
      </c>
      <c r="H228" s="7" t="s">
        <v>1206</v>
      </c>
      <c r="I228" s="13" t="s">
        <v>1207</v>
      </c>
      <c r="J228" s="115">
        <v>0</v>
      </c>
      <c r="K228" s="116">
        <v>115</v>
      </c>
      <c r="L228" s="116">
        <v>30.900000000139698</v>
      </c>
      <c r="M228" s="116">
        <v>574.0999999998603</v>
      </c>
      <c r="N228" s="129">
        <f t="shared" si="51"/>
        <v>0.78821110349479018</v>
      </c>
      <c r="O228" s="129">
        <f t="shared" si="52"/>
        <v>0.95708333333313933</v>
      </c>
      <c r="P228" s="129">
        <f t="shared" si="53"/>
        <v>0.1668843418952595</v>
      </c>
      <c r="Q228" s="114"/>
      <c r="R228" s="5" t="str">
        <f t="shared" si="54"/>
        <v>Sims</v>
      </c>
      <c r="S228" s="11"/>
    </row>
    <row r="229" spans="1:19" ht="15" customHeight="1">
      <c r="A229" s="76"/>
      <c r="B229" s="12">
        <f t="shared" si="38"/>
        <v>51</v>
      </c>
      <c r="C229" s="7" t="s">
        <v>969</v>
      </c>
      <c r="D229" s="13" t="s">
        <v>1883</v>
      </c>
      <c r="E229" s="13" t="s">
        <v>1032</v>
      </c>
      <c r="F229" s="13" t="s">
        <v>1220</v>
      </c>
      <c r="G229" s="13" t="s">
        <v>1219</v>
      </c>
      <c r="H229" s="7" t="s">
        <v>1206</v>
      </c>
      <c r="I229" s="13" t="s">
        <v>1207</v>
      </c>
      <c r="J229" s="115">
        <v>0</v>
      </c>
      <c r="K229" s="116">
        <v>130</v>
      </c>
      <c r="L229" s="116">
        <v>33.899999999965075</v>
      </c>
      <c r="M229" s="116">
        <v>556.10000000003492</v>
      </c>
      <c r="N229" s="129">
        <f t="shared" si="51"/>
        <v>0.79316656497881455</v>
      </c>
      <c r="O229" s="129">
        <f t="shared" si="52"/>
        <v>0.95291666666671515</v>
      </c>
      <c r="P229" s="129">
        <f t="shared" si="53"/>
        <v>0.18947675265995245</v>
      </c>
      <c r="Q229" s="114"/>
      <c r="R229" s="5" t="str">
        <f t="shared" si="54"/>
        <v>Sims</v>
      </c>
      <c r="S229" s="11"/>
    </row>
    <row r="230" spans="1:19" ht="15" customHeight="1">
      <c r="A230" s="76"/>
      <c r="B230" s="12">
        <f t="shared" si="38"/>
        <v>52</v>
      </c>
      <c r="C230" s="7" t="s">
        <v>969</v>
      </c>
      <c r="D230" s="13" t="s">
        <v>1884</v>
      </c>
      <c r="E230" s="13" t="s">
        <v>1032</v>
      </c>
      <c r="F230" s="13" t="s">
        <v>1220</v>
      </c>
      <c r="G230" s="13" t="s">
        <v>1175</v>
      </c>
      <c r="H230" s="7" t="s">
        <v>1206</v>
      </c>
      <c r="I230" s="13" t="s">
        <v>1207</v>
      </c>
      <c r="J230" s="115">
        <v>0</v>
      </c>
      <c r="K230" s="116">
        <v>57</v>
      </c>
      <c r="L230" s="116">
        <v>204.5333333335002</v>
      </c>
      <c r="M230" s="116">
        <v>458.4666666664998</v>
      </c>
      <c r="N230" s="129">
        <f t="shared" si="51"/>
        <v>0.21794544991064352</v>
      </c>
      <c r="O230" s="129">
        <f t="shared" si="52"/>
        <v>0.71592592592569415</v>
      </c>
      <c r="P230" s="129">
        <f t="shared" si="53"/>
        <v>0.11057941024318116</v>
      </c>
      <c r="Q230" s="114"/>
      <c r="R230" s="5" t="b">
        <f t="shared" si="54"/>
        <v>0</v>
      </c>
      <c r="S230" s="11"/>
    </row>
    <row r="231" spans="1:19" ht="15" customHeight="1">
      <c r="A231" s="76"/>
      <c r="B231" s="12">
        <f t="shared" si="38"/>
        <v>53</v>
      </c>
      <c r="C231" s="7" t="s">
        <v>969</v>
      </c>
      <c r="D231" s="13" t="s">
        <v>1885</v>
      </c>
      <c r="E231" s="13" t="s">
        <v>1032</v>
      </c>
      <c r="F231" s="13" t="s">
        <v>1222</v>
      </c>
      <c r="G231" s="13" t="s">
        <v>971</v>
      </c>
      <c r="H231" s="7" t="s">
        <v>1206</v>
      </c>
      <c r="I231" s="13"/>
      <c r="J231" s="115">
        <v>0</v>
      </c>
      <c r="K231" s="116">
        <v>107</v>
      </c>
      <c r="L231" s="116">
        <v>31.050000000279397</v>
      </c>
      <c r="M231" s="116">
        <v>581.9499999997206</v>
      </c>
      <c r="N231" s="129">
        <f t="shared" si="51"/>
        <v>0.77508149221139766</v>
      </c>
      <c r="O231" s="129">
        <f t="shared" si="52"/>
        <v>0.9568749999996119</v>
      </c>
      <c r="P231" s="129">
        <f t="shared" si="53"/>
        <v>0.15530880325138746</v>
      </c>
      <c r="Q231" s="114"/>
      <c r="R231" s="5" t="str">
        <f t="shared" si="54"/>
        <v>Sims</v>
      </c>
      <c r="S231" s="11"/>
    </row>
    <row r="232" spans="1:19" ht="15" customHeight="1">
      <c r="A232" s="76"/>
      <c r="B232" s="12">
        <f t="shared" si="38"/>
        <v>54</v>
      </c>
      <c r="C232" s="7" t="s">
        <v>955</v>
      </c>
      <c r="D232" s="13" t="s">
        <v>1886</v>
      </c>
      <c r="E232" s="12" t="s">
        <v>992</v>
      </c>
      <c r="F232" s="13" t="s">
        <v>1223</v>
      </c>
      <c r="G232" s="13" t="s">
        <v>1224</v>
      </c>
      <c r="H232" s="7" t="s">
        <v>1206</v>
      </c>
      <c r="I232" s="13" t="s">
        <v>1212</v>
      </c>
      <c r="J232" s="115">
        <v>0</v>
      </c>
      <c r="K232" s="116">
        <v>138</v>
      </c>
      <c r="L232" s="116">
        <v>31.916666666627862</v>
      </c>
      <c r="M232" s="116">
        <v>550.08333333337214</v>
      </c>
      <c r="N232" s="129">
        <f t="shared" si="51"/>
        <v>0.81216282491435909</v>
      </c>
      <c r="O232" s="129">
        <f t="shared" si="52"/>
        <v>0.95567129629635017</v>
      </c>
      <c r="P232" s="129">
        <f t="shared" si="53"/>
        <v>0.20055710306405555</v>
      </c>
      <c r="Q232" s="114"/>
      <c r="R232" s="5" t="str">
        <f t="shared" si="54"/>
        <v>Sims</v>
      </c>
      <c r="S232" s="11"/>
    </row>
    <row r="233" spans="1:19" ht="15" customHeight="1">
      <c r="A233" s="76"/>
      <c r="B233" s="12">
        <f t="shared" si="38"/>
        <v>55</v>
      </c>
      <c r="C233" s="7" t="s">
        <v>955</v>
      </c>
      <c r="D233" s="13" t="s">
        <v>1887</v>
      </c>
      <c r="E233" s="13" t="s">
        <v>992</v>
      </c>
      <c r="F233" s="13" t="s">
        <v>1210</v>
      </c>
      <c r="G233" s="13" t="s">
        <v>1224</v>
      </c>
      <c r="H233" s="7" t="s">
        <v>1206</v>
      </c>
      <c r="I233" s="13" t="s">
        <v>1212</v>
      </c>
      <c r="J233" s="115">
        <v>0</v>
      </c>
      <c r="K233" s="116">
        <v>64</v>
      </c>
      <c r="L233" s="116">
        <v>132.39999999990687</v>
      </c>
      <c r="M233" s="116">
        <v>523.60000000009313</v>
      </c>
      <c r="N233" s="129">
        <f t="shared" si="51"/>
        <v>0.32586558044821967</v>
      </c>
      <c r="O233" s="129">
        <f t="shared" si="52"/>
        <v>0.81611111111124046</v>
      </c>
      <c r="P233" s="129">
        <f t="shared" si="53"/>
        <v>0.10891763104150759</v>
      </c>
      <c r="Q233" s="114"/>
      <c r="R233" s="5" t="b">
        <f t="shared" si="54"/>
        <v>0</v>
      </c>
      <c r="S233" s="11"/>
    </row>
    <row r="234" spans="1:19" ht="15" customHeight="1">
      <c r="A234" s="76"/>
      <c r="B234" s="12">
        <f t="shared" si="38"/>
        <v>56</v>
      </c>
      <c r="C234" s="7" t="s">
        <v>955</v>
      </c>
      <c r="D234" s="13" t="s">
        <v>1888</v>
      </c>
      <c r="E234" s="13" t="s">
        <v>992</v>
      </c>
      <c r="F234" s="13" t="s">
        <v>1223</v>
      </c>
      <c r="G234" s="13" t="s">
        <v>1225</v>
      </c>
      <c r="H234" s="7" t="s">
        <v>1206</v>
      </c>
      <c r="I234" s="13" t="s">
        <v>1212</v>
      </c>
      <c r="J234" s="115">
        <v>0</v>
      </c>
      <c r="K234" s="116">
        <v>17</v>
      </c>
      <c r="L234" s="116">
        <v>551.49999999994179</v>
      </c>
      <c r="M234" s="116">
        <v>151.50000000005824</v>
      </c>
      <c r="N234" s="129">
        <f t="shared" si="51"/>
        <v>2.9903254177663572E-2</v>
      </c>
      <c r="O234" s="129">
        <f t="shared" si="52"/>
        <v>0.23402777777785866</v>
      </c>
      <c r="P234" s="129">
        <f t="shared" si="53"/>
        <v>0.10089020771509866</v>
      </c>
      <c r="Q234" s="114"/>
      <c r="R234" s="5" t="b">
        <f t="shared" si="54"/>
        <v>0</v>
      </c>
      <c r="S234" s="11"/>
    </row>
    <row r="235" spans="1:19" ht="15" customHeight="1">
      <c r="A235" s="76"/>
      <c r="B235" s="12">
        <f t="shared" si="38"/>
        <v>57</v>
      </c>
      <c r="C235" s="7" t="s">
        <v>969</v>
      </c>
      <c r="D235" s="13" t="s">
        <v>1889</v>
      </c>
      <c r="E235" s="13" t="s">
        <v>1226</v>
      </c>
      <c r="F235" s="13" t="s">
        <v>1227</v>
      </c>
      <c r="G235" s="13" t="s">
        <v>1228</v>
      </c>
      <c r="H235" s="7" t="s">
        <v>275</v>
      </c>
      <c r="I235" s="13"/>
      <c r="J235" s="115">
        <v>0</v>
      </c>
      <c r="K235" s="116">
        <v>10</v>
      </c>
      <c r="L235" s="116">
        <v>121.66666666668607</v>
      </c>
      <c r="M235" s="116">
        <v>588.33333333331393</v>
      </c>
      <c r="N235" s="129">
        <v>0</v>
      </c>
      <c r="O235" s="129">
        <v>0</v>
      </c>
      <c r="P235" s="129">
        <v>0</v>
      </c>
      <c r="Q235" s="114"/>
      <c r="R235" s="5" t="b">
        <f t="shared" si="54"/>
        <v>0</v>
      </c>
      <c r="S235" s="11"/>
    </row>
    <row r="236" spans="1:19" ht="15" customHeight="1">
      <c r="A236" s="76"/>
      <c r="B236" s="12">
        <f t="shared" si="38"/>
        <v>58</v>
      </c>
      <c r="C236" s="7" t="s">
        <v>969</v>
      </c>
      <c r="D236" s="13" t="s">
        <v>1890</v>
      </c>
      <c r="E236" s="13" t="s">
        <v>992</v>
      </c>
      <c r="F236" s="13">
        <v>200</v>
      </c>
      <c r="G236" s="13" t="s">
        <v>1229</v>
      </c>
      <c r="H236" s="7" t="s">
        <v>275</v>
      </c>
      <c r="I236" s="13" t="s">
        <v>1230</v>
      </c>
      <c r="J236" s="115">
        <v>0</v>
      </c>
      <c r="K236" s="116">
        <v>0</v>
      </c>
      <c r="L236" s="116">
        <v>0</v>
      </c>
      <c r="M236" s="116">
        <v>0</v>
      </c>
      <c r="N236" s="129">
        <v>0</v>
      </c>
      <c r="O236" s="129">
        <v>0</v>
      </c>
      <c r="P236" s="129">
        <v>0</v>
      </c>
      <c r="Q236" s="114"/>
      <c r="R236" s="5" t="b">
        <f t="shared" si="54"/>
        <v>0</v>
      </c>
      <c r="S236" s="11"/>
    </row>
    <row r="237" spans="1:19" ht="15" customHeight="1">
      <c r="A237" s="76"/>
      <c r="B237" s="12">
        <f t="shared" si="38"/>
        <v>59</v>
      </c>
      <c r="C237" s="7" t="s">
        <v>969</v>
      </c>
      <c r="D237" s="13" t="s">
        <v>1891</v>
      </c>
      <c r="E237" s="13" t="s">
        <v>992</v>
      </c>
      <c r="F237" s="13">
        <v>200</v>
      </c>
      <c r="G237" s="13" t="s">
        <v>1231</v>
      </c>
      <c r="H237" s="7" t="s">
        <v>275</v>
      </c>
      <c r="I237" s="13" t="s">
        <v>1230</v>
      </c>
      <c r="J237" s="115">
        <v>0</v>
      </c>
      <c r="K237" s="116">
        <v>218</v>
      </c>
      <c r="L237" s="116">
        <v>20.983333333279006</v>
      </c>
      <c r="M237" s="116">
        <v>481.01666666672099</v>
      </c>
      <c r="N237" s="129">
        <f t="shared" si="51"/>
        <v>0.91219750331285121</v>
      </c>
      <c r="O237" s="129">
        <f t="shared" si="52"/>
        <v>0.9708564814815569</v>
      </c>
      <c r="P237" s="129">
        <f t="shared" si="53"/>
        <v>0.31186666984571143</v>
      </c>
      <c r="Q237" s="114"/>
      <c r="R237" s="5" t="str">
        <f t="shared" si="54"/>
        <v>Sims</v>
      </c>
      <c r="S237" s="11"/>
    </row>
    <row r="238" spans="1:19" ht="15" customHeight="1">
      <c r="A238" s="76"/>
      <c r="B238" s="12">
        <f t="shared" si="38"/>
        <v>60</v>
      </c>
      <c r="C238" s="7" t="s">
        <v>969</v>
      </c>
      <c r="D238" s="13" t="s">
        <v>1232</v>
      </c>
      <c r="E238" s="13" t="s">
        <v>992</v>
      </c>
      <c r="F238" s="13">
        <v>200</v>
      </c>
      <c r="G238" s="13" t="s">
        <v>1231</v>
      </c>
      <c r="H238" s="7" t="s">
        <v>275</v>
      </c>
      <c r="I238" s="13" t="s">
        <v>1230</v>
      </c>
      <c r="J238" s="115">
        <v>0</v>
      </c>
      <c r="K238" s="116">
        <v>0</v>
      </c>
      <c r="L238" s="116">
        <v>0</v>
      </c>
      <c r="M238" s="116">
        <v>0</v>
      </c>
      <c r="N238" s="129">
        <v>0</v>
      </c>
      <c r="O238" s="129">
        <v>0</v>
      </c>
      <c r="P238" s="129">
        <v>0</v>
      </c>
      <c r="Q238" s="114"/>
      <c r="R238" s="5" t="b">
        <f t="shared" si="54"/>
        <v>0</v>
      </c>
      <c r="S238" s="11"/>
    </row>
    <row r="239" spans="1:19" ht="15" customHeight="1">
      <c r="A239" s="76"/>
      <c r="B239" s="12">
        <f t="shared" si="38"/>
        <v>61</v>
      </c>
      <c r="C239" s="7" t="s">
        <v>969</v>
      </c>
      <c r="D239" s="13" t="s">
        <v>1233</v>
      </c>
      <c r="E239" s="13" t="s">
        <v>992</v>
      </c>
      <c r="F239" s="13">
        <v>200</v>
      </c>
      <c r="G239" s="13" t="s">
        <v>1203</v>
      </c>
      <c r="H239" s="7" t="s">
        <v>275</v>
      </c>
      <c r="I239" s="13" t="s">
        <v>1230</v>
      </c>
      <c r="J239" s="115">
        <v>0</v>
      </c>
      <c r="K239" s="116">
        <v>191</v>
      </c>
      <c r="L239" s="116">
        <v>80.516666666488163</v>
      </c>
      <c r="M239" s="116">
        <v>448.48333333351184</v>
      </c>
      <c r="N239" s="129">
        <f t="shared" si="51"/>
        <v>0.70345589589390056</v>
      </c>
      <c r="O239" s="129">
        <f t="shared" si="52"/>
        <v>0.88817129629654423</v>
      </c>
      <c r="P239" s="129">
        <f t="shared" si="53"/>
        <v>0.29867862076146895</v>
      </c>
      <c r="Q239" s="114"/>
      <c r="R239" s="5" t="b">
        <f t="shared" si="54"/>
        <v>0</v>
      </c>
      <c r="S239" s="11"/>
    </row>
    <row r="240" spans="1:19" ht="15" customHeight="1">
      <c r="A240" s="76"/>
      <c r="B240" s="12">
        <f t="shared" si="38"/>
        <v>62</v>
      </c>
      <c r="C240" s="7" t="s">
        <v>969</v>
      </c>
      <c r="D240" s="13" t="s">
        <v>1234</v>
      </c>
      <c r="E240" s="13" t="s">
        <v>992</v>
      </c>
      <c r="F240" s="13">
        <v>200</v>
      </c>
      <c r="G240" s="13" t="s">
        <v>1203</v>
      </c>
      <c r="H240" s="7" t="s">
        <v>275</v>
      </c>
      <c r="I240" s="13" t="s">
        <v>1230</v>
      </c>
      <c r="J240" s="115">
        <v>0</v>
      </c>
      <c r="K240" s="116">
        <v>158</v>
      </c>
      <c r="L240" s="116">
        <v>7.9500000000698492</v>
      </c>
      <c r="M240" s="116">
        <v>554.04999999993015</v>
      </c>
      <c r="N240" s="129">
        <f t="shared" si="51"/>
        <v>0.95209400421773727</v>
      </c>
      <c r="O240" s="129">
        <f t="shared" si="52"/>
        <v>0.98895833333323635</v>
      </c>
      <c r="P240" s="129">
        <f t="shared" si="53"/>
        <v>0.22189452987854152</v>
      </c>
      <c r="Q240" s="114"/>
      <c r="R240" s="5" t="str">
        <f t="shared" si="54"/>
        <v>Sims</v>
      </c>
      <c r="S240" s="11"/>
    </row>
    <row r="241" spans="1:19" ht="15" customHeight="1">
      <c r="A241" s="76"/>
      <c r="B241" s="12">
        <f t="shared" si="38"/>
        <v>63</v>
      </c>
      <c r="C241" s="7" t="s">
        <v>969</v>
      </c>
      <c r="D241" s="13" t="s">
        <v>1235</v>
      </c>
      <c r="E241" s="13" t="s">
        <v>992</v>
      </c>
      <c r="F241" s="13">
        <v>200</v>
      </c>
      <c r="G241" s="13" t="s">
        <v>1203</v>
      </c>
      <c r="H241" s="7" t="s">
        <v>275</v>
      </c>
      <c r="I241" s="13" t="s">
        <v>1230</v>
      </c>
      <c r="J241" s="115">
        <v>0</v>
      </c>
      <c r="K241" s="116">
        <v>165</v>
      </c>
      <c r="L241" s="116">
        <v>115.39999999984866</v>
      </c>
      <c r="M241" s="116">
        <v>439.60000000015134</v>
      </c>
      <c r="N241" s="129">
        <v>0</v>
      </c>
      <c r="O241" s="129">
        <v>0</v>
      </c>
      <c r="P241" s="129">
        <v>0</v>
      </c>
      <c r="Q241" s="114"/>
      <c r="R241" s="5" t="b">
        <f t="shared" si="54"/>
        <v>0</v>
      </c>
      <c r="S241" s="11"/>
    </row>
    <row r="242" spans="1:19" ht="15" customHeight="1">
      <c r="A242" s="76"/>
      <c r="B242" s="12">
        <f t="shared" si="38"/>
        <v>64</v>
      </c>
      <c r="C242" s="7" t="s">
        <v>969</v>
      </c>
      <c r="D242" s="13" t="s">
        <v>1236</v>
      </c>
      <c r="E242" s="13" t="s">
        <v>992</v>
      </c>
      <c r="F242" s="13">
        <v>400</v>
      </c>
      <c r="G242" s="13" t="s">
        <v>1237</v>
      </c>
      <c r="H242" s="7" t="s">
        <v>275</v>
      </c>
      <c r="I242" s="13"/>
      <c r="J242" s="115">
        <v>0</v>
      </c>
      <c r="K242" s="116">
        <v>237</v>
      </c>
      <c r="L242" s="116">
        <v>36.949999999778811</v>
      </c>
      <c r="M242" s="116">
        <v>446.05000000022119</v>
      </c>
      <c r="N242" s="129">
        <f t="shared" si="51"/>
        <v>0.86512137251393084</v>
      </c>
      <c r="O242" s="129">
        <f t="shared" si="52"/>
        <v>0.94868055555586273</v>
      </c>
      <c r="P242" s="129">
        <f t="shared" si="53"/>
        <v>0.34697313520228862</v>
      </c>
      <c r="Q242" s="114"/>
      <c r="R242" s="5" t="str">
        <f t="shared" si="54"/>
        <v>Sims</v>
      </c>
      <c r="S242" s="11"/>
    </row>
    <row r="243" spans="1:19" ht="15" customHeight="1">
      <c r="A243" s="76"/>
      <c r="B243" s="12">
        <f t="shared" si="38"/>
        <v>65</v>
      </c>
      <c r="C243" s="7" t="s">
        <v>969</v>
      </c>
      <c r="D243" s="13" t="s">
        <v>1238</v>
      </c>
      <c r="E243" s="13" t="s">
        <v>992</v>
      </c>
      <c r="F243" s="13">
        <v>340</v>
      </c>
      <c r="G243" s="13" t="s">
        <v>1239</v>
      </c>
      <c r="H243" s="7" t="s">
        <v>275</v>
      </c>
      <c r="I243" s="13" t="s">
        <v>1240</v>
      </c>
      <c r="J243" s="115">
        <v>0</v>
      </c>
      <c r="K243" s="116">
        <v>199</v>
      </c>
      <c r="L243" s="116">
        <v>129.85000000032596</v>
      </c>
      <c r="M243" s="116">
        <v>391.14999999967404</v>
      </c>
      <c r="N243" s="129">
        <f t="shared" si="51"/>
        <v>0.60513912117926938</v>
      </c>
      <c r="O243" s="129">
        <f t="shared" si="52"/>
        <v>0.81965277777732504</v>
      </c>
      <c r="P243" s="129">
        <f t="shared" si="53"/>
        <v>0.33720240616810965</v>
      </c>
      <c r="Q243" s="114"/>
      <c r="R243" s="5" t="b">
        <f t="shared" si="54"/>
        <v>0</v>
      </c>
      <c r="S243" s="11"/>
    </row>
    <row r="244" spans="1:19" ht="15" customHeight="1">
      <c r="A244" s="76"/>
      <c r="B244" s="12">
        <f t="shared" si="38"/>
        <v>66</v>
      </c>
      <c r="C244" s="7" t="s">
        <v>969</v>
      </c>
      <c r="D244" s="13" t="s">
        <v>1241</v>
      </c>
      <c r="E244" s="13" t="s">
        <v>992</v>
      </c>
      <c r="F244" s="13">
        <v>340</v>
      </c>
      <c r="G244" s="13" t="s">
        <v>1242</v>
      </c>
      <c r="H244" s="7" t="s">
        <v>275</v>
      </c>
      <c r="I244" s="13" t="s">
        <v>1240</v>
      </c>
      <c r="J244" s="115">
        <v>0</v>
      </c>
      <c r="K244" s="116">
        <v>244</v>
      </c>
      <c r="L244" s="116">
        <v>19.900000000081491</v>
      </c>
      <c r="M244" s="116">
        <v>456.09999999991851</v>
      </c>
      <c r="N244" s="129">
        <f t="shared" si="51"/>
        <v>0.92459264873029423</v>
      </c>
      <c r="O244" s="129">
        <f t="shared" si="52"/>
        <v>0.97236111111099788</v>
      </c>
      <c r="P244" s="129">
        <f t="shared" si="53"/>
        <v>0.34852163976578832</v>
      </c>
      <c r="Q244" s="114"/>
      <c r="R244" s="5" t="str">
        <f t="shared" si="54"/>
        <v>Sims</v>
      </c>
      <c r="S244" s="11"/>
    </row>
    <row r="245" spans="1:19" ht="15" customHeight="1">
      <c r="A245" s="76"/>
      <c r="B245" s="12">
        <f t="shared" si="38"/>
        <v>67</v>
      </c>
      <c r="C245" s="7" t="s">
        <v>969</v>
      </c>
      <c r="D245" s="13" t="s">
        <v>1243</v>
      </c>
      <c r="E245" s="13" t="s">
        <v>1244</v>
      </c>
      <c r="F245" s="13" t="s">
        <v>1245</v>
      </c>
      <c r="G245" s="13" t="s">
        <v>1246</v>
      </c>
      <c r="H245" s="7" t="s">
        <v>275</v>
      </c>
      <c r="I245" s="13" t="s">
        <v>1247</v>
      </c>
      <c r="J245" s="115">
        <v>0</v>
      </c>
      <c r="K245" s="116">
        <v>0</v>
      </c>
      <c r="L245" s="116">
        <v>0</v>
      </c>
      <c r="M245" s="116">
        <v>0</v>
      </c>
      <c r="N245" s="129">
        <v>0</v>
      </c>
      <c r="O245" s="129">
        <v>0</v>
      </c>
      <c r="P245" s="129">
        <v>0</v>
      </c>
      <c r="Q245" s="114"/>
      <c r="R245" s="5" t="b">
        <f t="shared" si="54"/>
        <v>0</v>
      </c>
      <c r="S245" s="11"/>
    </row>
    <row r="246" spans="1:19" ht="15" customHeight="1">
      <c r="A246" s="76"/>
      <c r="B246" s="12">
        <f t="shared" si="38"/>
        <v>68</v>
      </c>
      <c r="C246" s="7" t="s">
        <v>969</v>
      </c>
      <c r="D246" s="13" t="s">
        <v>1248</v>
      </c>
      <c r="E246" s="13" t="s">
        <v>1244</v>
      </c>
      <c r="F246" s="13" t="s">
        <v>1245</v>
      </c>
      <c r="G246" s="13" t="s">
        <v>1246</v>
      </c>
      <c r="H246" s="7" t="s">
        <v>275</v>
      </c>
      <c r="I246" s="13" t="s">
        <v>1247</v>
      </c>
      <c r="J246" s="115">
        <v>0</v>
      </c>
      <c r="K246" s="116">
        <v>33</v>
      </c>
      <c r="L246" s="116">
        <v>19.249999999708962</v>
      </c>
      <c r="M246" s="116">
        <v>667.75000000029104</v>
      </c>
      <c r="N246" s="129">
        <f t="shared" si="51"/>
        <v>0.63157894737193898</v>
      </c>
      <c r="O246" s="129">
        <f t="shared" si="52"/>
        <v>0.97326388888929316</v>
      </c>
      <c r="P246" s="129">
        <f t="shared" si="53"/>
        <v>4.7092400998910162E-2</v>
      </c>
      <c r="Q246" s="114"/>
      <c r="R246" s="5" t="str">
        <f t="shared" si="54"/>
        <v>Sims</v>
      </c>
      <c r="S246" s="11"/>
    </row>
    <row r="247" spans="1:19" ht="15" customHeight="1">
      <c r="A247" s="76"/>
      <c r="B247" s="12">
        <f t="shared" si="38"/>
        <v>69</v>
      </c>
      <c r="C247" s="7" t="s">
        <v>969</v>
      </c>
      <c r="D247" s="13" t="s">
        <v>1249</v>
      </c>
      <c r="E247" s="13" t="s">
        <v>178</v>
      </c>
      <c r="F247" s="13" t="s">
        <v>1250</v>
      </c>
      <c r="G247" s="13" t="s">
        <v>1251</v>
      </c>
      <c r="H247" s="7" t="s">
        <v>275</v>
      </c>
      <c r="I247" s="13" t="s">
        <v>1252</v>
      </c>
      <c r="J247" s="115"/>
      <c r="K247" s="116"/>
      <c r="L247" s="116"/>
      <c r="M247" s="116"/>
      <c r="N247" s="129"/>
      <c r="O247" s="129"/>
      <c r="P247" s="129"/>
      <c r="Q247" s="114"/>
      <c r="R247" s="5" t="b">
        <f t="shared" si="54"/>
        <v>0</v>
      </c>
      <c r="S247" s="11"/>
    </row>
    <row r="248" spans="1:19" ht="15" customHeight="1">
      <c r="A248" s="76"/>
      <c r="B248" s="12">
        <f t="shared" si="38"/>
        <v>70</v>
      </c>
      <c r="C248" s="7" t="s">
        <v>969</v>
      </c>
      <c r="D248" s="13" t="s">
        <v>1892</v>
      </c>
      <c r="E248" s="13" t="s">
        <v>159</v>
      </c>
      <c r="F248" s="13" t="s">
        <v>226</v>
      </c>
      <c r="G248" s="13" t="s">
        <v>1253</v>
      </c>
      <c r="H248" s="7" t="s">
        <v>1254</v>
      </c>
      <c r="I248" s="13" t="s">
        <v>1255</v>
      </c>
      <c r="J248" s="17"/>
      <c r="Q248" s="95"/>
      <c r="R248" s="5" t="b">
        <f t="shared" si="54"/>
        <v>0</v>
      </c>
      <c r="S248" s="11"/>
    </row>
    <row r="249" spans="1:19" ht="15" customHeight="1">
      <c r="A249" s="76"/>
      <c r="B249" s="12">
        <f t="shared" si="38"/>
        <v>71</v>
      </c>
      <c r="C249" s="7" t="s">
        <v>969</v>
      </c>
      <c r="D249" s="13" t="s">
        <v>1893</v>
      </c>
      <c r="E249" s="13" t="s">
        <v>1256</v>
      </c>
      <c r="F249" s="13" t="s">
        <v>1257</v>
      </c>
      <c r="G249" s="13" t="s">
        <v>1258</v>
      </c>
      <c r="H249" s="7" t="s">
        <v>1254</v>
      </c>
      <c r="I249" s="13" t="s">
        <v>1255</v>
      </c>
      <c r="J249" s="17"/>
      <c r="Q249" s="95"/>
      <c r="R249" s="5" t="b">
        <f t="shared" si="54"/>
        <v>0</v>
      </c>
      <c r="S249" s="11"/>
    </row>
    <row r="250" spans="1:19" ht="15" customHeight="1">
      <c r="A250" s="76"/>
      <c r="B250" s="12">
        <f t="shared" si="38"/>
        <v>72</v>
      </c>
      <c r="C250" s="7" t="s">
        <v>969</v>
      </c>
      <c r="D250" s="13" t="s">
        <v>1894</v>
      </c>
      <c r="E250" s="13" t="s">
        <v>1256</v>
      </c>
      <c r="F250" s="13" t="s">
        <v>1257</v>
      </c>
      <c r="G250" s="13" t="s">
        <v>1258</v>
      </c>
      <c r="H250" s="7" t="s">
        <v>1254</v>
      </c>
      <c r="I250" s="13" t="s">
        <v>1255</v>
      </c>
      <c r="J250" s="17"/>
      <c r="Q250" s="95"/>
      <c r="R250" s="5" t="b">
        <f t="shared" si="54"/>
        <v>0</v>
      </c>
      <c r="S250" s="11"/>
    </row>
    <row r="251" spans="1:19" ht="15" customHeight="1">
      <c r="A251" s="76"/>
      <c r="B251" s="12">
        <f t="shared" si="38"/>
        <v>73</v>
      </c>
      <c r="C251" s="7" t="s">
        <v>969</v>
      </c>
      <c r="D251" s="13" t="s">
        <v>1895</v>
      </c>
      <c r="E251" s="13" t="s">
        <v>159</v>
      </c>
      <c r="F251" s="13" t="s">
        <v>226</v>
      </c>
      <c r="G251" s="13" t="s">
        <v>1259</v>
      </c>
      <c r="H251" s="7" t="s">
        <v>1254</v>
      </c>
      <c r="I251" s="13" t="s">
        <v>1255</v>
      </c>
      <c r="J251" s="17"/>
      <c r="K251" s="100"/>
      <c r="L251" s="100"/>
      <c r="M251" s="100"/>
      <c r="N251" s="100"/>
      <c r="O251" s="100"/>
      <c r="P251" s="100"/>
      <c r="Q251" s="102"/>
      <c r="R251" s="5" t="b">
        <f t="shared" si="54"/>
        <v>0</v>
      </c>
      <c r="S251" s="11"/>
    </row>
    <row r="252" spans="1:19" ht="15" customHeight="1">
      <c r="A252" s="76"/>
      <c r="B252" s="12">
        <f t="shared" si="38"/>
        <v>74</v>
      </c>
      <c r="C252" s="7" t="s">
        <v>969</v>
      </c>
      <c r="D252" s="13" t="s">
        <v>1896</v>
      </c>
      <c r="E252" s="13" t="s">
        <v>159</v>
      </c>
      <c r="F252" s="13" t="s">
        <v>226</v>
      </c>
      <c r="G252" s="13" t="s">
        <v>1259</v>
      </c>
      <c r="H252" s="7" t="s">
        <v>1254</v>
      </c>
      <c r="I252" s="13" t="s">
        <v>1255</v>
      </c>
      <c r="J252" s="17"/>
      <c r="K252" s="100"/>
      <c r="L252" s="100"/>
      <c r="M252" s="100"/>
      <c r="N252" s="100"/>
      <c r="O252" s="100"/>
      <c r="P252" s="100"/>
      <c r="Q252" s="102"/>
      <c r="R252" s="5" t="b">
        <f t="shared" si="54"/>
        <v>0</v>
      </c>
      <c r="S252" s="11"/>
    </row>
    <row r="253" spans="1:19" ht="15" customHeight="1">
      <c r="A253" s="76"/>
      <c r="B253" s="12">
        <f t="shared" si="38"/>
        <v>75</v>
      </c>
      <c r="C253" s="7" t="s">
        <v>969</v>
      </c>
      <c r="D253" s="13" t="s">
        <v>1897</v>
      </c>
      <c r="E253" s="13" t="s">
        <v>159</v>
      </c>
      <c r="F253" s="13" t="s">
        <v>226</v>
      </c>
      <c r="G253" s="13" t="s">
        <v>1260</v>
      </c>
      <c r="H253" s="7" t="s">
        <v>1254</v>
      </c>
      <c r="I253" s="13" t="s">
        <v>1255</v>
      </c>
      <c r="J253" s="17"/>
      <c r="K253" s="100"/>
      <c r="L253" s="100"/>
      <c r="M253" s="100"/>
      <c r="N253" s="100"/>
      <c r="O253" s="100"/>
      <c r="P253" s="100"/>
      <c r="Q253" s="102"/>
      <c r="R253" s="5" t="b">
        <f t="shared" si="54"/>
        <v>0</v>
      </c>
      <c r="S253" s="11"/>
    </row>
    <row r="254" spans="1:19" ht="15" customHeight="1">
      <c r="A254" s="76"/>
      <c r="B254" s="12">
        <f t="shared" si="38"/>
        <v>76</v>
      </c>
      <c r="C254" s="7" t="s">
        <v>969</v>
      </c>
      <c r="D254" s="13" t="s">
        <v>1898</v>
      </c>
      <c r="E254" s="13" t="s">
        <v>992</v>
      </c>
      <c r="F254" s="13" t="s">
        <v>1025</v>
      </c>
      <c r="G254" s="13" t="s">
        <v>1261</v>
      </c>
      <c r="H254" s="7" t="s">
        <v>1254</v>
      </c>
      <c r="I254" s="13" t="s">
        <v>1262</v>
      </c>
      <c r="J254" s="17"/>
      <c r="K254" s="100"/>
      <c r="L254" s="100"/>
      <c r="M254" s="100"/>
      <c r="N254" s="100"/>
      <c r="O254" s="100"/>
      <c r="P254" s="100"/>
      <c r="Q254" s="102"/>
      <c r="R254" s="5" t="b">
        <f t="shared" si="54"/>
        <v>0</v>
      </c>
      <c r="S254" s="11"/>
    </row>
    <row r="255" spans="1:19" ht="15" customHeight="1">
      <c r="A255" s="76"/>
      <c r="B255" s="12">
        <f t="shared" si="38"/>
        <v>77</v>
      </c>
      <c r="C255" s="7" t="s">
        <v>969</v>
      </c>
      <c r="D255" s="13" t="s">
        <v>1899</v>
      </c>
      <c r="E255" s="13" t="s">
        <v>159</v>
      </c>
      <c r="F255" s="13" t="s">
        <v>226</v>
      </c>
      <c r="G255" s="13" t="s">
        <v>1263</v>
      </c>
      <c r="H255" s="7" t="s">
        <v>1254</v>
      </c>
      <c r="I255" s="13" t="s">
        <v>1255</v>
      </c>
      <c r="J255" s="17"/>
      <c r="K255" s="100"/>
      <c r="L255" s="100"/>
      <c r="M255" s="100"/>
      <c r="N255" s="100"/>
      <c r="O255" s="100"/>
      <c r="P255" s="100"/>
      <c r="Q255" s="102"/>
      <c r="R255" s="5" t="b">
        <f t="shared" si="54"/>
        <v>0</v>
      </c>
      <c r="S255" s="11"/>
    </row>
    <row r="256" spans="1:19" ht="15" customHeight="1">
      <c r="A256" s="76"/>
      <c r="B256" s="12">
        <f t="shared" si="38"/>
        <v>78</v>
      </c>
      <c r="C256" s="7" t="s">
        <v>969</v>
      </c>
      <c r="D256" s="13" t="s">
        <v>1900</v>
      </c>
      <c r="E256" s="13" t="s">
        <v>225</v>
      </c>
      <c r="F256" s="13" t="s">
        <v>1264</v>
      </c>
      <c r="G256" s="13" t="s">
        <v>1130</v>
      </c>
      <c r="H256" s="7" t="s">
        <v>1254</v>
      </c>
      <c r="I256" s="13" t="s">
        <v>1265</v>
      </c>
      <c r="J256" s="17"/>
      <c r="K256" s="100"/>
      <c r="L256" s="100"/>
      <c r="M256" s="100"/>
      <c r="N256" s="100"/>
      <c r="O256" s="100"/>
      <c r="P256" s="100"/>
      <c r="Q256" s="102"/>
      <c r="R256" s="5" t="b">
        <f t="shared" si="54"/>
        <v>0</v>
      </c>
      <c r="S256" s="11"/>
    </row>
    <row r="257" spans="1:19" ht="15" customHeight="1">
      <c r="A257" s="76"/>
      <c r="B257" s="12">
        <f t="shared" si="38"/>
        <v>79</v>
      </c>
      <c r="C257" s="7" t="s">
        <v>969</v>
      </c>
      <c r="D257" s="13" t="s">
        <v>1901</v>
      </c>
      <c r="E257" s="13" t="s">
        <v>225</v>
      </c>
      <c r="F257" s="13" t="s">
        <v>1264</v>
      </c>
      <c r="G257" s="13" t="s">
        <v>1130</v>
      </c>
      <c r="H257" s="7" t="s">
        <v>1254</v>
      </c>
      <c r="I257" s="13" t="s">
        <v>1265</v>
      </c>
      <c r="J257" s="17"/>
      <c r="K257" s="100"/>
      <c r="L257" s="100"/>
      <c r="M257" s="100"/>
      <c r="N257" s="100"/>
      <c r="O257" s="100"/>
      <c r="P257" s="100"/>
      <c r="Q257" s="102"/>
      <c r="R257" s="5" t="b">
        <f t="shared" si="54"/>
        <v>0</v>
      </c>
      <c r="S257" s="11"/>
    </row>
    <row r="258" spans="1:19" ht="15" customHeight="1">
      <c r="A258" s="76"/>
      <c r="B258" s="12">
        <f t="shared" si="38"/>
        <v>80</v>
      </c>
      <c r="C258" s="7" t="s">
        <v>969</v>
      </c>
      <c r="D258" s="13" t="s">
        <v>1902</v>
      </c>
      <c r="E258" s="13" t="s">
        <v>159</v>
      </c>
      <c r="F258" s="13" t="s">
        <v>1266</v>
      </c>
      <c r="G258" s="13" t="s">
        <v>1267</v>
      </c>
      <c r="H258" s="7" t="s">
        <v>1254</v>
      </c>
      <c r="I258" s="13" t="s">
        <v>1268</v>
      </c>
      <c r="J258" s="17"/>
      <c r="K258" s="100"/>
      <c r="L258" s="100"/>
      <c r="M258" s="100"/>
      <c r="N258" s="100"/>
      <c r="O258" s="100"/>
      <c r="P258" s="100"/>
      <c r="Q258" s="102"/>
      <c r="R258" s="5" t="b">
        <f t="shared" si="54"/>
        <v>0</v>
      </c>
      <c r="S258" s="11"/>
    </row>
    <row r="259" spans="1:19" ht="15" customHeight="1">
      <c r="A259" s="76"/>
      <c r="B259" s="12">
        <f t="shared" si="38"/>
        <v>81</v>
      </c>
      <c r="C259" s="7" t="s">
        <v>969</v>
      </c>
      <c r="D259" s="13" t="s">
        <v>1903</v>
      </c>
      <c r="E259" s="13" t="s">
        <v>159</v>
      </c>
      <c r="F259" s="13" t="s">
        <v>1266</v>
      </c>
      <c r="G259" s="13" t="s">
        <v>1269</v>
      </c>
      <c r="H259" s="7" t="s">
        <v>1254</v>
      </c>
      <c r="I259" s="13" t="s">
        <v>1268</v>
      </c>
      <c r="J259" s="17"/>
      <c r="Q259" s="95"/>
      <c r="R259" s="5" t="b">
        <f t="shared" si="54"/>
        <v>0</v>
      </c>
      <c r="S259" s="11"/>
    </row>
    <row r="260" spans="1:19" ht="15" customHeight="1">
      <c r="A260" s="76"/>
      <c r="B260" s="12">
        <f t="shared" ref="B260" si="55">+B259+1</f>
        <v>82</v>
      </c>
      <c r="C260" s="7" t="s">
        <v>969</v>
      </c>
      <c r="D260" s="13" t="s">
        <v>1904</v>
      </c>
      <c r="E260" s="13" t="s">
        <v>159</v>
      </c>
      <c r="F260" s="13" t="s">
        <v>1266</v>
      </c>
      <c r="G260" s="13" t="s">
        <v>1269</v>
      </c>
      <c r="H260" s="7" t="s">
        <v>1254</v>
      </c>
      <c r="I260" s="13" t="s">
        <v>1268</v>
      </c>
      <c r="J260" s="17"/>
      <c r="Q260" s="95"/>
      <c r="R260" s="5" t="b">
        <f t="shared" si="54"/>
        <v>0</v>
      </c>
      <c r="S260" s="11"/>
    </row>
    <row r="261" spans="1:19" ht="15" customHeight="1">
      <c r="A261" s="76"/>
      <c r="B261" s="12">
        <f t="shared" ref="B261:B263" si="56">+B260+1</f>
        <v>83</v>
      </c>
      <c r="C261" s="7" t="s">
        <v>969</v>
      </c>
      <c r="D261" s="13" t="s">
        <v>1905</v>
      </c>
      <c r="E261" s="13" t="s">
        <v>159</v>
      </c>
      <c r="F261" s="13" t="s">
        <v>1266</v>
      </c>
      <c r="G261" s="13" t="s">
        <v>1269</v>
      </c>
      <c r="H261" s="7" t="s">
        <v>1254</v>
      </c>
      <c r="I261" s="13" t="s">
        <v>1268</v>
      </c>
      <c r="J261" s="17"/>
      <c r="Q261" s="95"/>
      <c r="R261" s="5" t="b">
        <f t="shared" si="54"/>
        <v>0</v>
      </c>
      <c r="S261" s="11"/>
    </row>
    <row r="262" spans="1:19" ht="15" customHeight="1">
      <c r="A262" s="76"/>
      <c r="B262" s="12">
        <f t="shared" si="56"/>
        <v>84</v>
      </c>
      <c r="C262" s="7" t="s">
        <v>969</v>
      </c>
      <c r="D262" s="13" t="s">
        <v>1906</v>
      </c>
      <c r="E262" s="13" t="s">
        <v>1032</v>
      </c>
      <c r="F262" s="13" t="s">
        <v>1035</v>
      </c>
      <c r="G262" s="13" t="s">
        <v>1270</v>
      </c>
      <c r="H262" s="7" t="s">
        <v>1254</v>
      </c>
      <c r="I262" s="13" t="s">
        <v>1262</v>
      </c>
      <c r="J262" s="17"/>
      <c r="Q262" s="95"/>
      <c r="R262" s="5" t="b">
        <f t="shared" si="54"/>
        <v>0</v>
      </c>
      <c r="S262" s="11"/>
    </row>
    <row r="263" spans="1:19" ht="15" customHeight="1">
      <c r="A263" s="76"/>
      <c r="B263" s="12">
        <f t="shared" si="56"/>
        <v>85</v>
      </c>
      <c r="C263" s="7" t="s">
        <v>969</v>
      </c>
      <c r="D263" s="13" t="s">
        <v>1907</v>
      </c>
      <c r="E263" s="13" t="s">
        <v>159</v>
      </c>
      <c r="F263" s="13" t="s">
        <v>226</v>
      </c>
      <c r="G263" s="13" t="s">
        <v>1271</v>
      </c>
      <c r="H263" s="7" t="s">
        <v>275</v>
      </c>
      <c r="I263" s="13" t="s">
        <v>1255</v>
      </c>
      <c r="J263" s="17"/>
      <c r="Q263" s="95"/>
      <c r="R263" s="5" t="b">
        <f t="shared" si="54"/>
        <v>0</v>
      </c>
      <c r="S263" s="11"/>
    </row>
    <row r="264" spans="1:19" ht="15" hidden="1" customHeight="1">
      <c r="A264" s="76"/>
      <c r="B264" s="12"/>
      <c r="C264" s="7"/>
      <c r="D264" s="13"/>
      <c r="E264" s="13"/>
      <c r="F264" s="13"/>
      <c r="G264" s="13"/>
      <c r="H264" s="7"/>
      <c r="I264" s="13"/>
      <c r="J264" s="17"/>
      <c r="Q264" s="95"/>
      <c r="R264" s="5" t="b">
        <f t="shared" si="54"/>
        <v>0</v>
      </c>
      <c r="S264" s="11"/>
    </row>
    <row r="265" spans="1:19" ht="15" hidden="1" customHeight="1">
      <c r="A265" s="76"/>
      <c r="B265" s="12"/>
      <c r="C265" s="7"/>
      <c r="D265" s="13"/>
      <c r="E265" s="13"/>
      <c r="F265" s="13"/>
      <c r="G265" s="13"/>
      <c r="H265" s="7"/>
      <c r="I265" s="13"/>
      <c r="J265" s="17"/>
      <c r="Q265" s="95"/>
      <c r="R265" s="5" t="b">
        <f t="shared" si="54"/>
        <v>0</v>
      </c>
      <c r="S265" s="11"/>
    </row>
    <row r="266" spans="1:19" ht="15" hidden="1" customHeight="1">
      <c r="A266" s="76"/>
      <c r="B266" s="12"/>
      <c r="C266" s="7"/>
      <c r="D266" s="13"/>
      <c r="E266" s="13"/>
      <c r="F266" s="13"/>
      <c r="G266" s="13"/>
      <c r="H266" s="7"/>
      <c r="I266" s="13"/>
      <c r="J266" s="17"/>
      <c r="Q266" s="95"/>
      <c r="R266" s="5" t="b">
        <f t="shared" si="54"/>
        <v>0</v>
      </c>
      <c r="S266" s="11"/>
    </row>
    <row r="267" spans="1:19" ht="15" hidden="1" customHeight="1">
      <c r="A267" s="76"/>
      <c r="B267" s="12"/>
      <c r="C267" s="7"/>
      <c r="D267" s="13"/>
      <c r="E267" s="13"/>
      <c r="F267" s="13"/>
      <c r="G267" s="13"/>
      <c r="H267" s="7"/>
      <c r="I267" s="13"/>
      <c r="J267" s="17"/>
      <c r="Q267" s="95"/>
      <c r="R267" s="5" t="b">
        <f t="shared" si="54"/>
        <v>0</v>
      </c>
      <c r="S267" s="11"/>
    </row>
    <row r="268" spans="1:19" ht="15" hidden="1" customHeight="1">
      <c r="A268" s="76"/>
      <c r="B268" s="12"/>
      <c r="C268" s="7"/>
      <c r="D268" s="13"/>
      <c r="E268" s="13"/>
      <c r="F268" s="13"/>
      <c r="G268" s="13"/>
      <c r="H268" s="7"/>
      <c r="I268" s="13"/>
      <c r="J268" s="17"/>
      <c r="Q268" s="95"/>
      <c r="R268" s="5" t="b">
        <f t="shared" si="54"/>
        <v>0</v>
      </c>
      <c r="S268" s="11"/>
    </row>
    <row r="269" spans="1:19" ht="15" customHeight="1" thickBot="1">
      <c r="A269" s="77"/>
      <c r="B269" s="352" t="s">
        <v>22</v>
      </c>
      <c r="C269" s="352"/>
      <c r="D269" s="352"/>
      <c r="E269" s="352"/>
      <c r="F269" s="70">
        <f>+COUNTA(F179:F268)</f>
        <v>85</v>
      </c>
      <c r="G269" s="71"/>
      <c r="H269" s="72"/>
      <c r="I269" s="72"/>
      <c r="J269" s="17"/>
      <c r="Q269" s="95"/>
      <c r="R269" s="5" t="b">
        <f t="shared" si="54"/>
        <v>0</v>
      </c>
      <c r="S269" s="11"/>
    </row>
    <row r="270" spans="1:19" ht="15" customHeight="1">
      <c r="J270" s="17"/>
      <c r="Q270" s="95"/>
      <c r="R270" s="5" t="b">
        <f t="shared" si="54"/>
        <v>0</v>
      </c>
      <c r="S270" s="11"/>
    </row>
    <row r="271" spans="1:19" ht="15" customHeight="1">
      <c r="J271" s="17"/>
      <c r="Q271" s="95"/>
      <c r="R271" s="11"/>
      <c r="S271" s="11"/>
    </row>
    <row r="272" spans="1:19" ht="15" customHeight="1">
      <c r="J272" s="17"/>
      <c r="Q272" s="95"/>
      <c r="R272" s="11"/>
      <c r="S272" s="11"/>
    </row>
    <row r="273" spans="10:19" ht="15" customHeight="1">
      <c r="J273" s="17"/>
      <c r="Q273" s="95"/>
      <c r="R273" s="11"/>
      <c r="S273" s="11"/>
    </row>
    <row r="274" spans="10:19" ht="15" customHeight="1">
      <c r="J274" s="17"/>
      <c r="Q274" s="95"/>
      <c r="R274" s="11"/>
      <c r="S274" s="11"/>
    </row>
    <row r="275" spans="10:19" ht="15" customHeight="1" thickBot="1">
      <c r="J275" s="113"/>
      <c r="K275" s="96"/>
      <c r="L275" s="96"/>
      <c r="M275" s="96"/>
      <c r="N275" s="96"/>
      <c r="O275" s="96"/>
      <c r="P275" s="96"/>
      <c r="Q275" s="97"/>
      <c r="R275" s="11"/>
      <c r="S275" s="11"/>
    </row>
    <row r="276" spans="10:19" ht="15" customHeight="1">
      <c r="K276" s="14"/>
      <c r="L276" s="14"/>
      <c r="M276" s="14"/>
      <c r="N276" s="14"/>
      <c r="O276" s="14"/>
      <c r="P276" s="14"/>
      <c r="Q276" s="14"/>
      <c r="R276" s="11"/>
      <c r="S276" s="11"/>
    </row>
    <row r="277" spans="10:19" ht="15" customHeight="1">
      <c r="K277" s="14"/>
      <c r="L277" s="14"/>
      <c r="M277" s="14"/>
      <c r="N277" s="14"/>
      <c r="O277" s="14"/>
      <c r="P277" s="14"/>
      <c r="Q277" s="14"/>
      <c r="R277" s="11"/>
      <c r="S277" s="11"/>
    </row>
    <row r="278" spans="10:19" ht="15" customHeight="1">
      <c r="K278" s="14"/>
      <c r="L278" s="14"/>
      <c r="M278" s="14"/>
      <c r="N278" s="14"/>
      <c r="O278" s="14"/>
      <c r="P278" s="14"/>
      <c r="Q278" s="14"/>
      <c r="R278" s="11"/>
      <c r="S278" s="11"/>
    </row>
    <row r="279" spans="10:19" ht="15" customHeight="1">
      <c r="K279" s="14"/>
      <c r="L279" s="14"/>
      <c r="M279" s="14"/>
      <c r="N279" s="14"/>
      <c r="O279" s="14"/>
      <c r="P279" s="14"/>
      <c r="Q279" s="14"/>
      <c r="R279" s="11"/>
      <c r="S279" s="11"/>
    </row>
    <row r="280" spans="10:19" ht="15" customHeight="1">
      <c r="K280" s="14"/>
      <c r="L280" s="14"/>
      <c r="M280" s="14"/>
      <c r="N280" s="14"/>
      <c r="O280" s="14"/>
      <c r="P280" s="14"/>
      <c r="Q280" s="14"/>
      <c r="R280" s="11"/>
      <c r="S280" s="11"/>
    </row>
    <row r="281" spans="10:19" ht="15" customHeight="1">
      <c r="K281" s="14"/>
      <c r="L281" s="14"/>
      <c r="M281" s="14"/>
      <c r="N281" s="14"/>
      <c r="O281" s="14"/>
      <c r="P281" s="14"/>
      <c r="Q281" s="14"/>
      <c r="R281" s="11"/>
      <c r="S281" s="11"/>
    </row>
    <row r="282" spans="10:19" ht="15" customHeight="1">
      <c r="K282" s="14"/>
      <c r="L282" s="14"/>
      <c r="M282" s="14"/>
      <c r="N282" s="14"/>
      <c r="O282" s="14"/>
      <c r="P282" s="14"/>
      <c r="Q282" s="14"/>
      <c r="R282" s="11"/>
      <c r="S282" s="11"/>
    </row>
    <row r="283" spans="10:19" ht="15" customHeight="1">
      <c r="K283" s="14"/>
      <c r="L283" s="14"/>
      <c r="M283" s="14"/>
      <c r="N283" s="14"/>
      <c r="O283" s="14"/>
      <c r="P283" s="14"/>
      <c r="Q283" s="14"/>
      <c r="R283" s="11"/>
      <c r="S283" s="11"/>
    </row>
    <row r="284" spans="10:19" ht="15" customHeight="1">
      <c r="K284" s="14"/>
      <c r="L284" s="14"/>
      <c r="M284" s="14"/>
      <c r="N284" s="14"/>
      <c r="O284" s="14"/>
      <c r="P284" s="14"/>
      <c r="Q284" s="14"/>
      <c r="R284" s="11"/>
      <c r="S284" s="11"/>
    </row>
    <row r="285" spans="10:19" ht="15" customHeight="1">
      <c r="K285" s="14"/>
      <c r="L285" s="14"/>
      <c r="M285" s="14"/>
      <c r="N285" s="14"/>
      <c r="O285" s="14"/>
      <c r="P285" s="14"/>
      <c r="Q285" s="14"/>
      <c r="R285" s="4"/>
      <c r="S285" s="4"/>
    </row>
    <row r="286" spans="10:19" ht="15" customHeight="1">
      <c r="K286" s="14"/>
      <c r="L286" s="14"/>
      <c r="M286" s="14"/>
      <c r="N286" s="14"/>
      <c r="O286" s="14"/>
      <c r="P286" s="14"/>
      <c r="Q286" s="14"/>
    </row>
    <row r="287" spans="10:19" ht="15" customHeight="1">
      <c r="K287" s="14"/>
      <c r="L287" s="14"/>
      <c r="M287" s="14"/>
      <c r="N287" s="14"/>
      <c r="O287" s="14"/>
      <c r="P287" s="14"/>
      <c r="Q287" s="14"/>
    </row>
    <row r="288" spans="10:19">
      <c r="K288" s="14"/>
      <c r="L288" s="14"/>
      <c r="M288" s="14"/>
      <c r="N288" s="14"/>
      <c r="O288" s="14"/>
      <c r="P288" s="14"/>
      <c r="Q288" s="14"/>
    </row>
    <row r="289" s="14" customFormat="1"/>
    <row r="290" s="14" customFormat="1"/>
    <row r="291" s="14" customFormat="1"/>
    <row r="292" s="14" customFormat="1"/>
    <row r="293" s="14" customFormat="1"/>
    <row r="294" s="14" customFormat="1"/>
    <row r="295" s="14" customFormat="1"/>
    <row r="296" s="14" customFormat="1"/>
    <row r="297" s="14" customFormat="1"/>
    <row r="298" s="14" customFormat="1"/>
    <row r="299" s="14" customFormat="1"/>
    <row r="300" s="14" customFormat="1"/>
    <row r="301" s="14" customFormat="1"/>
    <row r="302" s="14" customFormat="1"/>
    <row r="303" s="14" customFormat="1"/>
    <row r="304" s="14" customFormat="1"/>
    <row r="305" s="14" customFormat="1"/>
    <row r="306" s="14" customFormat="1"/>
    <row r="307" s="14" customFormat="1"/>
    <row r="594" spans="2:2">
      <c r="B594" s="66"/>
    </row>
  </sheetData>
  <autoFilter ref="A178:I263" xr:uid="{00000000-0001-0000-0400-000000000000}"/>
  <mergeCells count="9">
    <mergeCell ref="B269:E269"/>
    <mergeCell ref="B175:E175"/>
    <mergeCell ref="A1:Q1"/>
    <mergeCell ref="A2:Q2"/>
    <mergeCell ref="A3:C3"/>
    <mergeCell ref="A6:C6"/>
    <mergeCell ref="A7:C7"/>
    <mergeCell ref="B28:E28"/>
    <mergeCell ref="D7:E7"/>
  </mergeCells>
  <phoneticPr fontId="34" type="noConversion"/>
  <dataValidations disablePrompts="1" count="2">
    <dataValidation type="list" allowBlank="1" showInputMessage="1" showErrorMessage="1" sqref="D3" xr:uid="{00000000-0002-0000-0400-000000000000}">
      <formula1>$U$4:$U$34</formula1>
    </dataValidation>
    <dataValidation type="list" allowBlank="1" showInputMessage="1" showErrorMessage="1" sqref="D6" xr:uid="{00000000-0002-0000-0400-000001000000}">
      <formula1>$V$4:$V$31</formula1>
    </dataValidation>
  </dataValidations>
  <printOptions horizontalCentered="1"/>
  <pageMargins left="0.4" right="0.4" top="0.7" bottom="0.7" header="0" footer="0.3"/>
  <pageSetup paperSize="9" scale="50" fitToHeight="0" orientation="portrait" horizont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W959"/>
  <sheetViews>
    <sheetView showGridLines="0" view="pageBreakPreview" zoomScale="70" zoomScaleNormal="100" zoomScaleSheetLayoutView="70" workbookViewId="0">
      <selection activeCell="V1" sqref="V1:V1048576"/>
    </sheetView>
  </sheetViews>
  <sheetFormatPr defaultColWidth="10.28515625" defaultRowHeight="15"/>
  <cols>
    <col min="1" max="1" width="4" style="108" customWidth="1"/>
    <col min="2" max="2" width="4.42578125" style="108" customWidth="1"/>
    <col min="3" max="3" width="12" style="108" customWidth="1"/>
    <col min="4" max="4" width="17.85546875" style="108" customWidth="1"/>
    <col min="5" max="5" width="20.28515625" style="108" customWidth="1"/>
    <col min="6" max="6" width="59.140625" style="108" bestFit="1" customWidth="1"/>
    <col min="7" max="7" width="11" style="108" customWidth="1"/>
    <col min="8" max="8" width="17.7109375" style="108" bestFit="1" customWidth="1"/>
    <col min="9" max="9" width="16.85546875" style="108" customWidth="1"/>
    <col min="10" max="10" width="14.28515625" style="108" customWidth="1"/>
    <col min="11" max="16" width="8.85546875" style="1" customWidth="1"/>
    <col min="17" max="17" width="15.42578125" style="1" customWidth="1"/>
    <col min="18" max="18" width="18.140625" style="108" hidden="1" customWidth="1"/>
    <col min="19" max="20" width="10.28515625" style="108" hidden="1" customWidth="1"/>
    <col min="21" max="22" width="16.42578125" style="108" hidden="1" customWidth="1"/>
    <col min="23" max="16384" width="10.28515625" style="108"/>
  </cols>
  <sheetData>
    <row r="1" spans="1:23" s="52" customFormat="1" ht="24" customHeight="1">
      <c r="A1" s="339" t="s">
        <v>249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1"/>
    </row>
    <row r="2" spans="1:23" s="52" customFormat="1" ht="15" customHeight="1" thickBot="1">
      <c r="A2" s="342" t="s">
        <v>260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4"/>
    </row>
    <row r="3" spans="1:23" s="52" customFormat="1" ht="15" customHeight="1" thickTop="1">
      <c r="A3" s="345" t="s">
        <v>250</v>
      </c>
      <c r="B3" s="346"/>
      <c r="C3" s="346"/>
      <c r="D3" s="53" t="s">
        <v>191</v>
      </c>
      <c r="E3" s="54"/>
      <c r="F3" s="54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  <c r="U3" s="52" t="s">
        <v>250</v>
      </c>
      <c r="V3" s="52" t="s">
        <v>251</v>
      </c>
    </row>
    <row r="4" spans="1:23" s="52" customFormat="1" ht="15" customHeight="1">
      <c r="A4" s="81"/>
      <c r="B4" s="82"/>
      <c r="C4" s="82"/>
      <c r="D4" s="57" t="s">
        <v>252</v>
      </c>
      <c r="E4" s="58"/>
      <c r="F4" s="58"/>
      <c r="G4" s="4"/>
      <c r="H4" s="4"/>
      <c r="I4" s="4"/>
      <c r="J4" s="4"/>
      <c r="K4" s="4"/>
      <c r="L4" s="4"/>
      <c r="M4" s="4"/>
      <c r="N4" s="4"/>
      <c r="O4" s="4"/>
      <c r="P4" s="4"/>
      <c r="Q4" s="59"/>
      <c r="U4" s="52" t="s">
        <v>185</v>
      </c>
      <c r="V4" s="63" t="s">
        <v>467</v>
      </c>
    </row>
    <row r="5" spans="1:23" s="52" customFormat="1" ht="15" customHeight="1">
      <c r="A5" s="81"/>
      <c r="B5" s="82"/>
      <c r="C5" s="82"/>
      <c r="D5" s="57" t="s">
        <v>253</v>
      </c>
      <c r="E5" s="58"/>
      <c r="F5" s="58"/>
      <c r="G5" s="4"/>
      <c r="H5" s="4"/>
      <c r="I5" s="4"/>
      <c r="J5" s="4"/>
      <c r="K5" s="4"/>
      <c r="L5" s="4"/>
      <c r="M5" s="4"/>
      <c r="N5" s="4"/>
      <c r="O5" s="4"/>
      <c r="P5" s="4"/>
      <c r="Q5" s="59"/>
      <c r="U5" s="52" t="s">
        <v>261</v>
      </c>
      <c r="V5" s="63" t="s">
        <v>465</v>
      </c>
    </row>
    <row r="6" spans="1:23" s="52" customFormat="1" ht="15" customHeight="1">
      <c r="A6" s="347" t="s">
        <v>254</v>
      </c>
      <c r="B6" s="348"/>
      <c r="C6" s="348"/>
      <c r="D6" s="58" t="s">
        <v>573</v>
      </c>
      <c r="E6" s="58"/>
      <c r="F6" s="58"/>
      <c r="G6" s="4"/>
      <c r="H6" s="4"/>
      <c r="I6" s="4"/>
      <c r="J6" s="4"/>
      <c r="K6" s="4"/>
      <c r="L6" s="4"/>
      <c r="M6" s="4"/>
      <c r="N6" s="4"/>
      <c r="O6" s="4"/>
      <c r="P6" s="4"/>
      <c r="Q6" s="59"/>
      <c r="U6" s="52" t="s">
        <v>187</v>
      </c>
      <c r="V6" s="63" t="s">
        <v>466</v>
      </c>
    </row>
    <row r="7" spans="1:23" s="1" customFormat="1" ht="15" customHeight="1" thickBot="1">
      <c r="A7" s="349" t="s">
        <v>255</v>
      </c>
      <c r="B7" s="350"/>
      <c r="C7" s="350"/>
      <c r="D7" s="351">
        <f>+Pama!D7</f>
        <v>44652</v>
      </c>
      <c r="E7" s="351"/>
      <c r="F7" s="60"/>
      <c r="G7" s="61"/>
      <c r="H7" s="61"/>
      <c r="I7" s="84"/>
      <c r="J7" s="84"/>
      <c r="K7" s="84"/>
      <c r="L7" s="84"/>
      <c r="M7" s="84"/>
      <c r="N7" s="84"/>
      <c r="O7" s="84"/>
      <c r="P7" s="84"/>
      <c r="Q7" s="62" t="s">
        <v>541</v>
      </c>
      <c r="S7" s="52"/>
      <c r="T7" s="52"/>
      <c r="U7" s="52" t="s">
        <v>256</v>
      </c>
      <c r="V7" s="63" t="s">
        <v>340</v>
      </c>
      <c r="W7" s="52"/>
    </row>
    <row r="8" spans="1:23" s="4" customFormat="1" ht="15" customHeight="1" thickTop="1">
      <c r="A8" s="64"/>
      <c r="F8" s="16"/>
      <c r="Q8" s="59"/>
      <c r="U8" s="52" t="s">
        <v>191</v>
      </c>
      <c r="V8" s="63" t="s">
        <v>468</v>
      </c>
      <c r="W8" s="1"/>
    </row>
    <row r="9" spans="1:23" s="4" customFormat="1" ht="15" customHeight="1">
      <c r="A9" s="65" t="s">
        <v>0</v>
      </c>
      <c r="B9" s="66" t="s">
        <v>1</v>
      </c>
      <c r="F9" s="16"/>
      <c r="Q9" s="59"/>
      <c r="S9" s="159"/>
      <c r="U9" s="52" t="s">
        <v>434</v>
      </c>
      <c r="V9" s="63" t="s">
        <v>573</v>
      </c>
    </row>
    <row r="10" spans="1:23" s="4" customFormat="1" ht="15" customHeight="1">
      <c r="A10" s="64"/>
      <c r="B10" s="6" t="s">
        <v>2</v>
      </c>
      <c r="C10" s="6" t="s">
        <v>3</v>
      </c>
      <c r="D10" s="6" t="s">
        <v>4</v>
      </c>
      <c r="E10" s="6" t="s">
        <v>5</v>
      </c>
      <c r="F10" s="6" t="s">
        <v>6</v>
      </c>
      <c r="G10" s="6" t="s">
        <v>7</v>
      </c>
      <c r="H10" s="6" t="s">
        <v>8</v>
      </c>
      <c r="I10" s="83" t="s">
        <v>9</v>
      </c>
      <c r="J10" s="83" t="s">
        <v>267</v>
      </c>
      <c r="K10" s="6" t="s">
        <v>262</v>
      </c>
      <c r="L10" s="6" t="s">
        <v>268</v>
      </c>
      <c r="M10" s="6" t="s">
        <v>269</v>
      </c>
      <c r="N10" s="6" t="s">
        <v>263</v>
      </c>
      <c r="O10" s="6" t="s">
        <v>264</v>
      </c>
      <c r="P10" s="6" t="s">
        <v>265</v>
      </c>
      <c r="Q10" s="67" t="s">
        <v>266</v>
      </c>
      <c r="S10" s="159"/>
      <c r="U10" s="52" t="s">
        <v>257</v>
      </c>
      <c r="V10" s="63" t="s">
        <v>572</v>
      </c>
    </row>
    <row r="11" spans="1:23" s="152" customFormat="1" ht="15" hidden="1" customHeight="1">
      <c r="A11" s="64"/>
      <c r="B11" s="355" t="s">
        <v>565</v>
      </c>
      <c r="C11" s="356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7"/>
      <c r="U11" s="52" t="s">
        <v>339</v>
      </c>
      <c r="V11" s="52"/>
      <c r="W11" s="4"/>
    </row>
    <row r="12" spans="1:23" s="152" customFormat="1" ht="15" hidden="1" customHeight="1">
      <c r="A12" s="153"/>
      <c r="B12" s="18">
        <v>1</v>
      </c>
      <c r="C12" s="18" t="s">
        <v>1272</v>
      </c>
      <c r="D12" s="166" t="s">
        <v>1290</v>
      </c>
      <c r="E12" s="18" t="s">
        <v>160</v>
      </c>
      <c r="F12" s="18" t="s">
        <v>1952</v>
      </c>
      <c r="G12" s="209">
        <v>2020</v>
      </c>
      <c r="H12" s="209" t="s">
        <v>13</v>
      </c>
      <c r="I12" s="245" t="s">
        <v>972</v>
      </c>
      <c r="J12" s="232"/>
      <c r="K12" s="232"/>
      <c r="L12" s="232"/>
      <c r="M12" s="232"/>
      <c r="N12" s="129"/>
      <c r="O12" s="129"/>
      <c r="P12" s="129"/>
      <c r="Q12" s="117"/>
      <c r="R12" s="5" t="b">
        <f>IF(O12&gt;89.9999999999999%,"PTP")</f>
        <v>0</v>
      </c>
      <c r="U12" s="63" t="s">
        <v>258</v>
      </c>
      <c r="V12" s="52"/>
    </row>
    <row r="13" spans="1:23" s="152" customFormat="1" ht="15" hidden="1" customHeight="1">
      <c r="A13" s="153"/>
      <c r="B13" s="18">
        <f>+B12+1</f>
        <v>2</v>
      </c>
      <c r="C13" s="18" t="s">
        <v>1272</v>
      </c>
      <c r="D13" s="166"/>
      <c r="E13" s="18"/>
      <c r="F13" s="18"/>
      <c r="G13" s="209"/>
      <c r="H13" s="209"/>
      <c r="I13" s="245"/>
      <c r="J13" s="232"/>
      <c r="K13" s="232"/>
      <c r="L13" s="232"/>
      <c r="M13" s="232"/>
      <c r="N13" s="129" t="e">
        <f>+K13/(K13+L13)</f>
        <v>#DIV/0!</v>
      </c>
      <c r="O13" s="129" t="e">
        <f>+(K13+M13)/(K13+L13+M13)</f>
        <v>#DIV/0!</v>
      </c>
      <c r="P13" s="129" t="e">
        <f>+K13/(K13+M13)</f>
        <v>#DIV/0!</v>
      </c>
      <c r="Q13" s="117" t="e">
        <f>+J13/K13</f>
        <v>#DIV/0!</v>
      </c>
      <c r="R13" s="152" t="e">
        <f t="shared" ref="R13:R84" si="0">IF(O13&gt;89.9999999999999%,"PTP")</f>
        <v>#DIV/0!</v>
      </c>
      <c r="U13" s="52" t="s">
        <v>437</v>
      </c>
      <c r="V13" s="52"/>
    </row>
    <row r="14" spans="1:23" s="152" customFormat="1" ht="15" hidden="1" customHeight="1">
      <c r="A14" s="153"/>
      <c r="B14" s="18">
        <f t="shared" ref="B14:B15" si="1">+B13+1</f>
        <v>3</v>
      </c>
      <c r="C14" s="18" t="s">
        <v>1272</v>
      </c>
      <c r="D14" s="204"/>
      <c r="E14" s="18"/>
      <c r="F14" s="18"/>
      <c r="G14" s="209"/>
      <c r="H14" s="209"/>
      <c r="I14" s="245"/>
      <c r="J14" s="232"/>
      <c r="K14" s="232"/>
      <c r="L14" s="232"/>
      <c r="M14" s="232"/>
      <c r="N14" s="129" t="e">
        <f>+K14/(K14+L14)</f>
        <v>#DIV/0!</v>
      </c>
      <c r="O14" s="129" t="e">
        <f>+(K14+M14)/(K14+L14+M14)</f>
        <v>#DIV/0!</v>
      </c>
      <c r="P14" s="129" t="e">
        <f>+K14/(K14+M14)</f>
        <v>#DIV/0!</v>
      </c>
      <c r="Q14" s="117" t="e">
        <f>+J14/K14</f>
        <v>#DIV/0!</v>
      </c>
      <c r="R14" s="152" t="e">
        <f t="shared" si="0"/>
        <v>#DIV/0!</v>
      </c>
      <c r="U14" s="52"/>
      <c r="V14" s="52"/>
    </row>
    <row r="15" spans="1:23" s="152" customFormat="1" ht="15" hidden="1" customHeight="1">
      <c r="A15" s="153"/>
      <c r="B15" s="18">
        <f t="shared" si="1"/>
        <v>4</v>
      </c>
      <c r="C15" s="18" t="s">
        <v>1272</v>
      </c>
      <c r="D15" s="166" t="s">
        <v>1291</v>
      </c>
      <c r="E15" s="18" t="s">
        <v>15</v>
      </c>
      <c r="F15" s="18" t="s">
        <v>160</v>
      </c>
      <c r="G15" s="209">
        <v>2020</v>
      </c>
      <c r="H15" s="209" t="s">
        <v>13</v>
      </c>
      <c r="I15" s="245" t="s">
        <v>960</v>
      </c>
      <c r="J15" s="232"/>
      <c r="K15" s="232"/>
      <c r="L15" s="232"/>
      <c r="M15" s="232"/>
      <c r="N15" s="129" t="e">
        <f t="shared" ref="N15" si="2">+K15/(K15+L15)</f>
        <v>#DIV/0!</v>
      </c>
      <c r="O15" s="129" t="e">
        <f t="shared" ref="O15" si="3">+(K15+M15)/(K15+L15+M15)</f>
        <v>#DIV/0!</v>
      </c>
      <c r="P15" s="129" t="e">
        <f t="shared" ref="P15" si="4">+K15/(K15+M15)</f>
        <v>#DIV/0!</v>
      </c>
      <c r="Q15" s="117" t="e">
        <f t="shared" ref="Q15" si="5">+J15/K15</f>
        <v>#DIV/0!</v>
      </c>
      <c r="R15" s="152" t="e">
        <f t="shared" si="0"/>
        <v>#DIV/0!</v>
      </c>
      <c r="U15" s="52"/>
      <c r="V15" s="4"/>
    </row>
    <row r="16" spans="1:23" s="152" customFormat="1" ht="15" hidden="1" customHeight="1">
      <c r="A16" s="64"/>
      <c r="B16" s="355" t="s">
        <v>22</v>
      </c>
      <c r="C16" s="356"/>
      <c r="D16" s="356"/>
      <c r="E16" s="358"/>
      <c r="F16" s="8">
        <f>+COUNTA(F12:F14)</f>
        <v>1</v>
      </c>
      <c r="G16" s="9"/>
      <c r="H16" s="7"/>
      <c r="I16" s="86"/>
      <c r="J16" s="86"/>
      <c r="K16" s="7"/>
      <c r="L16" s="7"/>
      <c r="M16" s="7"/>
      <c r="N16" s="7"/>
      <c r="O16" s="7"/>
      <c r="P16" s="7"/>
      <c r="Q16" s="68"/>
      <c r="R16" s="152" t="b">
        <f t="shared" si="0"/>
        <v>0</v>
      </c>
      <c r="U16" s="52"/>
      <c r="V16" s="4"/>
    </row>
    <row r="17" spans="1:23" s="152" customFormat="1" ht="15" customHeight="1">
      <c r="A17" s="64"/>
      <c r="B17" s="355" t="s">
        <v>523</v>
      </c>
      <c r="C17" s="356"/>
      <c r="D17" s="356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7"/>
      <c r="R17" s="155" t="b">
        <f t="shared" si="0"/>
        <v>0</v>
      </c>
      <c r="U17" s="4"/>
      <c r="V17" s="4"/>
    </row>
    <row r="18" spans="1:23" s="152" customFormat="1" ht="15" customHeight="1">
      <c r="A18" s="153"/>
      <c r="B18" s="18">
        <v>1</v>
      </c>
      <c r="C18" s="209" t="s">
        <v>1272</v>
      </c>
      <c r="D18" s="166" t="s">
        <v>1273</v>
      </c>
      <c r="E18" s="18" t="s">
        <v>305</v>
      </c>
      <c r="F18" s="18" t="s">
        <v>1951</v>
      </c>
      <c r="G18" s="209">
        <v>2017</v>
      </c>
      <c r="H18" s="209" t="s">
        <v>13</v>
      </c>
      <c r="I18" s="245" t="s">
        <v>1274</v>
      </c>
      <c r="J18" s="232">
        <v>254732</v>
      </c>
      <c r="K18" s="232">
        <v>251.36500000000049</v>
      </c>
      <c r="L18" s="232">
        <v>66.052999999999997</v>
      </c>
      <c r="M18" s="232">
        <v>402.58199999999954</v>
      </c>
      <c r="N18" s="129">
        <f t="shared" ref="N18" si="6">+K18/(K18+L18)</f>
        <v>0.7919053109779538</v>
      </c>
      <c r="O18" s="129">
        <f t="shared" ref="O18" si="7">+(K18+M18)/(K18+L18+M18)</f>
        <v>0.90825972222222218</v>
      </c>
      <c r="P18" s="129">
        <f t="shared" ref="P18" si="8">+K18/(K18+M18)</f>
        <v>0.38438130307196222</v>
      </c>
      <c r="Q18" s="117">
        <f t="shared" ref="Q18" si="9">+J18/K18</f>
        <v>1013.3948640423268</v>
      </c>
      <c r="R18" s="155" t="str">
        <f t="shared" si="0"/>
        <v>PTP</v>
      </c>
      <c r="U18" s="4"/>
      <c r="V18" s="4"/>
    </row>
    <row r="19" spans="1:23" s="152" customFormat="1" ht="15" customHeight="1">
      <c r="A19" s="153"/>
      <c r="B19" s="18">
        <f>+B18+1</f>
        <v>2</v>
      </c>
      <c r="C19" s="209" t="s">
        <v>1272</v>
      </c>
      <c r="D19" s="166" t="s">
        <v>1275</v>
      </c>
      <c r="E19" s="18" t="s">
        <v>305</v>
      </c>
      <c r="F19" s="18" t="s">
        <v>1951</v>
      </c>
      <c r="G19" s="209">
        <v>2017</v>
      </c>
      <c r="H19" s="209" t="s">
        <v>13</v>
      </c>
      <c r="I19" s="245" t="s">
        <v>1274</v>
      </c>
      <c r="J19" s="232">
        <v>357760</v>
      </c>
      <c r="K19" s="232">
        <v>347.12800000000061</v>
      </c>
      <c r="L19" s="232">
        <v>42.631999999999998</v>
      </c>
      <c r="M19" s="232">
        <v>330.23999999999938</v>
      </c>
      <c r="N19" s="129">
        <f t="shared" ref="N19" si="10">+K19/(K19+L19)</f>
        <v>0.89061986863711018</v>
      </c>
      <c r="O19" s="129">
        <f t="shared" ref="O19" si="11">+(K19+M19)/(K19+L19+M19)</f>
        <v>0.94078888888888879</v>
      </c>
      <c r="P19" s="129">
        <f t="shared" ref="P19" si="12">+K19/(K19+M19)</f>
        <v>0.51246589741470017</v>
      </c>
      <c r="Q19" s="117">
        <f t="shared" ref="Q19" si="13">+J19/K19</f>
        <v>1030.6284713419816</v>
      </c>
      <c r="R19" s="155" t="str">
        <f t="shared" si="0"/>
        <v>PTP</v>
      </c>
      <c r="U19" s="4"/>
      <c r="V19" s="4"/>
    </row>
    <row r="20" spans="1:23" s="4" customFormat="1" ht="15" customHeight="1">
      <c r="A20" s="153"/>
      <c r="B20" s="18">
        <f>+B19+1</f>
        <v>3</v>
      </c>
      <c r="C20" s="209" t="s">
        <v>1272</v>
      </c>
      <c r="D20" s="166" t="s">
        <v>1276</v>
      </c>
      <c r="E20" s="18" t="s">
        <v>305</v>
      </c>
      <c r="F20" s="18" t="s">
        <v>1951</v>
      </c>
      <c r="G20" s="209">
        <v>2016</v>
      </c>
      <c r="H20" s="209" t="s">
        <v>13</v>
      </c>
      <c r="I20" s="245" t="s">
        <v>1274</v>
      </c>
      <c r="J20" s="232">
        <v>291024</v>
      </c>
      <c r="K20" s="232">
        <v>275.25200000000024</v>
      </c>
      <c r="L20" s="232">
        <v>136.51899999999998</v>
      </c>
      <c r="M20" s="232">
        <v>308.22899999999981</v>
      </c>
      <c r="N20" s="129">
        <f t="shared" ref="N20:N22" si="14">+K20/(K20+L20)</f>
        <v>0.66845892498500403</v>
      </c>
      <c r="O20" s="129">
        <f t="shared" ref="O20:O23" si="15">+(K20+M20)/(K20+L20+M20)</f>
        <v>0.81039027777777772</v>
      </c>
      <c r="P20" s="129">
        <f t="shared" ref="P20:P23" si="16">+K20/(K20+M20)</f>
        <v>0.47174115352513663</v>
      </c>
      <c r="Q20" s="117">
        <f t="shared" ref="Q20:Q22" si="17">+J20/K20</f>
        <v>1057.3002194352803</v>
      </c>
      <c r="R20" s="4" t="b">
        <f t="shared" si="0"/>
        <v>0</v>
      </c>
      <c r="W20" s="152"/>
    </row>
    <row r="21" spans="1:23" s="152" customFormat="1" ht="15" customHeight="1">
      <c r="A21" s="153"/>
      <c r="B21" s="18">
        <f>+B20+1</f>
        <v>4</v>
      </c>
      <c r="C21" s="209" t="s">
        <v>1272</v>
      </c>
      <c r="D21" s="166" t="s">
        <v>1277</v>
      </c>
      <c r="E21" s="18" t="s">
        <v>305</v>
      </c>
      <c r="F21" s="18" t="s">
        <v>1951</v>
      </c>
      <c r="G21" s="209">
        <v>2020</v>
      </c>
      <c r="H21" s="209" t="s">
        <v>13</v>
      </c>
      <c r="I21" s="245" t="s">
        <v>1274</v>
      </c>
      <c r="J21" s="232">
        <v>220117</v>
      </c>
      <c r="K21" s="232">
        <v>215.35200000000111</v>
      </c>
      <c r="L21" s="232">
        <v>146.286</v>
      </c>
      <c r="M21" s="232">
        <v>358.36199999999889</v>
      </c>
      <c r="N21" s="129">
        <f>+K21/(K21+L21)</f>
        <v>0.59549051814245313</v>
      </c>
      <c r="O21" s="129">
        <f>+(K21+M21)/(K21+L21+M21)</f>
        <v>0.79682499999999989</v>
      </c>
      <c r="P21" s="129">
        <f>+K21/(K21+M21)</f>
        <v>0.37536472876729721</v>
      </c>
      <c r="Q21" s="117">
        <f>+J21/K21</f>
        <v>1022.1265648798194</v>
      </c>
      <c r="R21" s="152" t="b">
        <f t="shared" si="0"/>
        <v>0</v>
      </c>
      <c r="U21" s="4"/>
      <c r="V21" s="159"/>
      <c r="W21" s="4"/>
    </row>
    <row r="22" spans="1:23" s="152" customFormat="1" ht="15" customHeight="1">
      <c r="A22" s="153"/>
      <c r="B22" s="18">
        <f t="shared" ref="B22:B23" si="18">+B21+1</f>
        <v>5</v>
      </c>
      <c r="C22" s="209" t="s">
        <v>1272</v>
      </c>
      <c r="D22" s="166" t="s">
        <v>1278</v>
      </c>
      <c r="E22" s="18" t="s">
        <v>305</v>
      </c>
      <c r="F22" s="18" t="s">
        <v>1951</v>
      </c>
      <c r="G22" s="209">
        <v>2016</v>
      </c>
      <c r="H22" s="209" t="s">
        <v>13</v>
      </c>
      <c r="I22" s="245" t="s">
        <v>1274</v>
      </c>
      <c r="J22" s="232">
        <v>249744</v>
      </c>
      <c r="K22" s="232">
        <v>239.03299999999908</v>
      </c>
      <c r="L22" s="232">
        <v>301.85100000000006</v>
      </c>
      <c r="M22" s="232">
        <v>179.11600000000084</v>
      </c>
      <c r="N22" s="129">
        <f t="shared" si="14"/>
        <v>0.44193024752072435</v>
      </c>
      <c r="O22" s="129">
        <f t="shared" si="15"/>
        <v>0.58076249999999985</v>
      </c>
      <c r="P22" s="129">
        <f t="shared" si="16"/>
        <v>0.57164551391967733</v>
      </c>
      <c r="Q22" s="117">
        <f t="shared" si="17"/>
        <v>1044.8097124664835</v>
      </c>
      <c r="R22" s="152" t="b">
        <f t="shared" si="0"/>
        <v>0</v>
      </c>
      <c r="U22" s="4"/>
      <c r="V22" s="159"/>
    </row>
    <row r="23" spans="1:23" s="152" customFormat="1" ht="15" customHeight="1">
      <c r="A23" s="153"/>
      <c r="B23" s="18">
        <f t="shared" si="18"/>
        <v>6</v>
      </c>
      <c r="C23" s="209" t="s">
        <v>1272</v>
      </c>
      <c r="D23" s="166" t="s">
        <v>1279</v>
      </c>
      <c r="E23" s="18" t="s">
        <v>160</v>
      </c>
      <c r="F23" s="18" t="s">
        <v>1952</v>
      </c>
      <c r="G23" s="209">
        <v>2012</v>
      </c>
      <c r="H23" s="209" t="s">
        <v>13</v>
      </c>
      <c r="I23" s="245" t="s">
        <v>972</v>
      </c>
      <c r="J23" s="232">
        <v>0</v>
      </c>
      <c r="K23" s="232">
        <v>0</v>
      </c>
      <c r="L23" s="232">
        <v>0</v>
      </c>
      <c r="M23" s="232">
        <v>720</v>
      </c>
      <c r="N23" s="129">
        <v>0</v>
      </c>
      <c r="O23" s="129">
        <f t="shared" si="15"/>
        <v>1</v>
      </c>
      <c r="P23" s="129">
        <f t="shared" si="16"/>
        <v>0</v>
      </c>
      <c r="Q23" s="117">
        <v>0</v>
      </c>
      <c r="R23" s="152" t="str">
        <f t="shared" si="0"/>
        <v>PTP</v>
      </c>
      <c r="U23" s="4"/>
    </row>
    <row r="24" spans="1:23" s="152" customFormat="1" ht="15" customHeight="1">
      <c r="A24" s="153"/>
      <c r="B24" s="18">
        <f>+B23+1</f>
        <v>7</v>
      </c>
      <c r="C24" s="209" t="s">
        <v>1272</v>
      </c>
      <c r="D24" s="166" t="s">
        <v>1280</v>
      </c>
      <c r="E24" s="18" t="s">
        <v>160</v>
      </c>
      <c r="F24" s="167" t="s">
        <v>1952</v>
      </c>
      <c r="G24" s="209">
        <v>2019</v>
      </c>
      <c r="H24" s="209" t="s">
        <v>13</v>
      </c>
      <c r="I24" s="245" t="s">
        <v>972</v>
      </c>
      <c r="J24" s="232">
        <v>101583</v>
      </c>
      <c r="K24" s="232">
        <v>132.83600000000087</v>
      </c>
      <c r="L24" s="232">
        <v>334.15</v>
      </c>
      <c r="M24" s="232">
        <v>253.0139999999991</v>
      </c>
      <c r="N24" s="129">
        <f>+K24/(K24+L24)</f>
        <v>0.28445392367223132</v>
      </c>
      <c r="O24" s="129">
        <f>+(K24+M24)/(K24+L24+M24)</f>
        <v>0.53590277777777773</v>
      </c>
      <c r="P24" s="129">
        <f>+K24/(K24+M24)</f>
        <v>0.34426849812103377</v>
      </c>
      <c r="Q24" s="117">
        <f>+J24/K24</f>
        <v>764.72492396638972</v>
      </c>
      <c r="R24" s="152" t="b">
        <f t="shared" si="0"/>
        <v>0</v>
      </c>
      <c r="U24" s="4"/>
    </row>
    <row r="25" spans="1:23" s="152" customFormat="1" ht="15" customHeight="1">
      <c r="A25" s="153"/>
      <c r="B25" s="18">
        <f>+B24+1</f>
        <v>8</v>
      </c>
      <c r="C25" s="209" t="s">
        <v>1272</v>
      </c>
      <c r="D25" s="166" t="s">
        <v>1281</v>
      </c>
      <c r="E25" s="18" t="s">
        <v>160</v>
      </c>
      <c r="F25" s="167" t="s">
        <v>1952</v>
      </c>
      <c r="G25" s="209">
        <v>2019</v>
      </c>
      <c r="H25" s="209" t="s">
        <v>13</v>
      </c>
      <c r="I25" s="245" t="s">
        <v>972</v>
      </c>
      <c r="J25" s="232">
        <v>269137</v>
      </c>
      <c r="K25" s="232">
        <v>324.97900000000163</v>
      </c>
      <c r="L25" s="232">
        <v>38.783999999999999</v>
      </c>
      <c r="M25" s="232">
        <v>356.23699999999837</v>
      </c>
      <c r="N25" s="129">
        <f t="shared" ref="N25:N26" si="19">+K25/(K25+L25)</f>
        <v>0.89338113002147057</v>
      </c>
      <c r="O25" s="129">
        <f t="shared" ref="O25" si="20">+(K25+M25)/(K25+L25+M25)</f>
        <v>0.94613333333333338</v>
      </c>
      <c r="P25" s="129">
        <f t="shared" ref="P25" si="21">+K25/(K25+M25)</f>
        <v>0.47705720358887876</v>
      </c>
      <c r="Q25" s="117">
        <f t="shared" ref="Q25:Q26" si="22">+J25/K25</f>
        <v>828.16735850623775</v>
      </c>
      <c r="R25" s="152" t="str">
        <f t="shared" si="0"/>
        <v>PTP</v>
      </c>
      <c r="U25" s="4"/>
      <c r="V25" s="159"/>
    </row>
    <row r="26" spans="1:23" s="152" customFormat="1" ht="15" customHeight="1">
      <c r="A26" s="153"/>
      <c r="B26" s="18">
        <f t="shared" ref="B26:B39" si="23">+B25+1</f>
        <v>9</v>
      </c>
      <c r="C26" s="209" t="s">
        <v>1272</v>
      </c>
      <c r="D26" s="166" t="s">
        <v>1282</v>
      </c>
      <c r="E26" s="18" t="s">
        <v>160</v>
      </c>
      <c r="F26" s="167" t="s">
        <v>1952</v>
      </c>
      <c r="G26" s="209">
        <v>2019</v>
      </c>
      <c r="H26" s="209" t="s">
        <v>13</v>
      </c>
      <c r="I26" s="245" t="s">
        <v>972</v>
      </c>
      <c r="J26" s="232">
        <v>260537</v>
      </c>
      <c r="K26" s="232">
        <v>320.54700000000321</v>
      </c>
      <c r="L26" s="232">
        <v>37.351999999999997</v>
      </c>
      <c r="M26" s="232">
        <v>362.10099999999682</v>
      </c>
      <c r="N26" s="129">
        <f t="shared" si="19"/>
        <v>0.89563536081408546</v>
      </c>
      <c r="O26" s="129">
        <f t="shared" ref="O26" si="24">+(K26+M26)/(K26+L26+M26)</f>
        <v>0.94812222222222231</v>
      </c>
      <c r="P26" s="129">
        <f t="shared" ref="P26" si="25">+K26/(K26+M26)</f>
        <v>0.46956410917486491</v>
      </c>
      <c r="Q26" s="117">
        <f t="shared" si="22"/>
        <v>812.78876420617689</v>
      </c>
      <c r="R26" s="155" t="str">
        <f t="shared" si="0"/>
        <v>PTP</v>
      </c>
      <c r="U26" s="4"/>
    </row>
    <row r="27" spans="1:23" s="152" customFormat="1" ht="15" customHeight="1">
      <c r="A27" s="153"/>
      <c r="B27" s="18">
        <f t="shared" si="23"/>
        <v>10</v>
      </c>
      <c r="C27" s="209" t="s">
        <v>1272</v>
      </c>
      <c r="D27" s="204" t="s">
        <v>1283</v>
      </c>
      <c r="E27" s="18" t="s">
        <v>160</v>
      </c>
      <c r="F27" s="167" t="s">
        <v>1952</v>
      </c>
      <c r="G27" s="209">
        <v>2022</v>
      </c>
      <c r="H27" s="209" t="s">
        <v>13</v>
      </c>
      <c r="I27" s="245" t="s">
        <v>972</v>
      </c>
      <c r="J27" s="232">
        <v>270986</v>
      </c>
      <c r="K27" s="232">
        <v>321.77300000000139</v>
      </c>
      <c r="L27" s="232">
        <v>22.265999999999998</v>
      </c>
      <c r="M27" s="232">
        <v>375.96099999999859</v>
      </c>
      <c r="N27" s="129">
        <f t="shared" ref="N27:N28" si="26">+K27/(K27+L27)</f>
        <v>0.93528059318856316</v>
      </c>
      <c r="O27" s="129">
        <f t="shared" ref="O27:O28" si="27">+(K27+M27)/(K27+L27+M27)</f>
        <v>0.96907499999999991</v>
      </c>
      <c r="P27" s="129">
        <f t="shared" ref="P27:P28" si="28">+K27/(K27+M27)</f>
        <v>0.46116858286969165</v>
      </c>
      <c r="Q27" s="117">
        <f t="shared" ref="Q27:Q28" si="29">+J27/K27</f>
        <v>842.16512883305575</v>
      </c>
      <c r="R27" s="152" t="str">
        <f t="shared" si="0"/>
        <v>PTP</v>
      </c>
      <c r="U27" s="4"/>
    </row>
    <row r="28" spans="1:23" s="152" customFormat="1" ht="15" customHeight="1">
      <c r="A28" s="153"/>
      <c r="B28" s="18">
        <f t="shared" si="23"/>
        <v>11</v>
      </c>
      <c r="C28" s="209" t="s">
        <v>1272</v>
      </c>
      <c r="D28" s="204" t="s">
        <v>1284</v>
      </c>
      <c r="E28" s="18" t="s">
        <v>160</v>
      </c>
      <c r="F28" s="167" t="s">
        <v>1952</v>
      </c>
      <c r="G28" s="209">
        <v>2021</v>
      </c>
      <c r="H28" s="209" t="s">
        <v>13</v>
      </c>
      <c r="I28" s="245" t="s">
        <v>972</v>
      </c>
      <c r="J28" s="232">
        <v>209797</v>
      </c>
      <c r="K28" s="232">
        <v>254.37599999999998</v>
      </c>
      <c r="L28" s="232">
        <v>22.65</v>
      </c>
      <c r="M28" s="232">
        <v>442.97400000000005</v>
      </c>
      <c r="N28" s="129">
        <f t="shared" si="26"/>
        <v>0.91823872127525941</v>
      </c>
      <c r="O28" s="129">
        <f t="shared" si="27"/>
        <v>0.96854166666666675</v>
      </c>
      <c r="P28" s="129">
        <f t="shared" si="28"/>
        <v>0.36477522047752198</v>
      </c>
      <c r="Q28" s="117">
        <f t="shared" si="29"/>
        <v>824.75154888826</v>
      </c>
      <c r="R28" s="152" t="str">
        <f t="shared" si="0"/>
        <v>PTP</v>
      </c>
      <c r="U28" s="4"/>
    </row>
    <row r="29" spans="1:23" s="152" customFormat="1" ht="15" customHeight="1">
      <c r="A29" s="153"/>
      <c r="B29" s="18">
        <f t="shared" si="23"/>
        <v>12</v>
      </c>
      <c r="C29" s="209" t="s">
        <v>1272</v>
      </c>
      <c r="D29" s="166" t="s">
        <v>1285</v>
      </c>
      <c r="E29" s="18" t="s">
        <v>160</v>
      </c>
      <c r="F29" s="167" t="s">
        <v>1953</v>
      </c>
      <c r="G29" s="209">
        <v>2020</v>
      </c>
      <c r="H29" s="209" t="s">
        <v>13</v>
      </c>
      <c r="I29" s="245" t="s">
        <v>972</v>
      </c>
      <c r="J29" s="232">
        <v>183524</v>
      </c>
      <c r="K29" s="232">
        <v>225.86900000000068</v>
      </c>
      <c r="L29" s="232">
        <v>149.34800000000001</v>
      </c>
      <c r="M29" s="232">
        <v>344.78299999999928</v>
      </c>
      <c r="N29" s="129">
        <f t="shared" ref="N29:N31" si="30">+K29/(K29+L29)</f>
        <v>0.60196899394217285</v>
      </c>
      <c r="O29" s="129">
        <f t="shared" ref="O29:O31" si="31">+(K29+M29)/(K29+L29+M29)</f>
        <v>0.79257222222222212</v>
      </c>
      <c r="P29" s="129">
        <f t="shared" ref="P29:P31" si="32">+K29/(K29+M29)</f>
        <v>0.39580865396073389</v>
      </c>
      <c r="Q29" s="117">
        <f t="shared" ref="Q29:Q31" si="33">+J29/K29</f>
        <v>812.52407368872866</v>
      </c>
      <c r="R29" s="152" t="b">
        <f t="shared" si="0"/>
        <v>0</v>
      </c>
      <c r="U29" s="4"/>
    </row>
    <row r="30" spans="1:23" s="152" customFormat="1" ht="15" customHeight="1">
      <c r="A30" s="153"/>
      <c r="B30" s="18">
        <f t="shared" si="23"/>
        <v>13</v>
      </c>
      <c r="C30" s="209" t="s">
        <v>1272</v>
      </c>
      <c r="D30" s="166" t="s">
        <v>1286</v>
      </c>
      <c r="E30" s="18" t="s">
        <v>14</v>
      </c>
      <c r="F30" s="167" t="s">
        <v>1954</v>
      </c>
      <c r="G30" s="209">
        <v>2020</v>
      </c>
      <c r="H30" s="209" t="s">
        <v>13</v>
      </c>
      <c r="I30" s="245" t="s">
        <v>972</v>
      </c>
      <c r="J30" s="232">
        <v>186749</v>
      </c>
      <c r="K30" s="232">
        <v>231.15900000000056</v>
      </c>
      <c r="L30" s="232">
        <v>54.466999999999999</v>
      </c>
      <c r="M30" s="232">
        <v>434.37399999999946</v>
      </c>
      <c r="N30" s="129">
        <f t="shared" si="30"/>
        <v>0.80930657573190157</v>
      </c>
      <c r="O30" s="129">
        <f t="shared" si="31"/>
        <v>0.9243513888888889</v>
      </c>
      <c r="P30" s="129">
        <f t="shared" si="32"/>
        <v>0.34732913319099212</v>
      </c>
      <c r="Q30" s="117">
        <f t="shared" si="33"/>
        <v>807.8811553952022</v>
      </c>
      <c r="R30" s="152" t="str">
        <f t="shared" si="0"/>
        <v>PTP</v>
      </c>
      <c r="U30" s="4"/>
    </row>
    <row r="31" spans="1:23" s="152" customFormat="1" ht="15" customHeight="1">
      <c r="A31" s="153"/>
      <c r="B31" s="18">
        <f t="shared" si="23"/>
        <v>14</v>
      </c>
      <c r="C31" s="209" t="s">
        <v>1272</v>
      </c>
      <c r="D31" s="204" t="s">
        <v>1287</v>
      </c>
      <c r="E31" s="18" t="s">
        <v>18</v>
      </c>
      <c r="F31" s="167" t="s">
        <v>1955</v>
      </c>
      <c r="G31" s="209">
        <v>2020</v>
      </c>
      <c r="H31" s="209" t="s">
        <v>13</v>
      </c>
      <c r="I31" s="245" t="s">
        <v>960</v>
      </c>
      <c r="J31" s="232">
        <v>142388</v>
      </c>
      <c r="K31" s="232">
        <v>248.28600000000125</v>
      </c>
      <c r="L31" s="232">
        <v>14.132999999999999</v>
      </c>
      <c r="M31" s="232">
        <v>457.58099999999877</v>
      </c>
      <c r="N31" s="129">
        <f t="shared" si="30"/>
        <v>0.94614338138625664</v>
      </c>
      <c r="O31" s="129">
        <f t="shared" si="31"/>
        <v>0.9803708333333333</v>
      </c>
      <c r="P31" s="129">
        <f t="shared" si="32"/>
        <v>0.35174615047877472</v>
      </c>
      <c r="Q31" s="117">
        <f t="shared" si="33"/>
        <v>573.4838049668499</v>
      </c>
      <c r="R31" s="152" t="str">
        <f t="shared" si="0"/>
        <v>PTP</v>
      </c>
      <c r="U31" s="4"/>
    </row>
    <row r="32" spans="1:23" s="152" customFormat="1" ht="15" customHeight="1">
      <c r="A32" s="153"/>
      <c r="B32" s="18">
        <f t="shared" si="23"/>
        <v>15</v>
      </c>
      <c r="C32" s="209" t="s">
        <v>1272</v>
      </c>
      <c r="D32" s="204" t="s">
        <v>1288</v>
      </c>
      <c r="E32" s="18" t="s">
        <v>14</v>
      </c>
      <c r="F32" s="167" t="s">
        <v>1954</v>
      </c>
      <c r="G32" s="209">
        <v>2020</v>
      </c>
      <c r="H32" s="209" t="s">
        <v>13</v>
      </c>
      <c r="I32" s="245" t="s">
        <v>972</v>
      </c>
      <c r="J32" s="232">
        <v>173376</v>
      </c>
      <c r="K32" s="232">
        <v>208.61999999999964</v>
      </c>
      <c r="L32" s="232">
        <v>85.682000000000002</v>
      </c>
      <c r="M32" s="232">
        <v>425.69800000000032</v>
      </c>
      <c r="N32" s="129">
        <f t="shared" ref="N32" si="34">+K32/(K32+L32)</f>
        <v>0.70886368424271629</v>
      </c>
      <c r="O32" s="129">
        <f t="shared" ref="O32" si="35">+(K32+M32)/(K32+L32+M32)</f>
        <v>0.88099722222222221</v>
      </c>
      <c r="P32" s="129">
        <f t="shared" ref="P32" si="36">+K32/(K32+M32)</f>
        <v>0.32888866467607675</v>
      </c>
      <c r="Q32" s="117">
        <f t="shared" ref="Q32" si="37">+J32/K32</f>
        <v>831.06125970664516</v>
      </c>
      <c r="R32" s="152" t="b">
        <f t="shared" ref="R32" si="38">IF(O32&gt;89.9999999999999%,"PTP")</f>
        <v>0</v>
      </c>
      <c r="U32" s="4"/>
    </row>
    <row r="33" spans="1:21" s="152" customFormat="1" ht="15" customHeight="1">
      <c r="A33" s="153"/>
      <c r="B33" s="18">
        <f t="shared" si="23"/>
        <v>16</v>
      </c>
      <c r="C33" s="209" t="s">
        <v>1272</v>
      </c>
      <c r="D33" s="204" t="s">
        <v>1289</v>
      </c>
      <c r="E33" s="18" t="s">
        <v>14</v>
      </c>
      <c r="F33" s="167" t="s">
        <v>1954</v>
      </c>
      <c r="G33" s="209">
        <v>2020</v>
      </c>
      <c r="H33" s="209" t="s">
        <v>13</v>
      </c>
      <c r="I33" s="245" t="s">
        <v>960</v>
      </c>
      <c r="J33" s="232">
        <v>174341</v>
      </c>
      <c r="K33" s="232">
        <v>240.71000000000197</v>
      </c>
      <c r="L33" s="232">
        <v>30.15</v>
      </c>
      <c r="M33" s="232">
        <v>449.13999999999805</v>
      </c>
      <c r="N33" s="129">
        <f t="shared" ref="N33" si="39">+K33/(K33+L33)</f>
        <v>0.88868788303920931</v>
      </c>
      <c r="O33" s="129">
        <f t="shared" ref="O33" si="40">+(K33+M33)/(K33+L33+M33)</f>
        <v>0.958125</v>
      </c>
      <c r="P33" s="129">
        <f t="shared" ref="P33" si="41">+K33/(K33+M33)</f>
        <v>0.34893092701312162</v>
      </c>
      <c r="Q33" s="117">
        <f t="shared" ref="Q33" si="42">+J33/K33</f>
        <v>724.27817705952634</v>
      </c>
      <c r="R33" s="152" t="str">
        <f t="shared" ref="R33" si="43">IF(O33&gt;89.9999999999999%,"PTP")</f>
        <v>PTP</v>
      </c>
      <c r="U33" s="4"/>
    </row>
    <row r="34" spans="1:21" s="152" customFormat="1" ht="15" customHeight="1">
      <c r="A34" s="153"/>
      <c r="B34" s="18">
        <f t="shared" si="23"/>
        <v>17</v>
      </c>
      <c r="C34" s="209" t="s">
        <v>1272</v>
      </c>
      <c r="D34" s="204" t="s">
        <v>2299</v>
      </c>
      <c r="E34" s="18" t="s">
        <v>2300</v>
      </c>
      <c r="F34" s="167" t="s">
        <v>2301</v>
      </c>
      <c r="G34" s="209">
        <v>2018</v>
      </c>
      <c r="H34" s="209" t="s">
        <v>13</v>
      </c>
      <c r="I34" s="245" t="s">
        <v>2302</v>
      </c>
      <c r="J34" s="232">
        <v>57837</v>
      </c>
      <c r="K34" s="232">
        <v>124.24999999999937</v>
      </c>
      <c r="L34" s="232">
        <v>0.64900000000000002</v>
      </c>
      <c r="M34" s="232">
        <v>595.10100000000068</v>
      </c>
      <c r="N34" s="129">
        <f t="shared" ref="N34:N37" si="44">+K34/(K34+L34)</f>
        <v>0.99480380147158898</v>
      </c>
      <c r="O34" s="129">
        <f t="shared" ref="O34:O38" si="45">+(K34+M34)/(K34+L34+M34)</f>
        <v>0.99909861111111131</v>
      </c>
      <c r="P34" s="129">
        <f t="shared" ref="P34:P38" si="46">+K34/(K34+M34)</f>
        <v>0.17272513696373448</v>
      </c>
      <c r="Q34" s="117">
        <f t="shared" ref="Q34:Q37" si="47">+J34/K34</f>
        <v>465.48893360161202</v>
      </c>
      <c r="R34" s="152" t="str">
        <f t="shared" ref="R34:R38" si="48">IF(O34&gt;89.9999999999999%,"PTP")</f>
        <v>PTP</v>
      </c>
      <c r="U34" s="4"/>
    </row>
    <row r="35" spans="1:21" s="152" customFormat="1" ht="15" customHeight="1">
      <c r="A35" s="153"/>
      <c r="B35" s="18">
        <f t="shared" si="23"/>
        <v>18</v>
      </c>
      <c r="C35" s="209" t="s">
        <v>1272</v>
      </c>
      <c r="D35" s="166" t="s">
        <v>1290</v>
      </c>
      <c r="E35" s="18" t="s">
        <v>160</v>
      </c>
      <c r="F35" s="167" t="s">
        <v>1952</v>
      </c>
      <c r="G35" s="209">
        <v>2019</v>
      </c>
      <c r="H35" s="209" t="s">
        <v>13</v>
      </c>
      <c r="I35" s="245" t="s">
        <v>972</v>
      </c>
      <c r="J35" s="232">
        <v>155617</v>
      </c>
      <c r="K35" s="232">
        <v>193.02700000000095</v>
      </c>
      <c r="L35" s="232">
        <v>13.632</v>
      </c>
      <c r="M35" s="232">
        <v>513.3409999999991</v>
      </c>
      <c r="N35" s="129">
        <f t="shared" si="44"/>
        <v>0.93403626263554962</v>
      </c>
      <c r="O35" s="129">
        <f t="shared" si="45"/>
        <v>0.98106666666666675</v>
      </c>
      <c r="P35" s="129">
        <f t="shared" si="46"/>
        <v>0.27326690903325312</v>
      </c>
      <c r="Q35" s="117">
        <f t="shared" si="47"/>
        <v>806.19291601692635</v>
      </c>
      <c r="R35" s="152" t="str">
        <f t="shared" si="48"/>
        <v>PTP</v>
      </c>
      <c r="U35" s="4"/>
    </row>
    <row r="36" spans="1:21" s="152" customFormat="1" ht="15" customHeight="1">
      <c r="A36" s="153"/>
      <c r="B36" s="18">
        <f t="shared" si="23"/>
        <v>19</v>
      </c>
      <c r="C36" s="209" t="s">
        <v>1272</v>
      </c>
      <c r="D36" s="204" t="s">
        <v>1291</v>
      </c>
      <c r="E36" s="18" t="s">
        <v>18</v>
      </c>
      <c r="F36" s="167" t="s">
        <v>2303</v>
      </c>
      <c r="G36" s="209">
        <v>2020</v>
      </c>
      <c r="H36" s="209" t="s">
        <v>13</v>
      </c>
      <c r="I36" s="245" t="s">
        <v>960</v>
      </c>
      <c r="J36" s="232">
        <v>106411</v>
      </c>
      <c r="K36" s="232">
        <v>185.43299999999871</v>
      </c>
      <c r="L36" s="232">
        <v>41.3</v>
      </c>
      <c r="M36" s="232">
        <v>493.26700000000125</v>
      </c>
      <c r="N36" s="129">
        <f t="shared" si="44"/>
        <v>0.81784742406266309</v>
      </c>
      <c r="O36" s="129">
        <f t="shared" si="45"/>
        <v>0.9426388888888888</v>
      </c>
      <c r="P36" s="129">
        <f t="shared" si="46"/>
        <v>0.27321791660527295</v>
      </c>
      <c r="Q36" s="117">
        <f t="shared" si="47"/>
        <v>573.85147196022683</v>
      </c>
      <c r="R36" s="152" t="str">
        <f t="shared" si="48"/>
        <v>PTP</v>
      </c>
      <c r="U36" s="4"/>
    </row>
    <row r="37" spans="1:21" s="152" customFormat="1" ht="15" customHeight="1">
      <c r="A37" s="153"/>
      <c r="B37" s="18">
        <f t="shared" si="23"/>
        <v>20</v>
      </c>
      <c r="C37" s="209" t="s">
        <v>1272</v>
      </c>
      <c r="D37" s="204" t="s">
        <v>2304</v>
      </c>
      <c r="E37" s="18" t="s">
        <v>1771</v>
      </c>
      <c r="F37" s="167" t="s">
        <v>2305</v>
      </c>
      <c r="G37" s="209">
        <v>2023</v>
      </c>
      <c r="H37" s="209" t="s">
        <v>13</v>
      </c>
      <c r="I37" s="245" t="s">
        <v>2306</v>
      </c>
      <c r="J37" s="232">
        <v>58441.500000000175</v>
      </c>
      <c r="K37" s="232">
        <v>241.78999999999911</v>
      </c>
      <c r="L37" s="232">
        <v>5.8319999999999999</v>
      </c>
      <c r="M37" s="232">
        <v>472.3780000000009</v>
      </c>
      <c r="N37" s="129">
        <f t="shared" si="44"/>
        <v>0.97644797312032039</v>
      </c>
      <c r="O37" s="129">
        <f t="shared" si="45"/>
        <v>0.9919</v>
      </c>
      <c r="P37" s="129">
        <f t="shared" si="46"/>
        <v>0.33856179498381206</v>
      </c>
      <c r="Q37" s="117">
        <f t="shared" si="47"/>
        <v>241.70354439803296</v>
      </c>
      <c r="R37" s="152" t="str">
        <f t="shared" si="48"/>
        <v>PTP</v>
      </c>
      <c r="U37" s="4"/>
    </row>
    <row r="38" spans="1:21" s="152" customFormat="1" ht="15" customHeight="1">
      <c r="A38" s="153"/>
      <c r="B38" s="18">
        <f t="shared" si="23"/>
        <v>21</v>
      </c>
      <c r="C38" s="209" t="s">
        <v>1272</v>
      </c>
      <c r="D38" s="204" t="s">
        <v>2307</v>
      </c>
      <c r="E38" s="18" t="s">
        <v>1771</v>
      </c>
      <c r="F38" s="167" t="s">
        <v>2308</v>
      </c>
      <c r="G38" s="209">
        <v>2023</v>
      </c>
      <c r="H38" s="209" t="s">
        <v>13</v>
      </c>
      <c r="I38" s="245" t="s">
        <v>2306</v>
      </c>
      <c r="J38" s="232">
        <v>0</v>
      </c>
      <c r="K38" s="232">
        <v>0</v>
      </c>
      <c r="L38" s="232">
        <v>0</v>
      </c>
      <c r="M38" s="232">
        <v>720</v>
      </c>
      <c r="N38" s="129">
        <v>0</v>
      </c>
      <c r="O38" s="129">
        <f t="shared" si="45"/>
        <v>1</v>
      </c>
      <c r="P38" s="129">
        <f t="shared" si="46"/>
        <v>0</v>
      </c>
      <c r="Q38" s="117">
        <v>0</v>
      </c>
      <c r="R38" s="152" t="str">
        <f t="shared" si="48"/>
        <v>PTP</v>
      </c>
      <c r="U38" s="4"/>
    </row>
    <row r="39" spans="1:21" s="152" customFormat="1" ht="15" customHeight="1">
      <c r="A39" s="153"/>
      <c r="B39" s="18">
        <f t="shared" si="23"/>
        <v>22</v>
      </c>
      <c r="C39" s="209" t="s">
        <v>1272</v>
      </c>
      <c r="D39" s="204" t="s">
        <v>2309</v>
      </c>
      <c r="E39" s="18" t="s">
        <v>2310</v>
      </c>
      <c r="F39" s="167" t="s">
        <v>2311</v>
      </c>
      <c r="G39" s="209">
        <v>2023</v>
      </c>
      <c r="H39" s="209" t="s">
        <v>13</v>
      </c>
      <c r="I39" s="245" t="s">
        <v>2306</v>
      </c>
      <c r="J39" s="232">
        <v>55083.600000000093</v>
      </c>
      <c r="K39" s="232">
        <v>248.28200000000035</v>
      </c>
      <c r="L39" s="232">
        <v>5.1509999999999998</v>
      </c>
      <c r="M39" s="232">
        <v>466.56699999999961</v>
      </c>
      <c r="N39" s="129">
        <f t="shared" ref="N39" si="49">+K39/(K39+L39)</f>
        <v>0.97967510150611803</v>
      </c>
      <c r="O39" s="129">
        <f t="shared" ref="O39" si="50">+(K39+M39)/(K39+L39+M39)</f>
        <v>0.99284583333333321</v>
      </c>
      <c r="P39" s="129">
        <f t="shared" ref="P39" si="51">+K39/(K39+M39)</f>
        <v>0.34732090273610283</v>
      </c>
      <c r="Q39" s="117">
        <f t="shared" ref="Q39" si="52">+J39/K39</f>
        <v>221.85901515212547</v>
      </c>
      <c r="R39" s="152" t="str">
        <f t="shared" ref="R39" si="53">IF(O39&gt;89.9999999999999%,"PTP")</f>
        <v>PTP</v>
      </c>
      <c r="U39" s="4"/>
    </row>
    <row r="40" spans="1:21" s="152" customFormat="1" ht="15" customHeight="1">
      <c r="A40" s="64"/>
      <c r="B40" s="355" t="s">
        <v>22</v>
      </c>
      <c r="C40" s="356"/>
      <c r="D40" s="356"/>
      <c r="E40" s="358"/>
      <c r="F40" s="8">
        <f>+COUNTA(F18:F39)</f>
        <v>22</v>
      </c>
      <c r="G40" s="9"/>
      <c r="H40" s="7"/>
      <c r="I40" s="86"/>
      <c r="J40" s="86"/>
      <c r="K40" s="7"/>
      <c r="L40" s="7"/>
      <c r="M40" s="7"/>
      <c r="N40" s="7"/>
      <c r="O40" s="7"/>
      <c r="P40" s="7"/>
      <c r="Q40" s="68"/>
      <c r="R40" s="152" t="b">
        <f t="shared" si="0"/>
        <v>0</v>
      </c>
    </row>
    <row r="41" spans="1:21" s="152" customFormat="1" ht="15" customHeight="1">
      <c r="A41" s="64"/>
      <c r="B41" s="10"/>
      <c r="C41" s="10"/>
      <c r="D41" s="10"/>
      <c r="E41" s="10"/>
      <c r="F41" s="10"/>
      <c r="G41" s="10"/>
      <c r="H41" s="10"/>
      <c r="I41" s="10"/>
      <c r="J41" s="10"/>
      <c r="K41" s="104"/>
      <c r="L41" s="104"/>
      <c r="M41" s="104"/>
      <c r="N41" s="104"/>
      <c r="O41" s="104"/>
      <c r="P41" s="104"/>
      <c r="Q41" s="105"/>
      <c r="R41" s="152" t="b">
        <f t="shared" si="0"/>
        <v>0</v>
      </c>
    </row>
    <row r="42" spans="1:21" s="152" customFormat="1" ht="15" customHeight="1">
      <c r="A42" s="65" t="s">
        <v>23</v>
      </c>
      <c r="B42" s="66" t="s">
        <v>166</v>
      </c>
      <c r="C42" s="4"/>
      <c r="D42" s="4"/>
      <c r="E42" s="4"/>
      <c r="F42" s="16"/>
      <c r="G42" s="4"/>
      <c r="H42" s="4"/>
      <c r="I42" s="4"/>
      <c r="J42" s="4"/>
      <c r="K42" s="106"/>
      <c r="L42" s="106"/>
      <c r="M42" s="106"/>
      <c r="N42" s="106"/>
      <c r="O42" s="106"/>
      <c r="P42" s="106"/>
      <c r="Q42" s="107"/>
      <c r="R42" s="152" t="b">
        <f t="shared" si="0"/>
        <v>0</v>
      </c>
    </row>
    <row r="43" spans="1:21" s="152" customFormat="1" ht="15" customHeight="1">
      <c r="A43" s="64"/>
      <c r="B43" s="6" t="s">
        <v>2</v>
      </c>
      <c r="C43" s="6" t="s">
        <v>3</v>
      </c>
      <c r="D43" s="6" t="s">
        <v>4</v>
      </c>
      <c r="E43" s="6" t="s">
        <v>5</v>
      </c>
      <c r="F43" s="6" t="s">
        <v>6</v>
      </c>
      <c r="G43" s="6" t="s">
        <v>7</v>
      </c>
      <c r="H43" s="6" t="s">
        <v>8</v>
      </c>
      <c r="I43" s="83" t="s">
        <v>9</v>
      </c>
      <c r="J43" s="83" t="s">
        <v>267</v>
      </c>
      <c r="K43" s="6" t="s">
        <v>262</v>
      </c>
      <c r="L43" s="6" t="s">
        <v>268</v>
      </c>
      <c r="M43" s="6" t="s">
        <v>269</v>
      </c>
      <c r="N43" s="6" t="s">
        <v>263</v>
      </c>
      <c r="O43" s="6" t="s">
        <v>264</v>
      </c>
      <c r="P43" s="6" t="s">
        <v>265</v>
      </c>
      <c r="Q43" s="67" t="s">
        <v>266</v>
      </c>
      <c r="R43" s="152" t="str">
        <f t="shared" si="0"/>
        <v>PTP</v>
      </c>
    </row>
    <row r="44" spans="1:21" s="152" customFormat="1" ht="15" customHeight="1">
      <c r="A44" s="64"/>
      <c r="B44" s="355" t="s">
        <v>523</v>
      </c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6"/>
      <c r="N44" s="356"/>
      <c r="O44" s="356"/>
      <c r="P44" s="356"/>
      <c r="Q44" s="357"/>
      <c r="R44" s="152" t="b">
        <f t="shared" si="0"/>
        <v>0</v>
      </c>
    </row>
    <row r="45" spans="1:21" s="152" customFormat="1" ht="15" customHeight="1">
      <c r="A45" s="64"/>
      <c r="B45" s="7">
        <v>1</v>
      </c>
      <c r="C45" s="18" t="s">
        <v>1272</v>
      </c>
      <c r="D45" s="7" t="s">
        <v>1292</v>
      </c>
      <c r="E45" s="7" t="s">
        <v>173</v>
      </c>
      <c r="F45" s="7" t="s">
        <v>1956</v>
      </c>
      <c r="G45" s="178">
        <v>2018</v>
      </c>
      <c r="H45" s="7" t="s">
        <v>25</v>
      </c>
      <c r="I45" s="86">
        <v>43</v>
      </c>
      <c r="J45" s="135">
        <v>14505</v>
      </c>
      <c r="K45" s="116">
        <v>209.64999999999975</v>
      </c>
      <c r="L45" s="116">
        <v>156.19899999999998</v>
      </c>
      <c r="M45" s="116">
        <v>354.15100000000029</v>
      </c>
      <c r="N45" s="129">
        <f t="shared" ref="N45:N59" si="54">+K45/(K45+L45)</f>
        <v>0.57305063017802405</v>
      </c>
      <c r="O45" s="129">
        <f t="shared" ref="O45:O59" si="55">+(K45+M45)/(K45+L45+M45)</f>
        <v>0.78305694444444451</v>
      </c>
      <c r="P45" s="129">
        <f t="shared" ref="P45:P59" si="56">+K45/(K45+M45)</f>
        <v>0.37185106092397802</v>
      </c>
      <c r="Q45" s="117">
        <f>+J45/K45</f>
        <v>69.186739804436044</v>
      </c>
      <c r="R45" s="152" t="b">
        <f t="shared" si="0"/>
        <v>0</v>
      </c>
    </row>
    <row r="46" spans="1:21" s="152" customFormat="1" ht="15" customHeight="1">
      <c r="A46" s="64"/>
      <c r="B46" s="7">
        <f>+B45+1</f>
        <v>2</v>
      </c>
      <c r="C46" s="18" t="s">
        <v>1272</v>
      </c>
      <c r="D46" s="7" t="s">
        <v>1293</v>
      </c>
      <c r="E46" s="7" t="s">
        <v>173</v>
      </c>
      <c r="F46" s="7" t="s">
        <v>1956</v>
      </c>
      <c r="G46" s="178">
        <v>2018</v>
      </c>
      <c r="H46" s="7" t="s">
        <v>25</v>
      </c>
      <c r="I46" s="86">
        <v>43</v>
      </c>
      <c r="J46" s="135">
        <v>20235</v>
      </c>
      <c r="K46" s="116">
        <v>285.02299999999985</v>
      </c>
      <c r="L46" s="116">
        <v>11.399000000000001</v>
      </c>
      <c r="M46" s="116">
        <v>423.57800000000015</v>
      </c>
      <c r="N46" s="129">
        <f t="shared" si="54"/>
        <v>0.9615446896654094</v>
      </c>
      <c r="O46" s="129">
        <f t="shared" si="55"/>
        <v>0.98416805555555553</v>
      </c>
      <c r="P46" s="129">
        <f t="shared" si="56"/>
        <v>0.40223341485546854</v>
      </c>
      <c r="Q46" s="117">
        <f t="shared" ref="Q46" si="57">+J46/K46</f>
        <v>70.994270637808214</v>
      </c>
      <c r="R46" s="152" t="str">
        <f t="shared" si="0"/>
        <v>PTP</v>
      </c>
    </row>
    <row r="47" spans="1:21" s="152" customFormat="1" ht="15" customHeight="1">
      <c r="A47" s="64"/>
      <c r="B47" s="7">
        <f>+B46+1</f>
        <v>3</v>
      </c>
      <c r="C47" s="18" t="s">
        <v>1272</v>
      </c>
      <c r="D47" s="7" t="s">
        <v>1294</v>
      </c>
      <c r="E47" s="7" t="s">
        <v>173</v>
      </c>
      <c r="F47" s="7" t="s">
        <v>1956</v>
      </c>
      <c r="G47" s="178">
        <v>2018</v>
      </c>
      <c r="H47" s="7" t="s">
        <v>25</v>
      </c>
      <c r="I47" s="86">
        <v>43</v>
      </c>
      <c r="J47" s="135">
        <v>22793</v>
      </c>
      <c r="K47" s="116">
        <v>299.15900000000005</v>
      </c>
      <c r="L47" s="116">
        <v>16.916</v>
      </c>
      <c r="M47" s="116">
        <v>403.92499999999995</v>
      </c>
      <c r="N47" s="129">
        <f t="shared" si="54"/>
        <v>0.94648105671122362</v>
      </c>
      <c r="O47" s="129">
        <f t="shared" si="55"/>
        <v>0.97650555555555563</v>
      </c>
      <c r="P47" s="129">
        <f t="shared" si="56"/>
        <v>0.42549538888667643</v>
      </c>
      <c r="Q47" s="117">
        <f t="shared" ref="Q47:Q59" si="58">+J47/K47</f>
        <v>76.190253343539709</v>
      </c>
      <c r="R47" s="152" t="str">
        <f t="shared" si="0"/>
        <v>PTP</v>
      </c>
    </row>
    <row r="48" spans="1:21" s="152" customFormat="1" ht="15" customHeight="1">
      <c r="A48" s="64"/>
      <c r="B48" s="7">
        <f t="shared" ref="B48:B169" si="59">+B47+1</f>
        <v>4</v>
      </c>
      <c r="C48" s="18" t="s">
        <v>1272</v>
      </c>
      <c r="D48" s="7" t="s">
        <v>1296</v>
      </c>
      <c r="E48" s="7" t="s">
        <v>173</v>
      </c>
      <c r="F48" s="7" t="s">
        <v>1956</v>
      </c>
      <c r="G48" s="178">
        <v>2020</v>
      </c>
      <c r="H48" s="7" t="s">
        <v>25</v>
      </c>
      <c r="I48" s="86">
        <v>43</v>
      </c>
      <c r="J48" s="135">
        <v>20378</v>
      </c>
      <c r="K48" s="116">
        <v>256.60399999999993</v>
      </c>
      <c r="L48" s="116">
        <v>111.152</v>
      </c>
      <c r="M48" s="116">
        <v>352.24400000000009</v>
      </c>
      <c r="N48" s="129">
        <f t="shared" si="54"/>
        <v>0.69775612090625305</v>
      </c>
      <c r="O48" s="129">
        <f t="shared" si="55"/>
        <v>0.84562222222222216</v>
      </c>
      <c r="P48" s="129">
        <f t="shared" si="56"/>
        <v>0.42145822931174931</v>
      </c>
      <c r="Q48" s="117">
        <f t="shared" si="58"/>
        <v>79.414194634534169</v>
      </c>
      <c r="R48" s="152" t="b">
        <f t="shared" si="0"/>
        <v>0</v>
      </c>
    </row>
    <row r="49" spans="1:22" s="152" customFormat="1" ht="15" customHeight="1">
      <c r="A49" s="64"/>
      <c r="B49" s="7">
        <f t="shared" si="59"/>
        <v>5</v>
      </c>
      <c r="C49" s="18" t="s">
        <v>1272</v>
      </c>
      <c r="D49" s="7" t="s">
        <v>1297</v>
      </c>
      <c r="E49" s="7" t="s">
        <v>173</v>
      </c>
      <c r="F49" s="7" t="s">
        <v>1956</v>
      </c>
      <c r="G49" s="178">
        <v>2020</v>
      </c>
      <c r="H49" s="7" t="s">
        <v>25</v>
      </c>
      <c r="I49" s="86">
        <v>43</v>
      </c>
      <c r="J49" s="135">
        <v>25709</v>
      </c>
      <c r="K49" s="116">
        <v>297.29199999999997</v>
      </c>
      <c r="L49" s="116">
        <v>1.0840000000000001</v>
      </c>
      <c r="M49" s="116">
        <v>421.62400000000002</v>
      </c>
      <c r="N49" s="129">
        <f t="shared" si="54"/>
        <v>0.99636700002681178</v>
      </c>
      <c r="O49" s="129">
        <f t="shared" si="55"/>
        <v>0.99849444444444435</v>
      </c>
      <c r="P49" s="129">
        <f t="shared" si="56"/>
        <v>0.41352814515186753</v>
      </c>
      <c r="Q49" s="117">
        <f t="shared" si="58"/>
        <v>86.477268140414139</v>
      </c>
      <c r="R49" s="152" t="str">
        <f t="shared" si="0"/>
        <v>PTP</v>
      </c>
    </row>
    <row r="50" spans="1:22" s="152" customFormat="1" ht="15" customHeight="1">
      <c r="A50" s="64"/>
      <c r="B50" s="7">
        <f t="shared" si="59"/>
        <v>6</v>
      </c>
      <c r="C50" s="18" t="s">
        <v>1272</v>
      </c>
      <c r="D50" s="7" t="s">
        <v>1298</v>
      </c>
      <c r="E50" s="7" t="s">
        <v>173</v>
      </c>
      <c r="F50" s="7" t="s">
        <v>1956</v>
      </c>
      <c r="G50" s="178">
        <v>2013</v>
      </c>
      <c r="H50" s="7" t="s">
        <v>25</v>
      </c>
      <c r="I50" s="86">
        <v>43</v>
      </c>
      <c r="J50" s="135">
        <v>24108</v>
      </c>
      <c r="K50" s="116">
        <v>318.50500000000005</v>
      </c>
      <c r="L50" s="116">
        <v>3.3330000000000002</v>
      </c>
      <c r="M50" s="116">
        <v>398.16199999999992</v>
      </c>
      <c r="N50" s="129">
        <f t="shared" si="54"/>
        <v>0.98964385809009492</v>
      </c>
      <c r="O50" s="129">
        <f t="shared" si="55"/>
        <v>0.9953708333333332</v>
      </c>
      <c r="P50" s="129">
        <f t="shared" si="56"/>
        <v>0.44442537468587234</v>
      </c>
      <c r="Q50" s="117">
        <f t="shared" si="58"/>
        <v>75.691119448674257</v>
      </c>
      <c r="R50" s="152" t="str">
        <f t="shared" si="0"/>
        <v>PTP</v>
      </c>
    </row>
    <row r="51" spans="1:22" s="152" customFormat="1" ht="15" customHeight="1">
      <c r="A51" s="64"/>
      <c r="B51" s="7">
        <f t="shared" si="59"/>
        <v>7</v>
      </c>
      <c r="C51" s="18" t="s">
        <v>1272</v>
      </c>
      <c r="D51" s="7" t="s">
        <v>1299</v>
      </c>
      <c r="E51" s="7" t="s">
        <v>173</v>
      </c>
      <c r="F51" s="7" t="s">
        <v>1956</v>
      </c>
      <c r="G51" s="178">
        <v>2014</v>
      </c>
      <c r="H51" s="7" t="s">
        <v>25</v>
      </c>
      <c r="I51" s="86">
        <v>43</v>
      </c>
      <c r="J51" s="135">
        <v>13265</v>
      </c>
      <c r="K51" s="116">
        <v>186.88799999999995</v>
      </c>
      <c r="L51" s="116">
        <v>288</v>
      </c>
      <c r="M51" s="116">
        <v>245.11200000000008</v>
      </c>
      <c r="N51" s="129">
        <f t="shared" si="54"/>
        <v>0.39354121392833674</v>
      </c>
      <c r="O51" s="129">
        <f t="shared" si="55"/>
        <v>0.6</v>
      </c>
      <c r="P51" s="129">
        <f t="shared" si="56"/>
        <v>0.432611111111111</v>
      </c>
      <c r="Q51" s="117">
        <f t="shared" si="58"/>
        <v>70.978339968323297</v>
      </c>
      <c r="R51" s="155" t="b">
        <f t="shared" si="0"/>
        <v>0</v>
      </c>
    </row>
    <row r="52" spans="1:22" s="152" customFormat="1" ht="15" customHeight="1">
      <c r="A52" s="64"/>
      <c r="B52" s="7">
        <f t="shared" si="59"/>
        <v>8</v>
      </c>
      <c r="C52" s="18" t="s">
        <v>1272</v>
      </c>
      <c r="D52" s="7" t="s">
        <v>1415</v>
      </c>
      <c r="E52" s="7" t="s">
        <v>173</v>
      </c>
      <c r="F52" s="7" t="s">
        <v>1956</v>
      </c>
      <c r="G52" s="178">
        <v>2013</v>
      </c>
      <c r="H52" s="7" t="s">
        <v>25</v>
      </c>
      <c r="I52" s="86">
        <v>43</v>
      </c>
      <c r="J52" s="135">
        <v>26125</v>
      </c>
      <c r="K52" s="116">
        <v>321.45999999999981</v>
      </c>
      <c r="L52" s="116">
        <v>25.599999999999998</v>
      </c>
      <c r="M52" s="116">
        <v>372.94000000000017</v>
      </c>
      <c r="N52" s="129">
        <f t="shared" si="54"/>
        <v>0.92623753817783661</v>
      </c>
      <c r="O52" s="129">
        <f t="shared" si="55"/>
        <v>0.96444444444444444</v>
      </c>
      <c r="P52" s="129">
        <f t="shared" si="56"/>
        <v>0.46293202764976932</v>
      </c>
      <c r="Q52" s="117">
        <f t="shared" si="58"/>
        <v>81.269831394263718</v>
      </c>
      <c r="R52" s="155" t="str">
        <f t="shared" si="0"/>
        <v>PTP</v>
      </c>
    </row>
    <row r="53" spans="1:22" s="152" customFormat="1" ht="15" customHeight="1">
      <c r="A53" s="64"/>
      <c r="B53" s="7">
        <f t="shared" si="59"/>
        <v>9</v>
      </c>
      <c r="C53" s="209" t="s">
        <v>1272</v>
      </c>
      <c r="D53" s="210" t="s">
        <v>1300</v>
      </c>
      <c r="E53" s="7" t="s">
        <v>173</v>
      </c>
      <c r="F53" s="209" t="s">
        <v>1956</v>
      </c>
      <c r="G53" s="178">
        <v>2018</v>
      </c>
      <c r="H53" s="7" t="s">
        <v>25</v>
      </c>
      <c r="I53" s="86">
        <v>43</v>
      </c>
      <c r="J53" s="208">
        <v>17767</v>
      </c>
      <c r="K53" s="207">
        <v>281.47300000000007</v>
      </c>
      <c r="L53" s="207">
        <v>33.899000000000001</v>
      </c>
      <c r="M53" s="207">
        <v>404.62799999999993</v>
      </c>
      <c r="N53" s="129">
        <f t="shared" ref="N53:N54" si="60">+K53/(K53+L53)</f>
        <v>0.89251106629631038</v>
      </c>
      <c r="O53" s="129">
        <f t="shared" ref="O53:O54" si="61">+(K53+M53)/(K53+L53+M53)</f>
        <v>0.95291805555555553</v>
      </c>
      <c r="P53" s="129">
        <f t="shared" ref="P53:P54" si="62">+K53/(K53+M53)</f>
        <v>0.41025009437386051</v>
      </c>
      <c r="Q53" s="117">
        <f t="shared" ref="Q53:Q54" si="63">+J53/K53</f>
        <v>63.12150721383577</v>
      </c>
      <c r="R53" s="155" t="str">
        <f t="shared" si="0"/>
        <v>PTP</v>
      </c>
    </row>
    <row r="54" spans="1:22" s="152" customFormat="1" ht="15" customHeight="1">
      <c r="A54" s="64"/>
      <c r="B54" s="7">
        <f t="shared" si="59"/>
        <v>10</v>
      </c>
      <c r="C54" s="18" t="s">
        <v>1272</v>
      </c>
      <c r="D54" s="7" t="s">
        <v>1301</v>
      </c>
      <c r="E54" s="7" t="s">
        <v>173</v>
      </c>
      <c r="F54" s="7" t="s">
        <v>1956</v>
      </c>
      <c r="G54" s="178">
        <v>2018</v>
      </c>
      <c r="H54" s="7" t="s">
        <v>25</v>
      </c>
      <c r="I54" s="86">
        <v>43</v>
      </c>
      <c r="J54" s="135">
        <v>27699</v>
      </c>
      <c r="K54" s="116">
        <v>358.77200000000028</v>
      </c>
      <c r="L54" s="116">
        <v>5.9829999999999988</v>
      </c>
      <c r="M54" s="116">
        <v>355.24499999999972</v>
      </c>
      <c r="N54" s="129">
        <f t="shared" si="60"/>
        <v>0.98359720908555059</v>
      </c>
      <c r="O54" s="129">
        <f t="shared" si="61"/>
        <v>0.99169027777777785</v>
      </c>
      <c r="P54" s="129">
        <f t="shared" si="62"/>
        <v>0.50246982914972649</v>
      </c>
      <c r="Q54" s="117">
        <f t="shared" si="63"/>
        <v>77.205021573589846</v>
      </c>
      <c r="R54" s="152" t="str">
        <f t="shared" si="0"/>
        <v>PTP</v>
      </c>
      <c r="U54" s="4"/>
      <c r="V54" s="159"/>
    </row>
    <row r="55" spans="1:22" s="152" customFormat="1" ht="15" customHeight="1">
      <c r="A55" s="64"/>
      <c r="B55" s="7">
        <f t="shared" si="59"/>
        <v>11</v>
      </c>
      <c r="C55" s="18" t="s">
        <v>1272</v>
      </c>
      <c r="D55" s="7" t="s">
        <v>1302</v>
      </c>
      <c r="E55" s="7" t="s">
        <v>173</v>
      </c>
      <c r="F55" s="7" t="s">
        <v>1956</v>
      </c>
      <c r="G55" s="178">
        <v>2018</v>
      </c>
      <c r="H55" s="7" t="s">
        <v>25</v>
      </c>
      <c r="I55" s="86">
        <v>43</v>
      </c>
      <c r="J55" s="135">
        <v>27000</v>
      </c>
      <c r="K55" s="116">
        <v>351.42</v>
      </c>
      <c r="L55" s="116">
        <v>11.416</v>
      </c>
      <c r="M55" s="116">
        <v>357.16399999999999</v>
      </c>
      <c r="N55" s="129">
        <f t="shared" si="54"/>
        <v>0.96853674938539724</v>
      </c>
      <c r="O55" s="129">
        <f t="shared" si="55"/>
        <v>0.98414444444444449</v>
      </c>
      <c r="P55" s="129">
        <f t="shared" si="56"/>
        <v>0.49594684610434331</v>
      </c>
      <c r="Q55" s="117">
        <f t="shared" si="58"/>
        <v>76.831142222981043</v>
      </c>
      <c r="R55" s="155" t="str">
        <f t="shared" si="0"/>
        <v>PTP</v>
      </c>
    </row>
    <row r="56" spans="1:22" s="152" customFormat="1" ht="15" customHeight="1">
      <c r="A56" s="64"/>
      <c r="B56" s="7">
        <f t="shared" si="59"/>
        <v>12</v>
      </c>
      <c r="C56" s="18" t="s">
        <v>1272</v>
      </c>
      <c r="D56" s="7" t="s">
        <v>1420</v>
      </c>
      <c r="E56" s="7" t="s">
        <v>173</v>
      </c>
      <c r="F56" s="7" t="s">
        <v>1956</v>
      </c>
      <c r="G56" s="178">
        <v>2013</v>
      </c>
      <c r="H56" s="7" t="s">
        <v>25</v>
      </c>
      <c r="I56" s="86">
        <v>43</v>
      </c>
      <c r="J56" s="135">
        <v>25792</v>
      </c>
      <c r="K56" s="116">
        <v>337.76800000000031</v>
      </c>
      <c r="L56" s="116">
        <v>7.0030000000000001</v>
      </c>
      <c r="M56" s="116">
        <v>375.2289999999997</v>
      </c>
      <c r="N56" s="129">
        <f t="shared" si="54"/>
        <v>0.97968796679535119</v>
      </c>
      <c r="O56" s="129">
        <f t="shared" si="55"/>
        <v>0.99027361111111123</v>
      </c>
      <c r="P56" s="129">
        <f t="shared" si="56"/>
        <v>0.47372990349188043</v>
      </c>
      <c r="Q56" s="117">
        <f t="shared" si="58"/>
        <v>76.360105160938801</v>
      </c>
      <c r="R56" s="155" t="str">
        <f t="shared" si="0"/>
        <v>PTP</v>
      </c>
    </row>
    <row r="57" spans="1:22" s="152" customFormat="1" ht="15" customHeight="1">
      <c r="A57" s="64"/>
      <c r="B57" s="7">
        <f t="shared" si="59"/>
        <v>13</v>
      </c>
      <c r="C57" s="18" t="s">
        <v>1272</v>
      </c>
      <c r="D57" s="7" t="s">
        <v>1304</v>
      </c>
      <c r="E57" s="7" t="s">
        <v>173</v>
      </c>
      <c r="F57" s="7" t="s">
        <v>1956</v>
      </c>
      <c r="G57" s="178">
        <v>2012</v>
      </c>
      <c r="H57" s="7" t="s">
        <v>25</v>
      </c>
      <c r="I57" s="86">
        <v>43</v>
      </c>
      <c r="J57" s="135">
        <v>18023</v>
      </c>
      <c r="K57" s="116">
        <v>222.90499999999992</v>
      </c>
      <c r="L57" s="116">
        <v>179.833</v>
      </c>
      <c r="M57" s="116">
        <v>317.26200000000006</v>
      </c>
      <c r="N57" s="129">
        <f t="shared" ref="N57:N58" si="64">+K57/(K57+L57)</f>
        <v>0.55347397067075854</v>
      </c>
      <c r="O57" s="129">
        <f t="shared" ref="O57:O58" si="65">+(K57+M57)/(K57+L57+M57)</f>
        <v>0.7502319444444443</v>
      </c>
      <c r="P57" s="129">
        <f t="shared" ref="P57:P58" si="66">+K57/(K57+M57)</f>
        <v>0.41265941829100988</v>
      </c>
      <c r="Q57" s="117">
        <f t="shared" ref="Q57:Q58" si="67">+J57/K57</f>
        <v>80.855072788856276</v>
      </c>
      <c r="R57" s="152" t="b">
        <f t="shared" si="0"/>
        <v>0</v>
      </c>
    </row>
    <row r="58" spans="1:22" s="152" customFormat="1" ht="15" customHeight="1">
      <c r="A58" s="64"/>
      <c r="B58" s="7">
        <f t="shared" si="59"/>
        <v>14</v>
      </c>
      <c r="C58" s="18" t="s">
        <v>1272</v>
      </c>
      <c r="D58" s="7" t="s">
        <v>1305</v>
      </c>
      <c r="E58" s="7" t="s">
        <v>173</v>
      </c>
      <c r="F58" s="7" t="s">
        <v>1956</v>
      </c>
      <c r="G58" s="178">
        <v>2012</v>
      </c>
      <c r="H58" s="7" t="s">
        <v>25</v>
      </c>
      <c r="I58" s="86">
        <v>43</v>
      </c>
      <c r="J58" s="135">
        <v>14104</v>
      </c>
      <c r="K58" s="116">
        <v>184.00400000000002</v>
      </c>
      <c r="L58" s="116">
        <v>316.96699999999998</v>
      </c>
      <c r="M58" s="116">
        <v>219.029</v>
      </c>
      <c r="N58" s="129">
        <f t="shared" si="64"/>
        <v>0.36729471366606053</v>
      </c>
      <c r="O58" s="129">
        <f t="shared" si="65"/>
        <v>0.55976805555555553</v>
      </c>
      <c r="P58" s="129">
        <f t="shared" si="66"/>
        <v>0.45654822309835674</v>
      </c>
      <c r="Q58" s="117">
        <f t="shared" si="67"/>
        <v>76.650507597660919</v>
      </c>
      <c r="R58" s="152" t="b">
        <f t="shared" si="0"/>
        <v>0</v>
      </c>
    </row>
    <row r="59" spans="1:22" s="152" customFormat="1" ht="15" customHeight="1">
      <c r="A59" s="64"/>
      <c r="B59" s="7">
        <f t="shared" si="59"/>
        <v>15</v>
      </c>
      <c r="C59" s="18" t="s">
        <v>1272</v>
      </c>
      <c r="D59" s="7" t="s">
        <v>1308</v>
      </c>
      <c r="E59" s="7" t="s">
        <v>173</v>
      </c>
      <c r="F59" s="7" t="s">
        <v>1956</v>
      </c>
      <c r="G59" s="178">
        <v>2013</v>
      </c>
      <c r="H59" s="7" t="s">
        <v>25</v>
      </c>
      <c r="I59" s="86">
        <v>43</v>
      </c>
      <c r="J59" s="135">
        <v>22256</v>
      </c>
      <c r="K59" s="116">
        <v>322.85800000000017</v>
      </c>
      <c r="L59" s="116">
        <v>19.8</v>
      </c>
      <c r="M59" s="116">
        <v>377.34199999999981</v>
      </c>
      <c r="N59" s="129">
        <f t="shared" si="54"/>
        <v>0.94221643738071192</v>
      </c>
      <c r="O59" s="129">
        <f t="shared" si="55"/>
        <v>0.97250000000000003</v>
      </c>
      <c r="P59" s="129">
        <f t="shared" si="56"/>
        <v>0.46109397315052864</v>
      </c>
      <c r="Q59" s="117">
        <f t="shared" si="58"/>
        <v>68.934330262839978</v>
      </c>
      <c r="R59" s="152" t="str">
        <f t="shared" si="0"/>
        <v>PTP</v>
      </c>
    </row>
    <row r="60" spans="1:22" s="152" customFormat="1" ht="15" customHeight="1">
      <c r="A60" s="64"/>
      <c r="B60" s="7">
        <f t="shared" si="59"/>
        <v>16</v>
      </c>
      <c r="C60" s="18" t="s">
        <v>1272</v>
      </c>
      <c r="D60" s="7" t="s">
        <v>1309</v>
      </c>
      <c r="E60" s="7" t="s">
        <v>173</v>
      </c>
      <c r="F60" s="7" t="s">
        <v>1956</v>
      </c>
      <c r="G60" s="178">
        <v>2018</v>
      </c>
      <c r="H60" s="7" t="s">
        <v>25</v>
      </c>
      <c r="I60" s="86">
        <v>43</v>
      </c>
      <c r="J60" s="135">
        <v>15417</v>
      </c>
      <c r="K60" s="116">
        <v>217.1389999999997</v>
      </c>
      <c r="L60" s="116">
        <v>14.815</v>
      </c>
      <c r="M60" s="116">
        <v>488.04600000000033</v>
      </c>
      <c r="N60" s="129">
        <f t="shared" ref="N60:N77" si="68">+K60/(K60+L60)</f>
        <v>0.93612957741621172</v>
      </c>
      <c r="O60" s="129">
        <f t="shared" ref="O60:O77" si="69">+(K60+M60)/(K60+L60+M60)</f>
        <v>0.9794236111111112</v>
      </c>
      <c r="P60" s="129">
        <f t="shared" ref="P60:P77" si="70">+K60/(K60+M60)</f>
        <v>0.30791778044059315</v>
      </c>
      <c r="Q60" s="117">
        <f t="shared" ref="Q60:Q77" si="71">+J60/K60</f>
        <v>71.000603300190306</v>
      </c>
      <c r="R60" s="152" t="str">
        <f t="shared" si="0"/>
        <v>PTP</v>
      </c>
    </row>
    <row r="61" spans="1:22" s="152" customFormat="1" ht="15" customHeight="1">
      <c r="A61" s="64"/>
      <c r="B61" s="7">
        <f t="shared" si="59"/>
        <v>17</v>
      </c>
      <c r="C61" s="18" t="s">
        <v>1272</v>
      </c>
      <c r="D61" s="7" t="s">
        <v>1310</v>
      </c>
      <c r="E61" s="7" t="s">
        <v>173</v>
      </c>
      <c r="F61" s="7" t="s">
        <v>1956</v>
      </c>
      <c r="G61" s="178">
        <v>2013</v>
      </c>
      <c r="H61" s="7" t="s">
        <v>25</v>
      </c>
      <c r="I61" s="86">
        <v>43</v>
      </c>
      <c r="J61" s="135">
        <v>30551</v>
      </c>
      <c r="K61" s="116">
        <v>368.10499999999979</v>
      </c>
      <c r="L61" s="116">
        <v>5.6169999999999991</v>
      </c>
      <c r="M61" s="116">
        <v>346.27800000000019</v>
      </c>
      <c r="N61" s="129">
        <f t="shared" si="68"/>
        <v>0.9849701114732341</v>
      </c>
      <c r="O61" s="129">
        <f t="shared" si="69"/>
        <v>0.99219861111111118</v>
      </c>
      <c r="P61" s="129">
        <f t="shared" si="70"/>
        <v>0.51527681929721136</v>
      </c>
      <c r="Q61" s="117">
        <f t="shared" si="71"/>
        <v>82.995341003246409</v>
      </c>
      <c r="R61" s="152" t="str">
        <f t="shared" si="0"/>
        <v>PTP</v>
      </c>
    </row>
    <row r="62" spans="1:22" s="152" customFormat="1" ht="15" customHeight="1">
      <c r="A62" s="64"/>
      <c r="B62" s="7">
        <f t="shared" si="59"/>
        <v>18</v>
      </c>
      <c r="C62" s="18" t="s">
        <v>1272</v>
      </c>
      <c r="D62" s="7" t="s">
        <v>1311</v>
      </c>
      <c r="E62" s="7" t="s">
        <v>173</v>
      </c>
      <c r="F62" s="7" t="s">
        <v>1956</v>
      </c>
      <c r="G62" s="178">
        <v>2013</v>
      </c>
      <c r="H62" s="7" t="s">
        <v>25</v>
      </c>
      <c r="I62" s="86">
        <v>43</v>
      </c>
      <c r="J62" s="135">
        <v>18869</v>
      </c>
      <c r="K62" s="116">
        <v>220.58599999999998</v>
      </c>
      <c r="L62" s="116">
        <v>34.767000000000003</v>
      </c>
      <c r="M62" s="116">
        <v>464.64699999999999</v>
      </c>
      <c r="N62" s="129">
        <f t="shared" si="68"/>
        <v>0.86384730157859901</v>
      </c>
      <c r="O62" s="129">
        <f t="shared" si="69"/>
        <v>0.95171249999999996</v>
      </c>
      <c r="P62" s="129">
        <f t="shared" si="70"/>
        <v>0.32191385995712407</v>
      </c>
      <c r="Q62" s="117">
        <f t="shared" si="71"/>
        <v>85.540333475379228</v>
      </c>
      <c r="R62" s="152" t="str">
        <f t="shared" si="0"/>
        <v>PTP</v>
      </c>
    </row>
    <row r="63" spans="1:22" s="152" customFormat="1" ht="15" customHeight="1">
      <c r="A63" s="64"/>
      <c r="B63" s="7">
        <f t="shared" si="59"/>
        <v>19</v>
      </c>
      <c r="C63" s="18" t="s">
        <v>1272</v>
      </c>
      <c r="D63" s="7" t="s">
        <v>1417</v>
      </c>
      <c r="E63" s="7" t="s">
        <v>173</v>
      </c>
      <c r="F63" s="7" t="s">
        <v>1956</v>
      </c>
      <c r="G63" s="178">
        <v>2018</v>
      </c>
      <c r="H63" s="7" t="s">
        <v>25</v>
      </c>
      <c r="I63" s="86">
        <v>43</v>
      </c>
      <c r="J63" s="135">
        <v>17787</v>
      </c>
      <c r="K63" s="116">
        <v>256.49799999999976</v>
      </c>
      <c r="L63" s="116">
        <v>4.383</v>
      </c>
      <c r="M63" s="116">
        <v>459.11900000000026</v>
      </c>
      <c r="N63" s="129">
        <f t="shared" si="68"/>
        <v>0.98319923643346974</v>
      </c>
      <c r="O63" s="129">
        <f t="shared" si="69"/>
        <v>0.99391249999999998</v>
      </c>
      <c r="P63" s="129">
        <f t="shared" si="70"/>
        <v>0.358429159732091</v>
      </c>
      <c r="Q63" s="117">
        <f t="shared" si="71"/>
        <v>69.345569945964556</v>
      </c>
      <c r="R63" s="152" t="str">
        <f t="shared" si="0"/>
        <v>PTP</v>
      </c>
    </row>
    <row r="64" spans="1:22" s="152" customFormat="1" ht="15" customHeight="1">
      <c r="A64" s="64"/>
      <c r="B64" s="7">
        <f t="shared" si="59"/>
        <v>20</v>
      </c>
      <c r="C64" s="18" t="s">
        <v>1272</v>
      </c>
      <c r="D64" s="7" t="s">
        <v>1416</v>
      </c>
      <c r="E64" s="7" t="s">
        <v>173</v>
      </c>
      <c r="F64" s="7" t="s">
        <v>1956</v>
      </c>
      <c r="G64" s="178">
        <v>2013</v>
      </c>
      <c r="H64" s="7" t="s">
        <v>25</v>
      </c>
      <c r="I64" s="86">
        <v>43</v>
      </c>
      <c r="J64" s="135">
        <v>18962</v>
      </c>
      <c r="K64" s="116">
        <v>278.95499999999981</v>
      </c>
      <c r="L64" s="116">
        <v>11.734</v>
      </c>
      <c r="M64" s="116">
        <v>429.31100000000021</v>
      </c>
      <c r="N64" s="129">
        <f t="shared" si="68"/>
        <v>0.95963383547365055</v>
      </c>
      <c r="O64" s="129">
        <f t="shared" si="69"/>
        <v>0.98370277777777793</v>
      </c>
      <c r="P64" s="129">
        <f t="shared" si="70"/>
        <v>0.39385626304241594</v>
      </c>
      <c r="Q64" s="117">
        <f t="shared" si="71"/>
        <v>67.975121435356996</v>
      </c>
      <c r="R64" s="152" t="str">
        <f t="shared" si="0"/>
        <v>PTP</v>
      </c>
    </row>
    <row r="65" spans="1:18" s="152" customFormat="1" ht="15" customHeight="1">
      <c r="A65" s="64"/>
      <c r="B65" s="7">
        <f t="shared" si="59"/>
        <v>21</v>
      </c>
      <c r="C65" s="18" t="s">
        <v>1272</v>
      </c>
      <c r="D65" s="7" t="s">
        <v>1313</v>
      </c>
      <c r="E65" s="7" t="s">
        <v>173</v>
      </c>
      <c r="F65" s="7" t="s">
        <v>1956</v>
      </c>
      <c r="G65" s="178">
        <v>2018</v>
      </c>
      <c r="H65" s="7" t="s">
        <v>25</v>
      </c>
      <c r="I65" s="86">
        <v>43</v>
      </c>
      <c r="J65" s="135">
        <v>26996</v>
      </c>
      <c r="K65" s="116">
        <v>331.40199999999999</v>
      </c>
      <c r="L65" s="116">
        <v>57.003</v>
      </c>
      <c r="M65" s="116">
        <v>331.59500000000003</v>
      </c>
      <c r="N65" s="129">
        <f t="shared" si="68"/>
        <v>0.85323824358594769</v>
      </c>
      <c r="O65" s="129">
        <f t="shared" si="69"/>
        <v>0.92082916666666681</v>
      </c>
      <c r="P65" s="129">
        <f t="shared" si="70"/>
        <v>0.49985444881349378</v>
      </c>
      <c r="Q65" s="117">
        <f t="shared" si="71"/>
        <v>81.459979119015586</v>
      </c>
      <c r="R65" s="152" t="str">
        <f t="shared" si="0"/>
        <v>PTP</v>
      </c>
    </row>
    <row r="66" spans="1:18" s="152" customFormat="1" ht="15" customHeight="1">
      <c r="A66" s="64"/>
      <c r="B66" s="7">
        <f t="shared" si="59"/>
        <v>22</v>
      </c>
      <c r="C66" s="18" t="s">
        <v>1272</v>
      </c>
      <c r="D66" s="7" t="s">
        <v>1422</v>
      </c>
      <c r="E66" s="7" t="s">
        <v>173</v>
      </c>
      <c r="F66" s="7" t="s">
        <v>1956</v>
      </c>
      <c r="G66" s="178">
        <v>2012</v>
      </c>
      <c r="H66" s="7" t="s">
        <v>25</v>
      </c>
      <c r="I66" s="86">
        <v>43</v>
      </c>
      <c r="J66" s="135">
        <v>21388</v>
      </c>
      <c r="K66" s="116">
        <v>316.90500000000009</v>
      </c>
      <c r="L66" s="116">
        <v>4.9000000000000004</v>
      </c>
      <c r="M66" s="116">
        <v>398.19499999999994</v>
      </c>
      <c r="N66" s="129">
        <f t="shared" si="68"/>
        <v>0.98477338761050959</v>
      </c>
      <c r="O66" s="129">
        <f t="shared" si="69"/>
        <v>0.99319444444444449</v>
      </c>
      <c r="P66" s="129">
        <f t="shared" si="70"/>
        <v>0.44316179555306962</v>
      </c>
      <c r="Q66" s="117">
        <f t="shared" si="71"/>
        <v>67.490257332639104</v>
      </c>
      <c r="R66" s="152" t="str">
        <f t="shared" si="0"/>
        <v>PTP</v>
      </c>
    </row>
    <row r="67" spans="1:18" s="152" customFormat="1" ht="15" customHeight="1">
      <c r="A67" s="64"/>
      <c r="B67" s="7">
        <f t="shared" si="59"/>
        <v>23</v>
      </c>
      <c r="C67" s="18" t="s">
        <v>1272</v>
      </c>
      <c r="D67" s="7" t="s">
        <v>1414</v>
      </c>
      <c r="E67" s="7" t="s">
        <v>173</v>
      </c>
      <c r="F67" s="7" t="s">
        <v>1957</v>
      </c>
      <c r="G67" s="178">
        <v>2022</v>
      </c>
      <c r="H67" s="7" t="s">
        <v>25</v>
      </c>
      <c r="I67" s="86">
        <v>43</v>
      </c>
      <c r="J67" s="135">
        <v>24971</v>
      </c>
      <c r="K67" s="116">
        <v>322.86500000000012</v>
      </c>
      <c r="L67" s="116">
        <v>21.317</v>
      </c>
      <c r="M67" s="116">
        <v>375.81799999999987</v>
      </c>
      <c r="N67" s="129">
        <f t="shared" si="68"/>
        <v>0.93806474481524305</v>
      </c>
      <c r="O67" s="129">
        <f t="shared" si="69"/>
        <v>0.97039305555555555</v>
      </c>
      <c r="P67" s="129">
        <f t="shared" si="70"/>
        <v>0.46210513208422149</v>
      </c>
      <c r="Q67" s="117">
        <f t="shared" si="71"/>
        <v>77.341923094791909</v>
      </c>
      <c r="R67" s="152" t="str">
        <f t="shared" si="0"/>
        <v>PTP</v>
      </c>
    </row>
    <row r="68" spans="1:18" s="152" customFormat="1" ht="15" customHeight="1">
      <c r="A68" s="64"/>
      <c r="B68" s="7">
        <f t="shared" si="59"/>
        <v>24</v>
      </c>
      <c r="C68" s="18" t="s">
        <v>1272</v>
      </c>
      <c r="D68" s="7" t="s">
        <v>1315</v>
      </c>
      <c r="E68" s="7" t="s">
        <v>173</v>
      </c>
      <c r="F68" s="7" t="s">
        <v>1956</v>
      </c>
      <c r="G68" s="178">
        <v>2012</v>
      </c>
      <c r="H68" s="7" t="s">
        <v>25</v>
      </c>
      <c r="I68" s="86">
        <v>43</v>
      </c>
      <c r="J68" s="135">
        <v>20940</v>
      </c>
      <c r="K68" s="116">
        <v>303.77200000000005</v>
      </c>
      <c r="L68" s="116">
        <v>26.933</v>
      </c>
      <c r="M68" s="116">
        <v>389.29499999999996</v>
      </c>
      <c r="N68" s="129">
        <f t="shared" si="68"/>
        <v>0.91855883642521285</v>
      </c>
      <c r="O68" s="129">
        <f t="shared" si="69"/>
        <v>0.96259305555555552</v>
      </c>
      <c r="P68" s="129">
        <f t="shared" si="70"/>
        <v>0.43830105891638188</v>
      </c>
      <c r="Q68" s="117">
        <f t="shared" si="71"/>
        <v>68.933278906548324</v>
      </c>
      <c r="R68" s="155" t="str">
        <f t="shared" si="0"/>
        <v>PTP</v>
      </c>
    </row>
    <row r="69" spans="1:18" s="152" customFormat="1" ht="15" customHeight="1">
      <c r="A69" s="64"/>
      <c r="B69" s="7">
        <f t="shared" si="59"/>
        <v>25</v>
      </c>
      <c r="C69" s="18" t="s">
        <v>1272</v>
      </c>
      <c r="D69" s="7" t="s">
        <v>1316</v>
      </c>
      <c r="E69" s="7" t="s">
        <v>173</v>
      </c>
      <c r="F69" s="7" t="s">
        <v>1956</v>
      </c>
      <c r="G69" s="178">
        <v>2020</v>
      </c>
      <c r="H69" s="7" t="s">
        <v>25</v>
      </c>
      <c r="I69" s="86">
        <v>43</v>
      </c>
      <c r="J69" s="135">
        <v>25176</v>
      </c>
      <c r="K69" s="116">
        <v>333.38300000000004</v>
      </c>
      <c r="L69" s="116">
        <v>15.282999999999999</v>
      </c>
      <c r="M69" s="116">
        <v>371.33399999999995</v>
      </c>
      <c r="N69" s="129">
        <f t="shared" si="68"/>
        <v>0.95616722020500988</v>
      </c>
      <c r="O69" s="129">
        <f t="shared" si="69"/>
        <v>0.97877361111111105</v>
      </c>
      <c r="P69" s="129">
        <f t="shared" si="70"/>
        <v>0.47307358840499103</v>
      </c>
      <c r="Q69" s="117">
        <f t="shared" si="71"/>
        <v>75.51674800454731</v>
      </c>
      <c r="R69" s="152" t="str">
        <f t="shared" si="0"/>
        <v>PTP</v>
      </c>
    </row>
    <row r="70" spans="1:18" s="152" customFormat="1" ht="15" customHeight="1">
      <c r="A70" s="64"/>
      <c r="B70" s="7">
        <f t="shared" si="59"/>
        <v>26</v>
      </c>
      <c r="C70" s="18" t="s">
        <v>1272</v>
      </c>
      <c r="D70" s="7" t="s">
        <v>1317</v>
      </c>
      <c r="E70" s="7" t="s">
        <v>173</v>
      </c>
      <c r="F70" s="7" t="s">
        <v>1957</v>
      </c>
      <c r="G70" s="178">
        <v>2022</v>
      </c>
      <c r="H70" s="7" t="s">
        <v>25</v>
      </c>
      <c r="I70" s="86">
        <v>43</v>
      </c>
      <c r="J70" s="135">
        <v>28695</v>
      </c>
      <c r="K70" s="116">
        <v>334.87499999999994</v>
      </c>
      <c r="L70" s="116">
        <v>20.466999999999999</v>
      </c>
      <c r="M70" s="116">
        <v>364.65800000000007</v>
      </c>
      <c r="N70" s="129">
        <f t="shared" si="68"/>
        <v>0.94240196768183893</v>
      </c>
      <c r="O70" s="129">
        <f t="shared" si="69"/>
        <v>0.97157361111111118</v>
      </c>
      <c r="P70" s="129">
        <f t="shared" si="70"/>
        <v>0.47871222658545048</v>
      </c>
      <c r="Q70" s="117">
        <f t="shared" si="71"/>
        <v>85.688689809630475</v>
      </c>
      <c r="R70" s="155" t="str">
        <f t="shared" si="0"/>
        <v>PTP</v>
      </c>
    </row>
    <row r="71" spans="1:18" s="152" customFormat="1" ht="15" customHeight="1">
      <c r="A71" s="64"/>
      <c r="B71" s="7">
        <f t="shared" si="59"/>
        <v>27</v>
      </c>
      <c r="C71" s="18" t="s">
        <v>1272</v>
      </c>
      <c r="D71" s="7" t="s">
        <v>1318</v>
      </c>
      <c r="E71" s="7" t="s">
        <v>173</v>
      </c>
      <c r="F71" s="7" t="s">
        <v>1956</v>
      </c>
      <c r="G71" s="178">
        <v>2020</v>
      </c>
      <c r="H71" s="7" t="s">
        <v>25</v>
      </c>
      <c r="I71" s="86">
        <v>43</v>
      </c>
      <c r="J71" s="135">
        <v>21772</v>
      </c>
      <c r="K71" s="116">
        <v>285.52600000000001</v>
      </c>
      <c r="L71" s="116">
        <v>41.516000000000005</v>
      </c>
      <c r="M71" s="116">
        <v>392.95799999999997</v>
      </c>
      <c r="N71" s="129">
        <f t="shared" si="68"/>
        <v>0.87305606007791048</v>
      </c>
      <c r="O71" s="129">
        <f t="shared" si="69"/>
        <v>0.94233888888888884</v>
      </c>
      <c r="P71" s="129">
        <f t="shared" si="70"/>
        <v>0.42082937843781143</v>
      </c>
      <c r="Q71" s="117">
        <f t="shared" si="71"/>
        <v>76.252250232903478</v>
      </c>
      <c r="R71" s="152" t="str">
        <f t="shared" si="0"/>
        <v>PTP</v>
      </c>
    </row>
    <row r="72" spans="1:18" s="152" customFormat="1" ht="15" customHeight="1">
      <c r="A72" s="64"/>
      <c r="B72" s="7">
        <f t="shared" si="59"/>
        <v>28</v>
      </c>
      <c r="C72" s="18" t="s">
        <v>1272</v>
      </c>
      <c r="D72" s="7" t="s">
        <v>1320</v>
      </c>
      <c r="E72" s="7" t="s">
        <v>173</v>
      </c>
      <c r="F72" s="7" t="s">
        <v>1956</v>
      </c>
      <c r="G72" s="178">
        <v>2018</v>
      </c>
      <c r="H72" s="7" t="s">
        <v>25</v>
      </c>
      <c r="I72" s="86">
        <v>43</v>
      </c>
      <c r="J72" s="135">
        <v>23652</v>
      </c>
      <c r="K72" s="116">
        <v>314.85599999999999</v>
      </c>
      <c r="L72" s="116">
        <v>26.9</v>
      </c>
      <c r="M72" s="116">
        <v>378.24400000000003</v>
      </c>
      <c r="N72" s="129">
        <f t="shared" si="68"/>
        <v>0.92128887276302396</v>
      </c>
      <c r="O72" s="129">
        <f t="shared" si="69"/>
        <v>0.96263888888888893</v>
      </c>
      <c r="P72" s="129">
        <f t="shared" si="70"/>
        <v>0.45427211080652141</v>
      </c>
      <c r="Q72" s="117">
        <f t="shared" si="71"/>
        <v>75.120054882231884</v>
      </c>
      <c r="R72" s="152" t="str">
        <f t="shared" si="0"/>
        <v>PTP</v>
      </c>
    </row>
    <row r="73" spans="1:18" s="152" customFormat="1" ht="15" customHeight="1">
      <c r="A73" s="64"/>
      <c r="B73" s="7">
        <f t="shared" si="59"/>
        <v>29</v>
      </c>
      <c r="C73" s="18" t="s">
        <v>1272</v>
      </c>
      <c r="D73" s="7" t="s">
        <v>1321</v>
      </c>
      <c r="E73" s="7" t="s">
        <v>173</v>
      </c>
      <c r="F73" s="7" t="s">
        <v>1957</v>
      </c>
      <c r="G73" s="178">
        <v>2022</v>
      </c>
      <c r="H73" s="7" t="s">
        <v>25</v>
      </c>
      <c r="I73" s="86">
        <v>43</v>
      </c>
      <c r="J73" s="135">
        <v>22155</v>
      </c>
      <c r="K73" s="116">
        <v>332.78800000000001</v>
      </c>
      <c r="L73" s="116">
        <v>18.916999999999998</v>
      </c>
      <c r="M73" s="116">
        <v>368.29500000000002</v>
      </c>
      <c r="N73" s="129">
        <f t="shared" si="68"/>
        <v>0.94621344592769518</v>
      </c>
      <c r="O73" s="129">
        <f t="shared" si="69"/>
        <v>0.97372638888888896</v>
      </c>
      <c r="P73" s="129">
        <f t="shared" si="70"/>
        <v>0.47467703538668027</v>
      </c>
      <c r="Q73" s="117">
        <f t="shared" si="71"/>
        <v>66.573914924817004</v>
      </c>
      <c r="R73" s="152" t="str">
        <f t="shared" si="0"/>
        <v>PTP</v>
      </c>
    </row>
    <row r="74" spans="1:18" s="152" customFormat="1" ht="15" customHeight="1">
      <c r="A74" s="64"/>
      <c r="B74" s="7">
        <f t="shared" si="59"/>
        <v>30</v>
      </c>
      <c r="C74" s="18" t="s">
        <v>1272</v>
      </c>
      <c r="D74" s="7" t="s">
        <v>1323</v>
      </c>
      <c r="E74" s="7" t="s">
        <v>173</v>
      </c>
      <c r="F74" s="7" t="s">
        <v>1956</v>
      </c>
      <c r="G74" s="178">
        <v>2015</v>
      </c>
      <c r="H74" s="7" t="s">
        <v>25</v>
      </c>
      <c r="I74" s="86">
        <v>43</v>
      </c>
      <c r="J74" s="135">
        <v>24746</v>
      </c>
      <c r="K74" s="116">
        <v>313.57000000000005</v>
      </c>
      <c r="L74" s="116">
        <v>6.867</v>
      </c>
      <c r="M74" s="116">
        <v>399.56299999999993</v>
      </c>
      <c r="N74" s="129">
        <f t="shared" si="68"/>
        <v>0.97856989049329501</v>
      </c>
      <c r="O74" s="129">
        <f t="shared" si="69"/>
        <v>0.99046250000000002</v>
      </c>
      <c r="P74" s="129">
        <f t="shared" si="70"/>
        <v>0.43970760012508192</v>
      </c>
      <c r="Q74" s="117">
        <f t="shared" si="71"/>
        <v>78.916988232292624</v>
      </c>
      <c r="R74" s="152" t="str">
        <f t="shared" si="0"/>
        <v>PTP</v>
      </c>
    </row>
    <row r="75" spans="1:18" s="152" customFormat="1" ht="15" customHeight="1">
      <c r="A75" s="64"/>
      <c r="B75" s="7">
        <f t="shared" si="59"/>
        <v>31</v>
      </c>
      <c r="C75" s="18" t="s">
        <v>1272</v>
      </c>
      <c r="D75" s="7" t="s">
        <v>1324</v>
      </c>
      <c r="E75" s="7" t="s">
        <v>173</v>
      </c>
      <c r="F75" s="7" t="s">
        <v>1956</v>
      </c>
      <c r="G75" s="178">
        <v>2014</v>
      </c>
      <c r="H75" s="7" t="s">
        <v>25</v>
      </c>
      <c r="I75" s="86">
        <v>43</v>
      </c>
      <c r="J75" s="135">
        <v>22449</v>
      </c>
      <c r="K75" s="116">
        <v>320.05500000000018</v>
      </c>
      <c r="L75" s="116">
        <v>14.317</v>
      </c>
      <c r="M75" s="116">
        <v>385.62799999999982</v>
      </c>
      <c r="N75" s="129">
        <f t="shared" si="68"/>
        <v>0.95718241958058692</v>
      </c>
      <c r="O75" s="129">
        <f t="shared" si="69"/>
        <v>0.98011527777777774</v>
      </c>
      <c r="P75" s="129">
        <f t="shared" si="70"/>
        <v>0.45353933706777716</v>
      </c>
      <c r="Q75" s="117">
        <f t="shared" si="71"/>
        <v>70.14106950367902</v>
      </c>
      <c r="R75" s="152" t="str">
        <f t="shared" si="0"/>
        <v>PTP</v>
      </c>
    </row>
    <row r="76" spans="1:18" s="152" customFormat="1" ht="15" customHeight="1">
      <c r="A76" s="64"/>
      <c r="B76" s="7">
        <f t="shared" si="59"/>
        <v>32</v>
      </c>
      <c r="C76" s="18" t="s">
        <v>1272</v>
      </c>
      <c r="D76" s="7" t="s">
        <v>1325</v>
      </c>
      <c r="E76" s="7" t="s">
        <v>173</v>
      </c>
      <c r="F76" s="7" t="s">
        <v>1956</v>
      </c>
      <c r="G76" s="178">
        <v>2018</v>
      </c>
      <c r="H76" s="7" t="s">
        <v>25</v>
      </c>
      <c r="I76" s="86">
        <v>43</v>
      </c>
      <c r="J76" s="135">
        <v>26146</v>
      </c>
      <c r="K76" s="116">
        <v>335.78499999999997</v>
      </c>
      <c r="L76" s="116">
        <v>28.498999999999995</v>
      </c>
      <c r="M76" s="116">
        <v>355.71600000000001</v>
      </c>
      <c r="N76" s="129">
        <f t="shared" si="68"/>
        <v>0.92176708282548769</v>
      </c>
      <c r="O76" s="129">
        <f t="shared" si="69"/>
        <v>0.96041805555555548</v>
      </c>
      <c r="P76" s="129">
        <f t="shared" si="70"/>
        <v>0.48558859640116209</v>
      </c>
      <c r="Q76" s="117">
        <f t="shared" si="71"/>
        <v>77.86530071325403</v>
      </c>
      <c r="R76" s="152" t="str">
        <f t="shared" si="0"/>
        <v>PTP</v>
      </c>
    </row>
    <row r="77" spans="1:18" s="152" customFormat="1" ht="15" customHeight="1">
      <c r="A77" s="64"/>
      <c r="B77" s="7">
        <f t="shared" si="59"/>
        <v>33</v>
      </c>
      <c r="C77" s="18" t="s">
        <v>1272</v>
      </c>
      <c r="D77" s="7" t="s">
        <v>1326</v>
      </c>
      <c r="E77" s="7" t="s">
        <v>173</v>
      </c>
      <c r="F77" s="7" t="s">
        <v>1956</v>
      </c>
      <c r="G77" s="178">
        <v>2018</v>
      </c>
      <c r="H77" s="7" t="s">
        <v>25</v>
      </c>
      <c r="I77" s="86">
        <v>43</v>
      </c>
      <c r="J77" s="135">
        <v>20616</v>
      </c>
      <c r="K77" s="116">
        <v>334.75899999999996</v>
      </c>
      <c r="L77" s="116">
        <v>0.71699999999999997</v>
      </c>
      <c r="M77" s="116">
        <v>384.52400000000006</v>
      </c>
      <c r="N77" s="129">
        <f t="shared" si="68"/>
        <v>0.99786273831809136</v>
      </c>
      <c r="O77" s="129">
        <f t="shared" si="69"/>
        <v>0.99900416666666669</v>
      </c>
      <c r="P77" s="129">
        <f t="shared" si="70"/>
        <v>0.46540652288459472</v>
      </c>
      <c r="Q77" s="117">
        <f t="shared" si="71"/>
        <v>61.58460265444694</v>
      </c>
      <c r="R77" s="152" t="str">
        <f t="shared" si="0"/>
        <v>PTP</v>
      </c>
    </row>
    <row r="78" spans="1:18" s="152" customFormat="1" ht="15" customHeight="1">
      <c r="A78" s="64"/>
      <c r="B78" s="7">
        <f t="shared" si="59"/>
        <v>34</v>
      </c>
      <c r="C78" s="18" t="s">
        <v>1272</v>
      </c>
      <c r="D78" s="7" t="s">
        <v>1327</v>
      </c>
      <c r="E78" s="7" t="s">
        <v>173</v>
      </c>
      <c r="F78" s="7" t="s">
        <v>1957</v>
      </c>
      <c r="G78" s="178">
        <v>2022</v>
      </c>
      <c r="H78" s="7" t="s">
        <v>25</v>
      </c>
      <c r="I78" s="86">
        <v>43</v>
      </c>
      <c r="J78" s="135">
        <v>23460</v>
      </c>
      <c r="K78" s="116">
        <v>316.32199999999995</v>
      </c>
      <c r="L78" s="116">
        <v>78.082999999999998</v>
      </c>
      <c r="M78" s="116">
        <v>325.59500000000003</v>
      </c>
      <c r="N78" s="129">
        <f t="shared" ref="N78:N150" si="72">+K78/(K78+L78)</f>
        <v>0.80202330092164142</v>
      </c>
      <c r="O78" s="129">
        <f t="shared" ref="O78:O150" si="73">+(K78+M78)/(K78+L78+M78)</f>
        <v>0.89155138888888874</v>
      </c>
      <c r="P78" s="129">
        <f t="shared" ref="P78:P150" si="74">+K78/(K78+M78)</f>
        <v>0.49277710358192722</v>
      </c>
      <c r="Q78" s="117">
        <f t="shared" ref="Q78:Q150" si="75">+J78/K78</f>
        <v>74.164933200978766</v>
      </c>
      <c r="R78" s="152" t="b">
        <f t="shared" si="0"/>
        <v>0</v>
      </c>
    </row>
    <row r="79" spans="1:18" s="152" customFormat="1" ht="15" customHeight="1">
      <c r="A79" s="64"/>
      <c r="B79" s="7">
        <f t="shared" si="59"/>
        <v>35</v>
      </c>
      <c r="C79" s="18" t="s">
        <v>1272</v>
      </c>
      <c r="D79" s="7" t="s">
        <v>1328</v>
      </c>
      <c r="E79" s="7" t="s">
        <v>173</v>
      </c>
      <c r="F79" s="7" t="s">
        <v>1957</v>
      </c>
      <c r="G79" s="178">
        <v>2022</v>
      </c>
      <c r="H79" s="7" t="s">
        <v>25</v>
      </c>
      <c r="I79" s="86">
        <v>43</v>
      </c>
      <c r="J79" s="135">
        <v>15837</v>
      </c>
      <c r="K79" s="116">
        <v>226.67299999999975</v>
      </c>
      <c r="L79" s="116">
        <v>220.44800000000001</v>
      </c>
      <c r="M79" s="116">
        <v>272.87900000000025</v>
      </c>
      <c r="N79" s="129">
        <f t="shared" si="72"/>
        <v>0.50696120289586011</v>
      </c>
      <c r="O79" s="129">
        <f t="shared" si="73"/>
        <v>0.69382222222222223</v>
      </c>
      <c r="P79" s="129">
        <f t="shared" si="74"/>
        <v>0.45375256229581651</v>
      </c>
      <c r="Q79" s="117">
        <f t="shared" si="75"/>
        <v>69.867165476258833</v>
      </c>
      <c r="R79" s="152" t="b">
        <f t="shared" si="0"/>
        <v>0</v>
      </c>
    </row>
    <row r="80" spans="1:18" s="152" customFormat="1" ht="15" customHeight="1">
      <c r="A80" s="64"/>
      <c r="B80" s="7">
        <f t="shared" si="59"/>
        <v>36</v>
      </c>
      <c r="C80" s="18" t="s">
        <v>1272</v>
      </c>
      <c r="D80" s="7" t="s">
        <v>1329</v>
      </c>
      <c r="E80" s="7" t="s">
        <v>173</v>
      </c>
      <c r="F80" s="7" t="s">
        <v>1957</v>
      </c>
      <c r="G80" s="178">
        <v>1900</v>
      </c>
      <c r="H80" s="7" t="s">
        <v>25</v>
      </c>
      <c r="I80" s="86">
        <v>43</v>
      </c>
      <c r="J80" s="135">
        <v>18371</v>
      </c>
      <c r="K80" s="116">
        <v>249.90699999999987</v>
      </c>
      <c r="L80" s="116">
        <v>168.65200000000002</v>
      </c>
      <c r="M80" s="116">
        <v>301.44100000000014</v>
      </c>
      <c r="N80" s="129">
        <f t="shared" si="72"/>
        <v>0.59706516882924499</v>
      </c>
      <c r="O80" s="129">
        <f t="shared" si="73"/>
        <v>0.765761111111111</v>
      </c>
      <c r="P80" s="129">
        <f t="shared" si="74"/>
        <v>0.45326545122136996</v>
      </c>
      <c r="Q80" s="117">
        <f t="shared" si="75"/>
        <v>73.511346220794181</v>
      </c>
      <c r="R80" s="152" t="b">
        <f t="shared" si="0"/>
        <v>0</v>
      </c>
    </row>
    <row r="81" spans="1:18" s="152" customFormat="1" ht="15" customHeight="1">
      <c r="A81" s="64"/>
      <c r="B81" s="7">
        <f t="shared" si="59"/>
        <v>37</v>
      </c>
      <c r="C81" s="18" t="s">
        <v>1272</v>
      </c>
      <c r="D81" s="7" t="s">
        <v>1330</v>
      </c>
      <c r="E81" s="7" t="s">
        <v>173</v>
      </c>
      <c r="F81" s="7" t="s">
        <v>1956</v>
      </c>
      <c r="G81" s="178">
        <v>2015</v>
      </c>
      <c r="H81" s="7" t="s">
        <v>25</v>
      </c>
      <c r="I81" s="86">
        <v>43</v>
      </c>
      <c r="J81" s="135">
        <v>18862</v>
      </c>
      <c r="K81" s="116">
        <v>280.87099999999998</v>
      </c>
      <c r="L81" s="116">
        <v>93.4</v>
      </c>
      <c r="M81" s="116">
        <v>345.72900000000004</v>
      </c>
      <c r="N81" s="129">
        <f t="shared" si="72"/>
        <v>0.75044820464315964</v>
      </c>
      <c r="O81" s="129">
        <f t="shared" si="73"/>
        <v>0.87027777777777782</v>
      </c>
      <c r="P81" s="129">
        <f t="shared" si="74"/>
        <v>0.44824609000957544</v>
      </c>
      <c r="Q81" s="117">
        <f t="shared" si="75"/>
        <v>67.155384500357826</v>
      </c>
      <c r="R81" s="152" t="b">
        <f t="shared" si="0"/>
        <v>0</v>
      </c>
    </row>
    <row r="82" spans="1:18" s="152" customFormat="1" ht="15" customHeight="1">
      <c r="A82" s="64"/>
      <c r="B82" s="7">
        <f t="shared" si="59"/>
        <v>38</v>
      </c>
      <c r="C82" s="18" t="s">
        <v>1272</v>
      </c>
      <c r="D82" s="7" t="s">
        <v>1331</v>
      </c>
      <c r="E82" s="7" t="s">
        <v>173</v>
      </c>
      <c r="F82" s="7" t="s">
        <v>1957</v>
      </c>
      <c r="G82" s="178">
        <v>1900</v>
      </c>
      <c r="H82" s="7" t="s">
        <v>25</v>
      </c>
      <c r="I82" s="86">
        <v>43</v>
      </c>
      <c r="J82" s="135">
        <v>21754</v>
      </c>
      <c r="K82" s="116">
        <v>279.52599999999995</v>
      </c>
      <c r="L82" s="116">
        <v>29.633000000000003</v>
      </c>
      <c r="M82" s="116">
        <v>410.84100000000007</v>
      </c>
      <c r="N82" s="129">
        <f t="shared" si="72"/>
        <v>0.90414964468121584</v>
      </c>
      <c r="O82" s="129">
        <f t="shared" si="73"/>
        <v>0.95884305555555549</v>
      </c>
      <c r="P82" s="129">
        <f t="shared" si="74"/>
        <v>0.40489478784472605</v>
      </c>
      <c r="Q82" s="117">
        <f t="shared" si="75"/>
        <v>77.824603078067881</v>
      </c>
      <c r="R82" s="152" t="str">
        <f t="shared" si="0"/>
        <v>PTP</v>
      </c>
    </row>
    <row r="83" spans="1:18" s="152" customFormat="1" ht="15" customHeight="1">
      <c r="A83" s="64"/>
      <c r="B83" s="7">
        <f t="shared" si="59"/>
        <v>39</v>
      </c>
      <c r="C83" s="18" t="s">
        <v>1272</v>
      </c>
      <c r="D83" s="7" t="s">
        <v>1334</v>
      </c>
      <c r="E83" s="7" t="s">
        <v>173</v>
      </c>
      <c r="F83" s="7" t="s">
        <v>1956</v>
      </c>
      <c r="G83" s="178">
        <v>2021</v>
      </c>
      <c r="H83" s="7" t="s">
        <v>25</v>
      </c>
      <c r="I83" s="86">
        <v>43</v>
      </c>
      <c r="J83" s="135">
        <v>19628</v>
      </c>
      <c r="K83" s="116">
        <v>268.40199999999982</v>
      </c>
      <c r="L83" s="116">
        <v>124.8</v>
      </c>
      <c r="M83" s="116">
        <v>326.79800000000017</v>
      </c>
      <c r="N83" s="129">
        <f t="shared" si="72"/>
        <v>0.6826058870504218</v>
      </c>
      <c r="O83" s="129">
        <f t="shared" si="73"/>
        <v>0.82666666666666677</v>
      </c>
      <c r="P83" s="129">
        <f t="shared" si="74"/>
        <v>0.45094422043010718</v>
      </c>
      <c r="Q83" s="117">
        <f t="shared" si="75"/>
        <v>73.129112301696765</v>
      </c>
      <c r="R83" s="152" t="b">
        <f t="shared" si="0"/>
        <v>0</v>
      </c>
    </row>
    <row r="84" spans="1:18" s="152" customFormat="1" ht="15" customHeight="1">
      <c r="A84" s="64"/>
      <c r="B84" s="7">
        <f t="shared" si="59"/>
        <v>40</v>
      </c>
      <c r="C84" s="18" t="s">
        <v>1272</v>
      </c>
      <c r="D84" s="7" t="s">
        <v>1335</v>
      </c>
      <c r="E84" s="7" t="s">
        <v>173</v>
      </c>
      <c r="F84" s="7" t="s">
        <v>1956</v>
      </c>
      <c r="G84" s="178">
        <v>2020</v>
      </c>
      <c r="H84" s="7" t="s">
        <v>25</v>
      </c>
      <c r="I84" s="86">
        <v>43</v>
      </c>
      <c r="J84" s="135">
        <v>9628</v>
      </c>
      <c r="K84" s="116">
        <v>141.39799999999997</v>
      </c>
      <c r="L84" s="116">
        <v>152.483</v>
      </c>
      <c r="M84" s="116">
        <v>426.11900000000009</v>
      </c>
      <c r="N84" s="129">
        <f t="shared" si="72"/>
        <v>0.48114032550590197</v>
      </c>
      <c r="O84" s="129">
        <f t="shared" si="73"/>
        <v>0.78821805555555557</v>
      </c>
      <c r="P84" s="129">
        <f t="shared" si="74"/>
        <v>0.24915200778126462</v>
      </c>
      <c r="Q84" s="117">
        <f t="shared" si="75"/>
        <v>68.091486442523959</v>
      </c>
      <c r="R84" s="152" t="b">
        <f t="shared" si="0"/>
        <v>0</v>
      </c>
    </row>
    <row r="85" spans="1:18" s="152" customFormat="1" ht="15" customHeight="1">
      <c r="A85" s="64"/>
      <c r="B85" s="7">
        <f t="shared" si="59"/>
        <v>41</v>
      </c>
      <c r="C85" s="18" t="s">
        <v>1272</v>
      </c>
      <c r="D85" s="7" t="s">
        <v>1425</v>
      </c>
      <c r="E85" s="7" t="s">
        <v>173</v>
      </c>
      <c r="F85" s="7" t="s">
        <v>1956</v>
      </c>
      <c r="G85" s="178">
        <v>2018</v>
      </c>
      <c r="H85" s="7" t="s">
        <v>25</v>
      </c>
      <c r="I85" s="86">
        <v>43</v>
      </c>
      <c r="J85" s="135">
        <v>9816</v>
      </c>
      <c r="K85" s="116">
        <v>149.80799999999991</v>
      </c>
      <c r="L85" s="116">
        <v>378.68200000000002</v>
      </c>
      <c r="M85" s="116">
        <v>191.5100000000001</v>
      </c>
      <c r="N85" s="129">
        <f t="shared" si="72"/>
        <v>0.28346420935117017</v>
      </c>
      <c r="O85" s="129">
        <f t="shared" si="73"/>
        <v>0.47405277777777777</v>
      </c>
      <c r="P85" s="129">
        <f t="shared" si="74"/>
        <v>0.43891034167550469</v>
      </c>
      <c r="Q85" s="117">
        <f>+J85/K85</f>
        <v>65.523870554309553</v>
      </c>
      <c r="R85" s="152" t="b">
        <f t="shared" ref="R85:R148" si="76">IF(O85&gt;89.9999999999999%,"PTP")</f>
        <v>0</v>
      </c>
    </row>
    <row r="86" spans="1:18" s="152" customFormat="1" ht="15" customHeight="1">
      <c r="A86" s="64"/>
      <c r="B86" s="7">
        <f t="shared" si="59"/>
        <v>42</v>
      </c>
      <c r="C86" s="18" t="s">
        <v>1272</v>
      </c>
      <c r="D86" s="7" t="s">
        <v>1336</v>
      </c>
      <c r="E86" s="7" t="s">
        <v>173</v>
      </c>
      <c r="F86" s="7" t="s">
        <v>1956</v>
      </c>
      <c r="G86" s="178">
        <v>2015</v>
      </c>
      <c r="H86" s="7" t="s">
        <v>25</v>
      </c>
      <c r="I86" s="86">
        <v>43</v>
      </c>
      <c r="J86" s="135">
        <v>23154</v>
      </c>
      <c r="K86" s="116">
        <v>295.62299999999988</v>
      </c>
      <c r="L86" s="116">
        <v>56.2</v>
      </c>
      <c r="M86" s="116">
        <v>368.17700000000013</v>
      </c>
      <c r="N86" s="129">
        <f t="shared" si="72"/>
        <v>0.84026058557854377</v>
      </c>
      <c r="O86" s="129">
        <f t="shared" si="73"/>
        <v>0.92194444444444434</v>
      </c>
      <c r="P86" s="129">
        <f t="shared" si="74"/>
        <v>0.44534950286230779</v>
      </c>
      <c r="Q86" s="117">
        <f t="shared" si="75"/>
        <v>78.322728610426154</v>
      </c>
      <c r="R86" s="152" t="str">
        <f t="shared" si="76"/>
        <v>PTP</v>
      </c>
    </row>
    <row r="87" spans="1:18" s="152" customFormat="1" ht="15" customHeight="1">
      <c r="A87" s="64"/>
      <c r="B87" s="7">
        <f t="shared" si="59"/>
        <v>43</v>
      </c>
      <c r="C87" s="18" t="s">
        <v>1272</v>
      </c>
      <c r="D87" s="210" t="s">
        <v>1421</v>
      </c>
      <c r="E87" s="7" t="s">
        <v>173</v>
      </c>
      <c r="F87" s="210" t="s">
        <v>1956</v>
      </c>
      <c r="G87" s="203">
        <v>2015</v>
      </c>
      <c r="H87" s="7" t="s">
        <v>25</v>
      </c>
      <c r="I87" s="86">
        <v>43</v>
      </c>
      <c r="J87" s="247">
        <v>23749</v>
      </c>
      <c r="K87" s="207">
        <v>327.226</v>
      </c>
      <c r="L87" s="207">
        <v>2</v>
      </c>
      <c r="M87" s="207">
        <v>390.774</v>
      </c>
      <c r="N87" s="129">
        <f t="shared" ref="N87:N142" si="77">+K87/(K87+L87)</f>
        <v>0.99392514564463319</v>
      </c>
      <c r="O87" s="129">
        <f t="shared" ref="O87:O142" si="78">+(K87+M87)/(K87+L87+M87)</f>
        <v>0.99722222222222223</v>
      </c>
      <c r="P87" s="129">
        <f t="shared" ref="P87:P142" si="79">+K87/(K87+M87)</f>
        <v>0.4557465181058496</v>
      </c>
      <c r="Q87" s="117">
        <f t="shared" ref="Q87:Q142" si="80">+J87/K87</f>
        <v>72.576751236148723</v>
      </c>
      <c r="R87" s="152" t="str">
        <f t="shared" si="76"/>
        <v>PTP</v>
      </c>
    </row>
    <row r="88" spans="1:18" s="152" customFormat="1" ht="15" customHeight="1">
      <c r="A88" s="64"/>
      <c r="B88" s="7">
        <f t="shared" si="59"/>
        <v>44</v>
      </c>
      <c r="C88" s="18" t="s">
        <v>1272</v>
      </c>
      <c r="D88" s="210" t="s">
        <v>1337</v>
      </c>
      <c r="E88" s="7" t="s">
        <v>173</v>
      </c>
      <c r="F88" s="210" t="s">
        <v>1956</v>
      </c>
      <c r="G88" s="203">
        <v>2010</v>
      </c>
      <c r="H88" s="7" t="s">
        <v>25</v>
      </c>
      <c r="I88" s="86">
        <v>43</v>
      </c>
      <c r="J88" s="247">
        <v>25326</v>
      </c>
      <c r="K88" s="207">
        <v>319.97400000000016</v>
      </c>
      <c r="L88" s="207">
        <v>25.065999999999999</v>
      </c>
      <c r="M88" s="207">
        <v>374.95999999999987</v>
      </c>
      <c r="N88" s="129">
        <f t="shared" si="77"/>
        <v>0.92735335033619304</v>
      </c>
      <c r="O88" s="129">
        <f t="shared" si="78"/>
        <v>0.96518611111111108</v>
      </c>
      <c r="P88" s="129">
        <f t="shared" si="79"/>
        <v>0.46043796964891653</v>
      </c>
      <c r="Q88" s="117">
        <f t="shared" si="80"/>
        <v>79.150180952202334</v>
      </c>
      <c r="R88" s="152" t="str">
        <f t="shared" si="76"/>
        <v>PTP</v>
      </c>
    </row>
    <row r="89" spans="1:18" s="152" customFormat="1" ht="15" customHeight="1">
      <c r="A89" s="64"/>
      <c r="B89" s="7">
        <f t="shared" si="59"/>
        <v>45</v>
      </c>
      <c r="C89" s="18" t="s">
        <v>1272</v>
      </c>
      <c r="D89" s="210" t="s">
        <v>1338</v>
      </c>
      <c r="E89" s="7" t="s">
        <v>173</v>
      </c>
      <c r="F89" s="210" t="s">
        <v>1956</v>
      </c>
      <c r="G89" s="203">
        <v>2010</v>
      </c>
      <c r="H89" s="7" t="s">
        <v>25</v>
      </c>
      <c r="I89" s="86">
        <v>43</v>
      </c>
      <c r="J89" s="247">
        <v>19135</v>
      </c>
      <c r="K89" s="207">
        <v>215.73799999999991</v>
      </c>
      <c r="L89" s="207">
        <v>22.983000000000001</v>
      </c>
      <c r="M89" s="207">
        <v>481.27900000000005</v>
      </c>
      <c r="N89" s="129">
        <f t="shared" si="77"/>
        <v>0.90372443144926495</v>
      </c>
      <c r="O89" s="129">
        <f t="shared" si="78"/>
        <v>0.9680791666666666</v>
      </c>
      <c r="P89" s="129">
        <f t="shared" si="79"/>
        <v>0.30951612371003856</v>
      </c>
      <c r="Q89" s="117">
        <f t="shared" si="80"/>
        <v>88.695547376910923</v>
      </c>
      <c r="R89" s="152" t="str">
        <f t="shared" si="76"/>
        <v>PTP</v>
      </c>
    </row>
    <row r="90" spans="1:18" s="152" customFormat="1" ht="15" customHeight="1">
      <c r="A90" s="64"/>
      <c r="B90" s="7">
        <f t="shared" si="59"/>
        <v>46</v>
      </c>
      <c r="C90" s="18" t="s">
        <v>1272</v>
      </c>
      <c r="D90" s="210" t="s">
        <v>1339</v>
      </c>
      <c r="E90" s="7" t="s">
        <v>173</v>
      </c>
      <c r="F90" s="210" t="s">
        <v>1956</v>
      </c>
      <c r="G90" s="203">
        <v>2010</v>
      </c>
      <c r="H90" s="7" t="s">
        <v>25</v>
      </c>
      <c r="I90" s="86">
        <v>43</v>
      </c>
      <c r="J90" s="247">
        <v>18542</v>
      </c>
      <c r="K90" s="207">
        <v>268.42400000000004</v>
      </c>
      <c r="L90" s="207">
        <v>35.616</v>
      </c>
      <c r="M90" s="207">
        <v>415.96</v>
      </c>
      <c r="N90" s="129">
        <f t="shared" si="77"/>
        <v>0.88285751874753327</v>
      </c>
      <c r="O90" s="129">
        <f t="shared" si="78"/>
        <v>0.95053333333333334</v>
      </c>
      <c r="P90" s="129">
        <f t="shared" si="79"/>
        <v>0.39221255903118724</v>
      </c>
      <c r="Q90" s="117">
        <f t="shared" si="80"/>
        <v>69.07728072005483</v>
      </c>
      <c r="R90" s="152" t="str">
        <f t="shared" si="76"/>
        <v>PTP</v>
      </c>
    </row>
    <row r="91" spans="1:18" s="152" customFormat="1" ht="15" customHeight="1">
      <c r="A91" s="64"/>
      <c r="B91" s="7">
        <f t="shared" si="59"/>
        <v>47</v>
      </c>
      <c r="C91" s="18" t="s">
        <v>1272</v>
      </c>
      <c r="D91" s="210" t="s">
        <v>1340</v>
      </c>
      <c r="E91" s="7" t="s">
        <v>173</v>
      </c>
      <c r="F91" s="210" t="s">
        <v>1956</v>
      </c>
      <c r="G91" s="203">
        <v>2020</v>
      </c>
      <c r="H91" s="7" t="s">
        <v>25</v>
      </c>
      <c r="I91" s="86">
        <v>43</v>
      </c>
      <c r="J91" s="247">
        <v>26663</v>
      </c>
      <c r="K91" s="207">
        <v>362.55600000000004</v>
      </c>
      <c r="L91" s="207">
        <v>14.917</v>
      </c>
      <c r="M91" s="207">
        <v>342.52699999999999</v>
      </c>
      <c r="N91" s="129">
        <f t="shared" si="77"/>
        <v>0.96048194175477464</v>
      </c>
      <c r="O91" s="129">
        <f t="shared" si="78"/>
        <v>0.97928194444444461</v>
      </c>
      <c r="P91" s="129">
        <f t="shared" si="79"/>
        <v>0.51420329237834406</v>
      </c>
      <c r="Q91" s="117">
        <f t="shared" si="80"/>
        <v>73.541742517018051</v>
      </c>
      <c r="R91" s="152" t="str">
        <f t="shared" si="76"/>
        <v>PTP</v>
      </c>
    </row>
    <row r="92" spans="1:18" s="152" customFormat="1" ht="15" customHeight="1">
      <c r="A92" s="64"/>
      <c r="B92" s="7">
        <f t="shared" si="59"/>
        <v>48</v>
      </c>
      <c r="C92" s="18" t="s">
        <v>1272</v>
      </c>
      <c r="D92" s="210" t="s">
        <v>1341</v>
      </c>
      <c r="E92" s="7" t="s">
        <v>173</v>
      </c>
      <c r="F92" s="210" t="s">
        <v>1956</v>
      </c>
      <c r="G92" s="203">
        <v>2015</v>
      </c>
      <c r="H92" s="7" t="s">
        <v>25</v>
      </c>
      <c r="I92" s="86">
        <v>43</v>
      </c>
      <c r="J92" s="247">
        <v>18503</v>
      </c>
      <c r="K92" s="207">
        <v>258.7399999999999</v>
      </c>
      <c r="L92" s="207">
        <v>58.617000000000004</v>
      </c>
      <c r="M92" s="207">
        <v>402.64300000000009</v>
      </c>
      <c r="N92" s="129">
        <f t="shared" si="77"/>
        <v>0.81529633819326486</v>
      </c>
      <c r="O92" s="129">
        <f t="shared" si="78"/>
        <v>0.9185875</v>
      </c>
      <c r="P92" s="129">
        <f t="shared" si="79"/>
        <v>0.39121053912785764</v>
      </c>
      <c r="Q92" s="117">
        <f t="shared" si="80"/>
        <v>71.511942490531069</v>
      </c>
      <c r="R92" s="152" t="str">
        <f t="shared" si="76"/>
        <v>PTP</v>
      </c>
    </row>
    <row r="93" spans="1:18" s="152" customFormat="1" ht="15" customHeight="1">
      <c r="A93" s="64"/>
      <c r="B93" s="7">
        <f t="shared" si="59"/>
        <v>49</v>
      </c>
      <c r="C93" s="18" t="s">
        <v>1272</v>
      </c>
      <c r="D93" s="210" t="s">
        <v>1419</v>
      </c>
      <c r="E93" s="7" t="s">
        <v>173</v>
      </c>
      <c r="F93" s="210" t="s">
        <v>1956</v>
      </c>
      <c r="G93" s="203">
        <v>2011</v>
      </c>
      <c r="H93" s="7" t="s">
        <v>25</v>
      </c>
      <c r="I93" s="86">
        <v>43</v>
      </c>
      <c r="J93" s="247">
        <v>24874</v>
      </c>
      <c r="K93" s="207">
        <v>348.45600000000013</v>
      </c>
      <c r="L93" s="207">
        <v>5.5</v>
      </c>
      <c r="M93" s="207">
        <v>366.04399999999987</v>
      </c>
      <c r="N93" s="129">
        <f t="shared" si="77"/>
        <v>0.98446134547796904</v>
      </c>
      <c r="O93" s="129">
        <f t="shared" si="78"/>
        <v>0.99236111111111114</v>
      </c>
      <c r="P93" s="129">
        <f t="shared" si="79"/>
        <v>0.4876920923722885</v>
      </c>
      <c r="Q93" s="117">
        <f t="shared" si="80"/>
        <v>71.38347452763044</v>
      </c>
      <c r="R93" s="152" t="str">
        <f t="shared" si="76"/>
        <v>PTP</v>
      </c>
    </row>
    <row r="94" spans="1:18" s="152" customFormat="1" ht="15" customHeight="1">
      <c r="A94" s="64"/>
      <c r="B94" s="7">
        <f t="shared" si="59"/>
        <v>50</v>
      </c>
      <c r="C94" s="18" t="s">
        <v>1272</v>
      </c>
      <c r="D94" s="210" t="s">
        <v>1342</v>
      </c>
      <c r="E94" s="7" t="s">
        <v>173</v>
      </c>
      <c r="F94" s="210" t="s">
        <v>1956</v>
      </c>
      <c r="G94" s="203">
        <v>2011</v>
      </c>
      <c r="H94" s="7" t="s">
        <v>25</v>
      </c>
      <c r="I94" s="86">
        <v>43</v>
      </c>
      <c r="J94" s="247">
        <v>17683</v>
      </c>
      <c r="K94" s="207">
        <v>245.78699999999986</v>
      </c>
      <c r="L94" s="207">
        <v>106.233</v>
      </c>
      <c r="M94" s="207">
        <v>367.98000000000013</v>
      </c>
      <c r="N94" s="129">
        <f t="shared" si="77"/>
        <v>0.69821885120163618</v>
      </c>
      <c r="O94" s="129">
        <f t="shared" si="78"/>
        <v>0.85245416666666673</v>
      </c>
      <c r="P94" s="129">
        <f t="shared" si="79"/>
        <v>0.40045652503311491</v>
      </c>
      <c r="Q94" s="117">
        <f t="shared" si="80"/>
        <v>71.944407149279698</v>
      </c>
      <c r="R94" s="152" t="b">
        <f t="shared" si="76"/>
        <v>0</v>
      </c>
    </row>
    <row r="95" spans="1:18" s="152" customFormat="1" ht="15" customHeight="1">
      <c r="A95" s="64"/>
      <c r="B95" s="7">
        <f t="shared" si="59"/>
        <v>51</v>
      </c>
      <c r="C95" s="18" t="s">
        <v>1272</v>
      </c>
      <c r="D95" s="210" t="s">
        <v>1343</v>
      </c>
      <c r="E95" s="7" t="s">
        <v>173</v>
      </c>
      <c r="F95" s="210" t="s">
        <v>1956</v>
      </c>
      <c r="G95" s="203">
        <v>2013</v>
      </c>
      <c r="H95" s="7" t="s">
        <v>25</v>
      </c>
      <c r="I95" s="86">
        <v>43</v>
      </c>
      <c r="J95" s="247">
        <v>23678</v>
      </c>
      <c r="K95" s="207">
        <v>317.053</v>
      </c>
      <c r="L95" s="207">
        <v>21.032</v>
      </c>
      <c r="M95" s="207">
        <v>381.91500000000002</v>
      </c>
      <c r="N95" s="129">
        <f t="shared" si="77"/>
        <v>0.93779079225638529</v>
      </c>
      <c r="O95" s="129">
        <f t="shared" si="78"/>
        <v>0.97078888888888903</v>
      </c>
      <c r="P95" s="129">
        <f t="shared" si="79"/>
        <v>0.45360159549507267</v>
      </c>
      <c r="Q95" s="117">
        <f t="shared" si="80"/>
        <v>74.681520124395604</v>
      </c>
      <c r="R95" s="152" t="str">
        <f t="shared" si="76"/>
        <v>PTP</v>
      </c>
    </row>
    <row r="96" spans="1:18" s="152" customFormat="1" ht="15" customHeight="1">
      <c r="A96" s="64"/>
      <c r="B96" s="7">
        <f t="shared" si="59"/>
        <v>52</v>
      </c>
      <c r="C96" s="18" t="s">
        <v>1272</v>
      </c>
      <c r="D96" s="210" t="s">
        <v>1344</v>
      </c>
      <c r="E96" s="7" t="s">
        <v>173</v>
      </c>
      <c r="F96" s="210" t="s">
        <v>1956</v>
      </c>
      <c r="G96" s="203">
        <v>2013</v>
      </c>
      <c r="H96" s="7" t="s">
        <v>25</v>
      </c>
      <c r="I96" s="86">
        <v>43</v>
      </c>
      <c r="J96" s="247">
        <v>21341</v>
      </c>
      <c r="K96" s="207">
        <v>305.25799999999981</v>
      </c>
      <c r="L96" s="207">
        <v>63.284999999999997</v>
      </c>
      <c r="M96" s="207">
        <v>351.45700000000022</v>
      </c>
      <c r="N96" s="129">
        <f t="shared" si="77"/>
        <v>0.82828326681011444</v>
      </c>
      <c r="O96" s="129">
        <f t="shared" si="78"/>
        <v>0.91210416666666672</v>
      </c>
      <c r="P96" s="129">
        <f t="shared" si="79"/>
        <v>0.46482568541909319</v>
      </c>
      <c r="Q96" s="117">
        <f t="shared" si="80"/>
        <v>69.911353674596612</v>
      </c>
      <c r="R96" s="152" t="str">
        <f t="shared" si="76"/>
        <v>PTP</v>
      </c>
    </row>
    <row r="97" spans="1:18" s="152" customFormat="1" ht="15" customHeight="1">
      <c r="A97" s="64"/>
      <c r="B97" s="7">
        <f t="shared" si="59"/>
        <v>53</v>
      </c>
      <c r="C97" s="18" t="s">
        <v>1272</v>
      </c>
      <c r="D97" s="210" t="s">
        <v>1426</v>
      </c>
      <c r="E97" s="210" t="s">
        <v>173</v>
      </c>
      <c r="F97" s="210" t="s">
        <v>1956</v>
      </c>
      <c r="G97" s="203">
        <v>2011</v>
      </c>
      <c r="H97" s="7" t="s">
        <v>25</v>
      </c>
      <c r="I97" s="86">
        <v>43</v>
      </c>
      <c r="J97" s="247">
        <v>26609</v>
      </c>
      <c r="K97" s="207">
        <v>339.76299999999998</v>
      </c>
      <c r="L97" s="207">
        <v>5.8339999999999996</v>
      </c>
      <c r="M97" s="207">
        <v>374.40300000000002</v>
      </c>
      <c r="N97" s="129">
        <f t="shared" si="77"/>
        <v>0.98311906642708125</v>
      </c>
      <c r="O97" s="129">
        <f t="shared" si="78"/>
        <v>0.9918972222222221</v>
      </c>
      <c r="P97" s="129">
        <f t="shared" si="79"/>
        <v>0.47574793535396531</v>
      </c>
      <c r="Q97" s="117">
        <f t="shared" si="80"/>
        <v>78.31635581272829</v>
      </c>
      <c r="R97" s="152" t="str">
        <f t="shared" si="76"/>
        <v>PTP</v>
      </c>
    </row>
    <row r="98" spans="1:18" s="152" customFormat="1" ht="15" customHeight="1">
      <c r="A98" s="64"/>
      <c r="B98" s="7">
        <f t="shared" si="59"/>
        <v>54</v>
      </c>
      <c r="C98" s="18" t="s">
        <v>1272</v>
      </c>
      <c r="D98" s="210" t="s">
        <v>1346</v>
      </c>
      <c r="E98" s="210" t="s">
        <v>173</v>
      </c>
      <c r="F98" s="210" t="s">
        <v>1956</v>
      </c>
      <c r="G98" s="203">
        <v>2011</v>
      </c>
      <c r="H98" s="7" t="s">
        <v>25</v>
      </c>
      <c r="I98" s="86">
        <v>43</v>
      </c>
      <c r="J98" s="247">
        <v>23942</v>
      </c>
      <c r="K98" s="207">
        <v>315.33899999999994</v>
      </c>
      <c r="L98" s="207">
        <v>10.583</v>
      </c>
      <c r="M98" s="207">
        <v>394.07800000000003</v>
      </c>
      <c r="N98" s="129">
        <f t="shared" si="77"/>
        <v>0.96752904069071732</v>
      </c>
      <c r="O98" s="129">
        <f t="shared" si="78"/>
        <v>0.98530138888888874</v>
      </c>
      <c r="P98" s="129">
        <f t="shared" si="79"/>
        <v>0.44450443110328619</v>
      </c>
      <c r="Q98" s="117">
        <f t="shared" si="80"/>
        <v>75.924639832053771</v>
      </c>
      <c r="R98" s="152" t="str">
        <f t="shared" si="76"/>
        <v>PTP</v>
      </c>
    </row>
    <row r="99" spans="1:18" s="152" customFormat="1" ht="15" customHeight="1">
      <c r="A99" s="64"/>
      <c r="B99" s="7">
        <f t="shared" si="59"/>
        <v>55</v>
      </c>
      <c r="C99" s="18" t="s">
        <v>1272</v>
      </c>
      <c r="D99" s="210" t="s">
        <v>1349</v>
      </c>
      <c r="E99" s="210" t="s">
        <v>173</v>
      </c>
      <c r="F99" s="210" t="s">
        <v>1956</v>
      </c>
      <c r="G99" s="203">
        <v>2021</v>
      </c>
      <c r="H99" s="7" t="s">
        <v>25</v>
      </c>
      <c r="I99" s="86">
        <v>43</v>
      </c>
      <c r="J99" s="247">
        <v>20217</v>
      </c>
      <c r="K99" s="207">
        <v>247.92199999999983</v>
      </c>
      <c r="L99" s="207">
        <v>24.35</v>
      </c>
      <c r="M99" s="207">
        <v>447.72800000000018</v>
      </c>
      <c r="N99" s="129">
        <f t="shared" si="77"/>
        <v>0.91056737380266783</v>
      </c>
      <c r="O99" s="129">
        <f t="shared" si="78"/>
        <v>0.96618055555555549</v>
      </c>
      <c r="P99" s="129">
        <f t="shared" si="79"/>
        <v>0.35638898871558949</v>
      </c>
      <c r="Q99" s="117">
        <f t="shared" si="80"/>
        <v>81.54580876243341</v>
      </c>
      <c r="R99" s="152" t="str">
        <f t="shared" si="76"/>
        <v>PTP</v>
      </c>
    </row>
    <row r="100" spans="1:18" s="152" customFormat="1" ht="15" customHeight="1">
      <c r="A100" s="64"/>
      <c r="B100" s="7">
        <f t="shared" si="59"/>
        <v>56</v>
      </c>
      <c r="C100" s="18" t="s">
        <v>1272</v>
      </c>
      <c r="D100" s="210" t="s">
        <v>1350</v>
      </c>
      <c r="E100" s="210" t="s">
        <v>173</v>
      </c>
      <c r="F100" s="210" t="s">
        <v>1957</v>
      </c>
      <c r="G100" s="203">
        <v>1900</v>
      </c>
      <c r="H100" s="7" t="s">
        <v>25</v>
      </c>
      <c r="I100" s="86">
        <v>43</v>
      </c>
      <c r="J100" s="247">
        <v>24484</v>
      </c>
      <c r="K100" s="207">
        <v>333.22100000000023</v>
      </c>
      <c r="L100" s="207">
        <v>5.85</v>
      </c>
      <c r="M100" s="207">
        <v>380.92899999999975</v>
      </c>
      <c r="N100" s="129">
        <f t="shared" si="77"/>
        <v>0.9827469762969997</v>
      </c>
      <c r="O100" s="129">
        <f t="shared" si="78"/>
        <v>0.99187499999999995</v>
      </c>
      <c r="P100" s="129">
        <f t="shared" si="79"/>
        <v>0.46659805363019008</v>
      </c>
      <c r="Q100" s="117">
        <f t="shared" si="80"/>
        <v>73.4767616686823</v>
      </c>
      <c r="R100" s="152" t="str">
        <f t="shared" si="76"/>
        <v>PTP</v>
      </c>
    </row>
    <row r="101" spans="1:18" s="152" customFormat="1" ht="15" customHeight="1">
      <c r="A101" s="64"/>
      <c r="B101" s="7">
        <f t="shared" si="59"/>
        <v>57</v>
      </c>
      <c r="C101" s="18" t="s">
        <v>1272</v>
      </c>
      <c r="D101" s="210" t="s">
        <v>1351</v>
      </c>
      <c r="E101" s="210" t="s">
        <v>30</v>
      </c>
      <c r="F101" s="210" t="s">
        <v>1959</v>
      </c>
      <c r="G101" s="203">
        <v>2021</v>
      </c>
      <c r="H101" s="7" t="s">
        <v>25</v>
      </c>
      <c r="I101" s="86">
        <v>43</v>
      </c>
      <c r="J101" s="247">
        <v>15956</v>
      </c>
      <c r="K101" s="207">
        <v>208.45300000000012</v>
      </c>
      <c r="L101" s="207">
        <v>11.984</v>
      </c>
      <c r="M101" s="207">
        <v>499.56299999999993</v>
      </c>
      <c r="N101" s="129">
        <f t="shared" si="77"/>
        <v>0.9456352608681845</v>
      </c>
      <c r="O101" s="129">
        <f t="shared" si="78"/>
        <v>0.98335555555555565</v>
      </c>
      <c r="P101" s="129">
        <f t="shared" si="79"/>
        <v>0.29441848771779183</v>
      </c>
      <c r="Q101" s="117">
        <f t="shared" si="80"/>
        <v>76.544832648126871</v>
      </c>
      <c r="R101" s="152" t="str">
        <f t="shared" si="76"/>
        <v>PTP</v>
      </c>
    </row>
    <row r="102" spans="1:18" s="152" customFormat="1" ht="15" customHeight="1">
      <c r="A102" s="64"/>
      <c r="B102" s="7">
        <f t="shared" si="59"/>
        <v>58</v>
      </c>
      <c r="C102" s="18" t="s">
        <v>1272</v>
      </c>
      <c r="D102" s="210" t="s">
        <v>1352</v>
      </c>
      <c r="E102" s="210" t="s">
        <v>30</v>
      </c>
      <c r="F102" s="210" t="s">
        <v>1959</v>
      </c>
      <c r="G102" s="203">
        <v>1900</v>
      </c>
      <c r="H102" s="7" t="s">
        <v>25</v>
      </c>
      <c r="I102" s="86">
        <v>43</v>
      </c>
      <c r="J102" s="247">
        <v>25391</v>
      </c>
      <c r="K102" s="207">
        <v>320.30099999999965</v>
      </c>
      <c r="L102" s="207">
        <v>38.234000000000002</v>
      </c>
      <c r="M102" s="207">
        <v>361.46500000000037</v>
      </c>
      <c r="N102" s="129">
        <f t="shared" si="77"/>
        <v>0.89336048084566355</v>
      </c>
      <c r="O102" s="129">
        <f t="shared" si="78"/>
        <v>0.94689722222222228</v>
      </c>
      <c r="P102" s="129">
        <f t="shared" si="79"/>
        <v>0.469810756183206</v>
      </c>
      <c r="Q102" s="117">
        <f t="shared" si="80"/>
        <v>79.272309483891803</v>
      </c>
      <c r="R102" s="152" t="str">
        <f t="shared" si="76"/>
        <v>PTP</v>
      </c>
    </row>
    <row r="103" spans="1:18" s="152" customFormat="1" ht="15" customHeight="1">
      <c r="A103" s="64"/>
      <c r="B103" s="7">
        <f t="shared" si="59"/>
        <v>59</v>
      </c>
      <c r="C103" s="18" t="s">
        <v>1272</v>
      </c>
      <c r="D103" s="210" t="s">
        <v>1353</v>
      </c>
      <c r="E103" s="210" t="s">
        <v>30</v>
      </c>
      <c r="F103" s="210" t="s">
        <v>1959</v>
      </c>
      <c r="G103" s="203">
        <v>2022</v>
      </c>
      <c r="H103" s="7" t="s">
        <v>25</v>
      </c>
      <c r="I103" s="86">
        <v>43</v>
      </c>
      <c r="J103" s="247">
        <v>21578</v>
      </c>
      <c r="K103" s="207">
        <v>297.63799999999992</v>
      </c>
      <c r="L103" s="207">
        <v>16.033000000000001</v>
      </c>
      <c r="M103" s="207">
        <v>406.32900000000006</v>
      </c>
      <c r="N103" s="129">
        <f t="shared" si="77"/>
        <v>0.9488859346257702</v>
      </c>
      <c r="O103" s="129">
        <f t="shared" si="78"/>
        <v>0.97773194444444445</v>
      </c>
      <c r="P103" s="129">
        <f t="shared" si="79"/>
        <v>0.42280106880009988</v>
      </c>
      <c r="Q103" s="117">
        <f t="shared" si="80"/>
        <v>72.497463361533164</v>
      </c>
      <c r="R103" s="152" t="str">
        <f t="shared" si="76"/>
        <v>PTP</v>
      </c>
    </row>
    <row r="104" spans="1:18" s="152" customFormat="1" ht="15" customHeight="1">
      <c r="A104" s="64"/>
      <c r="B104" s="7">
        <f t="shared" si="59"/>
        <v>60</v>
      </c>
      <c r="C104" s="18" t="s">
        <v>1272</v>
      </c>
      <c r="D104" s="210" t="s">
        <v>1354</v>
      </c>
      <c r="E104" s="210" t="s">
        <v>30</v>
      </c>
      <c r="F104" s="210" t="s">
        <v>1959</v>
      </c>
      <c r="G104" s="203">
        <v>1900</v>
      </c>
      <c r="H104" s="7" t="s">
        <v>25</v>
      </c>
      <c r="I104" s="86">
        <v>43</v>
      </c>
      <c r="J104" s="247">
        <v>24860</v>
      </c>
      <c r="K104" s="207">
        <v>347.54399999999987</v>
      </c>
      <c r="L104" s="207">
        <v>14.766</v>
      </c>
      <c r="M104" s="207">
        <v>357.69000000000011</v>
      </c>
      <c r="N104" s="129">
        <f t="shared" si="77"/>
        <v>0.95924484557423195</v>
      </c>
      <c r="O104" s="129">
        <f t="shared" si="78"/>
        <v>0.97949166666666654</v>
      </c>
      <c r="P104" s="129">
        <f t="shared" si="79"/>
        <v>0.49280664290150489</v>
      </c>
      <c r="Q104" s="117">
        <f t="shared" si="80"/>
        <v>71.530511244619419</v>
      </c>
      <c r="R104" s="152" t="str">
        <f t="shared" si="76"/>
        <v>PTP</v>
      </c>
    </row>
    <row r="105" spans="1:18" s="152" customFormat="1" ht="15" customHeight="1">
      <c r="A105" s="64"/>
      <c r="B105" s="7">
        <f t="shared" si="59"/>
        <v>61</v>
      </c>
      <c r="C105" s="18" t="s">
        <v>1272</v>
      </c>
      <c r="D105" s="210" t="s">
        <v>1355</v>
      </c>
      <c r="E105" s="210" t="s">
        <v>30</v>
      </c>
      <c r="F105" s="210" t="s">
        <v>1959</v>
      </c>
      <c r="G105" s="203">
        <v>1900</v>
      </c>
      <c r="H105" s="7" t="s">
        <v>25</v>
      </c>
      <c r="I105" s="86">
        <v>43</v>
      </c>
      <c r="J105" s="247">
        <v>26881</v>
      </c>
      <c r="K105" s="207">
        <v>339.5030000000001</v>
      </c>
      <c r="L105" s="207">
        <v>10.516999999999999</v>
      </c>
      <c r="M105" s="207">
        <v>369.9799999999999</v>
      </c>
      <c r="N105" s="129">
        <f t="shared" si="77"/>
        <v>0.96995314553454093</v>
      </c>
      <c r="O105" s="129">
        <f t="shared" si="78"/>
        <v>0.98539305555555545</v>
      </c>
      <c r="P105" s="129">
        <f t="shared" si="79"/>
        <v>0.47852168409954871</v>
      </c>
      <c r="Q105" s="117">
        <f t="shared" si="80"/>
        <v>79.177503586124402</v>
      </c>
      <c r="R105" s="152" t="str">
        <f t="shared" si="76"/>
        <v>PTP</v>
      </c>
    </row>
    <row r="106" spans="1:18" s="152" customFormat="1" ht="15" customHeight="1">
      <c r="A106" s="64"/>
      <c r="B106" s="7">
        <f t="shared" si="59"/>
        <v>62</v>
      </c>
      <c r="C106" s="18" t="s">
        <v>1272</v>
      </c>
      <c r="D106" s="210" t="s">
        <v>1356</v>
      </c>
      <c r="E106" s="210" t="s">
        <v>30</v>
      </c>
      <c r="F106" s="210" t="s">
        <v>1959</v>
      </c>
      <c r="G106" s="203">
        <v>2021</v>
      </c>
      <c r="H106" s="7" t="s">
        <v>25</v>
      </c>
      <c r="I106" s="86">
        <v>43</v>
      </c>
      <c r="J106" s="247">
        <v>19668</v>
      </c>
      <c r="K106" s="207">
        <v>291.59399999999988</v>
      </c>
      <c r="L106" s="207">
        <v>30.350999999999999</v>
      </c>
      <c r="M106" s="207">
        <v>398.05500000000012</v>
      </c>
      <c r="N106" s="129">
        <f t="shared" si="77"/>
        <v>0.9057261333457578</v>
      </c>
      <c r="O106" s="129">
        <f t="shared" si="78"/>
        <v>0.95784583333333329</v>
      </c>
      <c r="P106" s="129">
        <f t="shared" si="79"/>
        <v>0.42281508419500335</v>
      </c>
      <c r="Q106" s="117">
        <f t="shared" si="80"/>
        <v>67.449947529784595</v>
      </c>
      <c r="R106" s="152" t="str">
        <f t="shared" si="76"/>
        <v>PTP</v>
      </c>
    </row>
    <row r="107" spans="1:18" s="152" customFormat="1" ht="15" customHeight="1">
      <c r="A107" s="64"/>
      <c r="B107" s="7">
        <f t="shared" si="59"/>
        <v>63</v>
      </c>
      <c r="C107" s="18" t="s">
        <v>1272</v>
      </c>
      <c r="D107" s="210" t="s">
        <v>1357</v>
      </c>
      <c r="E107" s="210" t="s">
        <v>30</v>
      </c>
      <c r="F107" s="210" t="s">
        <v>1959</v>
      </c>
      <c r="G107" s="203">
        <v>1900</v>
      </c>
      <c r="H107" s="7" t="s">
        <v>25</v>
      </c>
      <c r="I107" s="86">
        <v>43</v>
      </c>
      <c r="J107" s="247">
        <v>19066</v>
      </c>
      <c r="K107" s="207">
        <v>260.38599999999991</v>
      </c>
      <c r="L107" s="207">
        <v>18.382999999999999</v>
      </c>
      <c r="M107" s="207">
        <v>441.23100000000011</v>
      </c>
      <c r="N107" s="129">
        <f t="shared" si="77"/>
        <v>0.93405651273993884</v>
      </c>
      <c r="O107" s="129">
        <f t="shared" si="78"/>
        <v>0.97446805555555549</v>
      </c>
      <c r="P107" s="129">
        <f t="shared" si="79"/>
        <v>0.37112270654787433</v>
      </c>
      <c r="Q107" s="117">
        <f t="shared" si="80"/>
        <v>73.222062630095351</v>
      </c>
      <c r="R107" s="152" t="str">
        <f t="shared" si="76"/>
        <v>PTP</v>
      </c>
    </row>
    <row r="108" spans="1:18" s="152" customFormat="1" ht="15" customHeight="1">
      <c r="A108" s="64"/>
      <c r="B108" s="7">
        <f t="shared" si="59"/>
        <v>64</v>
      </c>
      <c r="C108" s="18" t="s">
        <v>1272</v>
      </c>
      <c r="D108" s="210" t="s">
        <v>1358</v>
      </c>
      <c r="E108" s="7" t="s">
        <v>30</v>
      </c>
      <c r="F108" s="210" t="s">
        <v>1959</v>
      </c>
      <c r="G108" s="203">
        <v>1900</v>
      </c>
      <c r="H108" s="7" t="s">
        <v>25</v>
      </c>
      <c r="I108" s="86">
        <v>43</v>
      </c>
      <c r="J108" s="247">
        <v>16493</v>
      </c>
      <c r="K108" s="207">
        <v>239.84399999999988</v>
      </c>
      <c r="L108" s="207">
        <v>2.883</v>
      </c>
      <c r="M108" s="207">
        <v>477.27300000000014</v>
      </c>
      <c r="N108" s="129">
        <f t="shared" si="77"/>
        <v>0.98812245856456016</v>
      </c>
      <c r="O108" s="129">
        <f t="shared" si="78"/>
        <v>0.9959958333333333</v>
      </c>
      <c r="P108" s="129">
        <f t="shared" si="79"/>
        <v>0.33445588376792057</v>
      </c>
      <c r="Q108" s="117">
        <f t="shared" si="80"/>
        <v>68.765530928436846</v>
      </c>
      <c r="R108" s="152" t="str">
        <f t="shared" si="76"/>
        <v>PTP</v>
      </c>
    </row>
    <row r="109" spans="1:18" s="152" customFormat="1" ht="15" customHeight="1">
      <c r="A109" s="64"/>
      <c r="B109" s="7">
        <f t="shared" si="59"/>
        <v>65</v>
      </c>
      <c r="C109" s="18" t="s">
        <v>1272</v>
      </c>
      <c r="D109" s="210" t="s">
        <v>1359</v>
      </c>
      <c r="E109" s="210" t="s">
        <v>30</v>
      </c>
      <c r="F109" s="210" t="s">
        <v>1959</v>
      </c>
      <c r="G109" s="203">
        <v>1900</v>
      </c>
      <c r="H109" s="7" t="s">
        <v>25</v>
      </c>
      <c r="I109" s="86">
        <v>43</v>
      </c>
      <c r="J109" s="247">
        <v>22087</v>
      </c>
      <c r="K109" s="207">
        <v>235.02000000000007</v>
      </c>
      <c r="L109" s="207">
        <v>17.466999999999999</v>
      </c>
      <c r="M109" s="207">
        <v>467.51299999999992</v>
      </c>
      <c r="N109" s="129">
        <f t="shared" si="77"/>
        <v>0.93082020064399351</v>
      </c>
      <c r="O109" s="129">
        <f t="shared" si="78"/>
        <v>0.97574027777777783</v>
      </c>
      <c r="P109" s="129">
        <f t="shared" si="79"/>
        <v>0.3345323280187551</v>
      </c>
      <c r="Q109" s="117">
        <f t="shared" si="80"/>
        <v>93.97923580971829</v>
      </c>
      <c r="R109" s="152" t="str">
        <f t="shared" si="76"/>
        <v>PTP</v>
      </c>
    </row>
    <row r="110" spans="1:18" s="152" customFormat="1" ht="15" customHeight="1">
      <c r="A110" s="64"/>
      <c r="B110" s="7">
        <f t="shared" si="59"/>
        <v>66</v>
      </c>
      <c r="C110" s="18" t="s">
        <v>1272</v>
      </c>
      <c r="D110" s="210" t="s">
        <v>1360</v>
      </c>
      <c r="E110" s="7" t="s">
        <v>30</v>
      </c>
      <c r="F110" s="210" t="s">
        <v>1959</v>
      </c>
      <c r="G110" s="203">
        <v>1900</v>
      </c>
      <c r="H110" s="7" t="s">
        <v>25</v>
      </c>
      <c r="I110" s="86">
        <v>43</v>
      </c>
      <c r="J110" s="247">
        <v>22283</v>
      </c>
      <c r="K110" s="207">
        <v>285.00399999999991</v>
      </c>
      <c r="L110" s="207">
        <v>86</v>
      </c>
      <c r="M110" s="207">
        <v>348.99600000000009</v>
      </c>
      <c r="N110" s="129">
        <f t="shared" si="77"/>
        <v>0.76819656930922575</v>
      </c>
      <c r="O110" s="129">
        <f t="shared" si="78"/>
        <v>0.88055555555555554</v>
      </c>
      <c r="P110" s="129">
        <f t="shared" si="79"/>
        <v>0.44953312302839099</v>
      </c>
      <c r="Q110" s="117">
        <f t="shared" si="80"/>
        <v>78.184867580805914</v>
      </c>
      <c r="R110" s="152" t="b">
        <f t="shared" si="76"/>
        <v>0</v>
      </c>
    </row>
    <row r="111" spans="1:18" s="152" customFormat="1" ht="15" customHeight="1">
      <c r="A111" s="64"/>
      <c r="B111" s="7">
        <f t="shared" si="59"/>
        <v>67</v>
      </c>
      <c r="C111" s="18" t="s">
        <v>1272</v>
      </c>
      <c r="D111" s="210" t="s">
        <v>1361</v>
      </c>
      <c r="E111" s="210" t="s">
        <v>30</v>
      </c>
      <c r="F111" s="210" t="s">
        <v>1959</v>
      </c>
      <c r="G111" s="203">
        <v>1900</v>
      </c>
      <c r="H111" s="7" t="s">
        <v>25</v>
      </c>
      <c r="I111" s="86">
        <v>43</v>
      </c>
      <c r="J111" s="247">
        <v>5289</v>
      </c>
      <c r="K111" s="207">
        <v>82.79700000000004</v>
      </c>
      <c r="L111" s="207">
        <v>334.95</v>
      </c>
      <c r="M111" s="207">
        <v>302.25299999999999</v>
      </c>
      <c r="N111" s="129">
        <f t="shared" si="77"/>
        <v>0.19819890986649824</v>
      </c>
      <c r="O111" s="129">
        <f t="shared" si="78"/>
        <v>0.53479166666666667</v>
      </c>
      <c r="P111" s="129">
        <f t="shared" si="79"/>
        <v>0.21502921698480726</v>
      </c>
      <c r="Q111" s="117">
        <f t="shared" si="80"/>
        <v>63.879126055291827</v>
      </c>
      <c r="R111" s="152" t="b">
        <f t="shared" si="76"/>
        <v>0</v>
      </c>
    </row>
    <row r="112" spans="1:18" s="152" customFormat="1" ht="15" customHeight="1">
      <c r="A112" s="64"/>
      <c r="B112" s="7">
        <f t="shared" si="59"/>
        <v>68</v>
      </c>
      <c r="C112" s="18" t="s">
        <v>1272</v>
      </c>
      <c r="D112" s="210" t="s">
        <v>1362</v>
      </c>
      <c r="E112" s="7" t="s">
        <v>30</v>
      </c>
      <c r="F112" s="210" t="s">
        <v>1959</v>
      </c>
      <c r="G112" s="203">
        <v>1900</v>
      </c>
      <c r="H112" s="7" t="s">
        <v>25</v>
      </c>
      <c r="I112" s="86">
        <v>43</v>
      </c>
      <c r="J112" s="247">
        <v>19141</v>
      </c>
      <c r="K112" s="207">
        <v>299.93999999999988</v>
      </c>
      <c r="L112" s="207">
        <v>45.652000000000001</v>
      </c>
      <c r="M112" s="207">
        <v>374.40800000000013</v>
      </c>
      <c r="N112" s="129">
        <f t="shared" si="77"/>
        <v>0.86790203476932337</v>
      </c>
      <c r="O112" s="129">
        <f t="shared" si="78"/>
        <v>0.9365944444444444</v>
      </c>
      <c r="P112" s="129">
        <f t="shared" si="79"/>
        <v>0.44478518509730869</v>
      </c>
      <c r="Q112" s="117">
        <f t="shared" si="80"/>
        <v>63.816096552643884</v>
      </c>
      <c r="R112" s="152" t="str">
        <f t="shared" si="76"/>
        <v>PTP</v>
      </c>
    </row>
    <row r="113" spans="1:18" s="152" customFormat="1" ht="15" customHeight="1">
      <c r="A113" s="64"/>
      <c r="B113" s="7">
        <f t="shared" si="59"/>
        <v>69</v>
      </c>
      <c r="C113" s="18" t="s">
        <v>1272</v>
      </c>
      <c r="D113" s="210" t="s">
        <v>1363</v>
      </c>
      <c r="E113" s="210" t="s">
        <v>30</v>
      </c>
      <c r="F113" s="210" t="s">
        <v>1959</v>
      </c>
      <c r="G113" s="203">
        <v>1900</v>
      </c>
      <c r="H113" s="7" t="s">
        <v>25</v>
      </c>
      <c r="I113" s="86">
        <v>43</v>
      </c>
      <c r="J113" s="247">
        <v>26136</v>
      </c>
      <c r="K113" s="207">
        <v>352.40899999999999</v>
      </c>
      <c r="L113" s="207">
        <v>10.549999999999999</v>
      </c>
      <c r="M113" s="207">
        <v>357.041</v>
      </c>
      <c r="N113" s="129">
        <f t="shared" si="77"/>
        <v>0.97093335610909215</v>
      </c>
      <c r="O113" s="129">
        <f t="shared" si="78"/>
        <v>0.98534722222222226</v>
      </c>
      <c r="P113" s="129">
        <f t="shared" si="79"/>
        <v>0.49673549933046723</v>
      </c>
      <c r="Q113" s="117">
        <f t="shared" si="80"/>
        <v>74.163826690010751</v>
      </c>
      <c r="R113" s="152" t="str">
        <f t="shared" si="76"/>
        <v>PTP</v>
      </c>
    </row>
    <row r="114" spans="1:18" s="152" customFormat="1" ht="15" customHeight="1">
      <c r="A114" s="64"/>
      <c r="B114" s="7">
        <f t="shared" si="59"/>
        <v>70</v>
      </c>
      <c r="C114" s="18" t="s">
        <v>1272</v>
      </c>
      <c r="D114" s="210" t="s">
        <v>1364</v>
      </c>
      <c r="E114" s="210" t="s">
        <v>30</v>
      </c>
      <c r="F114" s="210" t="s">
        <v>1959</v>
      </c>
      <c r="G114" s="203">
        <v>1900</v>
      </c>
      <c r="H114" s="7" t="s">
        <v>25</v>
      </c>
      <c r="I114" s="86">
        <v>43</v>
      </c>
      <c r="J114" s="247">
        <v>27226</v>
      </c>
      <c r="K114" s="207">
        <v>334.78900000000004</v>
      </c>
      <c r="L114" s="207">
        <v>105.81700000000001</v>
      </c>
      <c r="M114" s="207">
        <v>279.39399999999995</v>
      </c>
      <c r="N114" s="129">
        <f t="shared" si="77"/>
        <v>0.7598375873229144</v>
      </c>
      <c r="O114" s="129">
        <f t="shared" si="78"/>
        <v>0.85303194444444441</v>
      </c>
      <c r="P114" s="129">
        <f t="shared" si="79"/>
        <v>0.54509649404167826</v>
      </c>
      <c r="Q114" s="117">
        <f t="shared" si="80"/>
        <v>81.322863057029934</v>
      </c>
      <c r="R114" s="152" t="b">
        <f t="shared" si="76"/>
        <v>0</v>
      </c>
    </row>
    <row r="115" spans="1:18" s="152" customFormat="1" ht="15" customHeight="1">
      <c r="A115" s="64"/>
      <c r="B115" s="7">
        <f t="shared" si="59"/>
        <v>71</v>
      </c>
      <c r="C115" s="18" t="s">
        <v>1272</v>
      </c>
      <c r="D115" s="210" t="s">
        <v>1365</v>
      </c>
      <c r="E115" s="210" t="s">
        <v>30</v>
      </c>
      <c r="F115" s="210" t="s">
        <v>1959</v>
      </c>
      <c r="G115" s="203">
        <v>1900</v>
      </c>
      <c r="H115" s="7" t="s">
        <v>25</v>
      </c>
      <c r="I115" s="86">
        <v>43</v>
      </c>
      <c r="J115" s="247">
        <v>27147</v>
      </c>
      <c r="K115" s="207">
        <v>334.55200000000019</v>
      </c>
      <c r="L115" s="207">
        <v>47.698999999999998</v>
      </c>
      <c r="M115" s="207">
        <v>337.7489999999998</v>
      </c>
      <c r="N115" s="129">
        <f t="shared" si="77"/>
        <v>0.87521549976324464</v>
      </c>
      <c r="O115" s="129">
        <f t="shared" si="78"/>
        <v>0.93375138888888876</v>
      </c>
      <c r="P115" s="129">
        <f t="shared" si="79"/>
        <v>0.49762234475331768</v>
      </c>
      <c r="Q115" s="117">
        <f t="shared" si="80"/>
        <v>81.144336306463529</v>
      </c>
      <c r="R115" s="152" t="str">
        <f t="shared" si="76"/>
        <v>PTP</v>
      </c>
    </row>
    <row r="116" spans="1:18" s="152" customFormat="1" ht="15" customHeight="1">
      <c r="A116" s="64"/>
      <c r="B116" s="7">
        <f t="shared" si="59"/>
        <v>72</v>
      </c>
      <c r="C116" s="18" t="s">
        <v>1272</v>
      </c>
      <c r="D116" s="210" t="s">
        <v>1366</v>
      </c>
      <c r="E116" s="210" t="s">
        <v>30</v>
      </c>
      <c r="F116" s="210" t="s">
        <v>1958</v>
      </c>
      <c r="G116" s="203">
        <v>2020</v>
      </c>
      <c r="H116" s="7" t="s">
        <v>25</v>
      </c>
      <c r="I116" s="86">
        <v>43</v>
      </c>
      <c r="J116" s="247">
        <v>20191</v>
      </c>
      <c r="K116" s="207">
        <v>283.3869999999996</v>
      </c>
      <c r="L116" s="207">
        <v>42.533000000000001</v>
      </c>
      <c r="M116" s="207">
        <v>394.08000000000038</v>
      </c>
      <c r="N116" s="129">
        <f t="shared" si="77"/>
        <v>0.8694986499754539</v>
      </c>
      <c r="O116" s="129">
        <f t="shared" si="78"/>
        <v>0.94092638888888891</v>
      </c>
      <c r="P116" s="129">
        <f t="shared" si="79"/>
        <v>0.41830376977771555</v>
      </c>
      <c r="Q116" s="117">
        <f t="shared" si="80"/>
        <v>71.248857569331079</v>
      </c>
      <c r="R116" s="152" t="str">
        <f t="shared" si="76"/>
        <v>PTP</v>
      </c>
    </row>
    <row r="117" spans="1:18" s="152" customFormat="1" ht="15" customHeight="1">
      <c r="A117" s="64"/>
      <c r="B117" s="7">
        <f t="shared" si="59"/>
        <v>73</v>
      </c>
      <c r="C117" s="18" t="s">
        <v>1272</v>
      </c>
      <c r="D117" s="210" t="s">
        <v>1367</v>
      </c>
      <c r="E117" s="210" t="s">
        <v>30</v>
      </c>
      <c r="F117" s="210" t="s">
        <v>1960</v>
      </c>
      <c r="G117" s="203">
        <v>2016</v>
      </c>
      <c r="H117" s="7" t="s">
        <v>25</v>
      </c>
      <c r="I117" s="86">
        <v>43</v>
      </c>
      <c r="J117" s="247">
        <v>25974</v>
      </c>
      <c r="K117" s="207">
        <v>316.28499999999997</v>
      </c>
      <c r="L117" s="207">
        <v>20.083000000000002</v>
      </c>
      <c r="M117" s="207">
        <v>383.63200000000001</v>
      </c>
      <c r="N117" s="129">
        <f t="shared" si="77"/>
        <v>0.94029455834086473</v>
      </c>
      <c r="O117" s="129">
        <f t="shared" si="78"/>
        <v>0.97210694444444434</v>
      </c>
      <c r="P117" s="129">
        <f t="shared" si="79"/>
        <v>0.45188929544503137</v>
      </c>
      <c r="Q117" s="117">
        <f t="shared" si="80"/>
        <v>82.122136680525486</v>
      </c>
      <c r="R117" s="152" t="str">
        <f t="shared" si="76"/>
        <v>PTP</v>
      </c>
    </row>
    <row r="118" spans="1:18" s="152" customFormat="1" ht="15" customHeight="1">
      <c r="A118" s="64"/>
      <c r="B118" s="7">
        <f t="shared" si="59"/>
        <v>74</v>
      </c>
      <c r="C118" s="18" t="s">
        <v>1272</v>
      </c>
      <c r="D118" s="210" t="s">
        <v>1368</v>
      </c>
      <c r="E118" s="210" t="s">
        <v>30</v>
      </c>
      <c r="F118" s="210" t="s">
        <v>1959</v>
      </c>
      <c r="G118" s="203">
        <v>1900</v>
      </c>
      <c r="H118" s="7" t="s">
        <v>25</v>
      </c>
      <c r="I118" s="86">
        <v>43</v>
      </c>
      <c r="J118" s="247">
        <v>17135</v>
      </c>
      <c r="K118" s="207">
        <v>228.40299999999968</v>
      </c>
      <c r="L118" s="207">
        <v>85.766000000000005</v>
      </c>
      <c r="M118" s="207">
        <v>405.8310000000003</v>
      </c>
      <c r="N118" s="129">
        <f t="shared" si="77"/>
        <v>0.72700680207149626</v>
      </c>
      <c r="O118" s="129">
        <f t="shared" si="78"/>
        <v>0.88088055555555544</v>
      </c>
      <c r="P118" s="129">
        <f t="shared" si="79"/>
        <v>0.36012418129586193</v>
      </c>
      <c r="Q118" s="117">
        <f t="shared" si="80"/>
        <v>75.020906030131059</v>
      </c>
      <c r="R118" s="152" t="b">
        <f t="shared" si="76"/>
        <v>0</v>
      </c>
    </row>
    <row r="119" spans="1:18" s="152" customFormat="1" ht="15" customHeight="1">
      <c r="A119" s="64"/>
      <c r="B119" s="7">
        <f t="shared" si="59"/>
        <v>75</v>
      </c>
      <c r="C119" s="18" t="s">
        <v>1272</v>
      </c>
      <c r="D119" s="210" t="s">
        <v>1369</v>
      </c>
      <c r="E119" s="210" t="s">
        <v>173</v>
      </c>
      <c r="F119" s="210" t="s">
        <v>1956</v>
      </c>
      <c r="G119" s="203">
        <v>2020</v>
      </c>
      <c r="H119" s="7" t="s">
        <v>25</v>
      </c>
      <c r="I119" s="86">
        <v>43</v>
      </c>
      <c r="J119" s="247">
        <v>13738</v>
      </c>
      <c r="K119" s="207">
        <v>178.70199999999997</v>
      </c>
      <c r="L119" s="207">
        <v>220.268</v>
      </c>
      <c r="M119" s="207">
        <v>321.02999999999997</v>
      </c>
      <c r="N119" s="129">
        <f t="shared" si="77"/>
        <v>0.44790836403739626</v>
      </c>
      <c r="O119" s="129">
        <f t="shared" si="78"/>
        <v>0.6940722222222222</v>
      </c>
      <c r="P119" s="129">
        <f t="shared" si="79"/>
        <v>0.35759567127980596</v>
      </c>
      <c r="Q119" s="117">
        <f t="shared" si="80"/>
        <v>76.876587838972156</v>
      </c>
      <c r="R119" s="152" t="b">
        <f t="shared" si="76"/>
        <v>0</v>
      </c>
    </row>
    <row r="120" spans="1:18" s="152" customFormat="1" ht="15" customHeight="1">
      <c r="A120" s="64"/>
      <c r="B120" s="7">
        <f t="shared" si="59"/>
        <v>76</v>
      </c>
      <c r="C120" s="18" t="s">
        <v>1272</v>
      </c>
      <c r="D120" s="210" t="s">
        <v>1423</v>
      </c>
      <c r="E120" s="210" t="s">
        <v>173</v>
      </c>
      <c r="F120" s="210" t="s">
        <v>1956</v>
      </c>
      <c r="G120" s="203">
        <v>2012</v>
      </c>
      <c r="H120" s="7" t="s">
        <v>25</v>
      </c>
      <c r="I120" s="86">
        <v>43</v>
      </c>
      <c r="J120" s="247">
        <v>21234</v>
      </c>
      <c r="K120" s="207">
        <v>266.75900000000024</v>
      </c>
      <c r="L120" s="207">
        <v>16.533000000000001</v>
      </c>
      <c r="M120" s="207">
        <v>436.70799999999974</v>
      </c>
      <c r="N120" s="129">
        <f t="shared" si="77"/>
        <v>0.94163972155938047</v>
      </c>
      <c r="O120" s="129">
        <f t="shared" si="78"/>
        <v>0.9770375</v>
      </c>
      <c r="P120" s="129">
        <f t="shared" si="79"/>
        <v>0.37920613191521457</v>
      </c>
      <c r="Q120" s="117">
        <f t="shared" si="80"/>
        <v>79.59993852128693</v>
      </c>
      <c r="R120" s="152" t="str">
        <f t="shared" si="76"/>
        <v>PTP</v>
      </c>
    </row>
    <row r="121" spans="1:18" s="152" customFormat="1" ht="15" customHeight="1">
      <c r="A121" s="64"/>
      <c r="B121" s="7">
        <f t="shared" si="59"/>
        <v>77</v>
      </c>
      <c r="C121" s="18" t="s">
        <v>1272</v>
      </c>
      <c r="D121" s="210" t="s">
        <v>1370</v>
      </c>
      <c r="E121" s="210" t="s">
        <v>173</v>
      </c>
      <c r="F121" s="210" t="s">
        <v>1956</v>
      </c>
      <c r="G121" s="203">
        <v>2019</v>
      </c>
      <c r="H121" s="7" t="s">
        <v>25</v>
      </c>
      <c r="I121" s="86">
        <v>43</v>
      </c>
      <c r="J121" s="247">
        <v>22682</v>
      </c>
      <c r="K121" s="207">
        <v>314.01899999999966</v>
      </c>
      <c r="L121" s="207">
        <v>20.916999999999998</v>
      </c>
      <c r="M121" s="207">
        <v>385.06400000000036</v>
      </c>
      <c r="N121" s="129">
        <f t="shared" si="77"/>
        <v>0.9375492631428094</v>
      </c>
      <c r="O121" s="129">
        <f t="shared" si="78"/>
        <v>0.97094861111111119</v>
      </c>
      <c r="P121" s="129">
        <f t="shared" si="79"/>
        <v>0.44918700640696402</v>
      </c>
      <c r="Q121" s="117">
        <f t="shared" si="80"/>
        <v>72.231298106165625</v>
      </c>
      <c r="R121" s="152" t="str">
        <f t="shared" si="76"/>
        <v>PTP</v>
      </c>
    </row>
    <row r="122" spans="1:18" s="152" customFormat="1" ht="15" customHeight="1">
      <c r="A122" s="64"/>
      <c r="B122" s="7">
        <f t="shared" si="59"/>
        <v>78</v>
      </c>
      <c r="C122" s="18" t="s">
        <v>1272</v>
      </c>
      <c r="D122" s="210" t="s">
        <v>1371</v>
      </c>
      <c r="E122" s="7" t="s">
        <v>173</v>
      </c>
      <c r="F122" s="210" t="s">
        <v>1956</v>
      </c>
      <c r="G122" s="203">
        <v>2019</v>
      </c>
      <c r="H122" s="7" t="s">
        <v>25</v>
      </c>
      <c r="I122" s="86">
        <v>43</v>
      </c>
      <c r="J122" s="247">
        <v>22538</v>
      </c>
      <c r="K122" s="207">
        <v>329.79000000000008</v>
      </c>
      <c r="L122" s="207">
        <v>7.6660000000000004</v>
      </c>
      <c r="M122" s="207">
        <v>382.54399999999993</v>
      </c>
      <c r="N122" s="129">
        <f t="shared" si="77"/>
        <v>0.97728296429756767</v>
      </c>
      <c r="O122" s="129">
        <f t="shared" si="78"/>
        <v>0.98935277777777786</v>
      </c>
      <c r="P122" s="129">
        <f t="shared" si="79"/>
        <v>0.46297102202056906</v>
      </c>
      <c r="Q122" s="117">
        <f t="shared" si="80"/>
        <v>68.340459080020608</v>
      </c>
      <c r="R122" s="152" t="str">
        <f t="shared" si="76"/>
        <v>PTP</v>
      </c>
    </row>
    <row r="123" spans="1:18" s="152" customFormat="1" ht="15" customHeight="1">
      <c r="A123" s="64"/>
      <c r="B123" s="7">
        <f t="shared" si="59"/>
        <v>79</v>
      </c>
      <c r="C123" s="18" t="s">
        <v>1272</v>
      </c>
      <c r="D123" s="210" t="s">
        <v>1372</v>
      </c>
      <c r="E123" s="7" t="s">
        <v>173</v>
      </c>
      <c r="F123" s="210" t="s">
        <v>1957</v>
      </c>
      <c r="G123" s="203">
        <v>2019</v>
      </c>
      <c r="H123" s="7" t="s">
        <v>25</v>
      </c>
      <c r="I123" s="86">
        <v>43</v>
      </c>
      <c r="J123" s="247">
        <v>18429</v>
      </c>
      <c r="K123" s="207">
        <v>231.25099999999989</v>
      </c>
      <c r="L123" s="207">
        <v>179.75</v>
      </c>
      <c r="M123" s="207">
        <v>308.99900000000014</v>
      </c>
      <c r="N123" s="129">
        <f t="shared" si="77"/>
        <v>0.5626531322308217</v>
      </c>
      <c r="O123" s="129">
        <f t="shared" si="78"/>
        <v>0.75034722222222228</v>
      </c>
      <c r="P123" s="129">
        <f t="shared" si="79"/>
        <v>0.42804442387783415</v>
      </c>
      <c r="Q123" s="117">
        <f t="shared" si="80"/>
        <v>79.692628356201737</v>
      </c>
      <c r="R123" s="152" t="b">
        <f t="shared" si="76"/>
        <v>0</v>
      </c>
    </row>
    <row r="124" spans="1:18" s="152" customFormat="1" ht="15" customHeight="1">
      <c r="A124" s="64"/>
      <c r="B124" s="7">
        <f t="shared" si="59"/>
        <v>80</v>
      </c>
      <c r="C124" s="18" t="s">
        <v>1272</v>
      </c>
      <c r="D124" s="210" t="s">
        <v>1373</v>
      </c>
      <c r="E124" s="7" t="s">
        <v>173</v>
      </c>
      <c r="F124" s="210" t="s">
        <v>1956</v>
      </c>
      <c r="G124" s="203">
        <v>2019</v>
      </c>
      <c r="H124" s="7" t="s">
        <v>25</v>
      </c>
      <c r="I124" s="86">
        <v>43</v>
      </c>
      <c r="J124" s="247">
        <v>28928</v>
      </c>
      <c r="K124" s="207">
        <v>338.90299999999985</v>
      </c>
      <c r="L124" s="207">
        <v>5.3000000000000007</v>
      </c>
      <c r="M124" s="207">
        <v>375.79700000000014</v>
      </c>
      <c r="N124" s="129">
        <f t="shared" si="77"/>
        <v>0.98460210980148344</v>
      </c>
      <c r="O124" s="129">
        <f t="shared" si="78"/>
        <v>0.99263888888888896</v>
      </c>
      <c r="P124" s="129">
        <f t="shared" si="79"/>
        <v>0.47418917028123664</v>
      </c>
      <c r="Q124" s="117">
        <f t="shared" si="80"/>
        <v>85.357757234370936</v>
      </c>
      <c r="R124" s="152" t="str">
        <f t="shared" si="76"/>
        <v>PTP</v>
      </c>
    </row>
    <row r="125" spans="1:18" s="152" customFormat="1" ht="15" customHeight="1">
      <c r="A125" s="64"/>
      <c r="B125" s="7">
        <f t="shared" si="59"/>
        <v>81</v>
      </c>
      <c r="C125" s="18" t="s">
        <v>1272</v>
      </c>
      <c r="D125" s="210" t="s">
        <v>1374</v>
      </c>
      <c r="E125" s="7" t="s">
        <v>173</v>
      </c>
      <c r="F125" s="210" t="s">
        <v>1957</v>
      </c>
      <c r="G125" s="203">
        <v>2019</v>
      </c>
      <c r="H125" s="7" t="s">
        <v>25</v>
      </c>
      <c r="I125" s="86">
        <v>43</v>
      </c>
      <c r="J125" s="247">
        <v>18850</v>
      </c>
      <c r="K125" s="207">
        <v>290.08600000000013</v>
      </c>
      <c r="L125" s="207">
        <v>16.448999999999998</v>
      </c>
      <c r="M125" s="207">
        <v>413.46499999999986</v>
      </c>
      <c r="N125" s="129">
        <f t="shared" si="77"/>
        <v>0.94633891725251607</v>
      </c>
      <c r="O125" s="129">
        <f t="shared" si="78"/>
        <v>0.97715416666666655</v>
      </c>
      <c r="P125" s="129">
        <f t="shared" si="79"/>
        <v>0.41231694646159289</v>
      </c>
      <c r="Q125" s="117">
        <f t="shared" si="80"/>
        <v>64.980729852526466</v>
      </c>
      <c r="R125" s="152" t="str">
        <f t="shared" si="76"/>
        <v>PTP</v>
      </c>
    </row>
    <row r="126" spans="1:18" s="152" customFormat="1" ht="15" customHeight="1">
      <c r="A126" s="64"/>
      <c r="B126" s="7">
        <f t="shared" si="59"/>
        <v>82</v>
      </c>
      <c r="C126" s="18" t="s">
        <v>1272</v>
      </c>
      <c r="D126" s="210" t="s">
        <v>1375</v>
      </c>
      <c r="E126" s="7" t="s">
        <v>173</v>
      </c>
      <c r="F126" s="210" t="s">
        <v>1956</v>
      </c>
      <c r="G126" s="203">
        <v>2019</v>
      </c>
      <c r="H126" s="7" t="s">
        <v>25</v>
      </c>
      <c r="I126" s="86">
        <v>43</v>
      </c>
      <c r="J126" s="247">
        <v>20979</v>
      </c>
      <c r="K126" s="207">
        <v>297.90100000000001</v>
      </c>
      <c r="L126" s="207">
        <v>74.551000000000002</v>
      </c>
      <c r="M126" s="207">
        <v>347.548</v>
      </c>
      <c r="N126" s="129">
        <f t="shared" si="77"/>
        <v>0.79983729447015994</v>
      </c>
      <c r="O126" s="129">
        <f t="shared" si="78"/>
        <v>0.89645694444444457</v>
      </c>
      <c r="P126" s="129">
        <f t="shared" si="79"/>
        <v>0.46154072591327894</v>
      </c>
      <c r="Q126" s="117">
        <f t="shared" si="80"/>
        <v>70.422724327880729</v>
      </c>
      <c r="R126" s="152" t="b">
        <f t="shared" si="76"/>
        <v>0</v>
      </c>
    </row>
    <row r="127" spans="1:18" s="152" customFormat="1" ht="15" customHeight="1">
      <c r="A127" s="64"/>
      <c r="B127" s="7">
        <f t="shared" si="59"/>
        <v>83</v>
      </c>
      <c r="C127" s="18" t="s">
        <v>1272</v>
      </c>
      <c r="D127" s="210" t="s">
        <v>1376</v>
      </c>
      <c r="E127" s="7" t="s">
        <v>173</v>
      </c>
      <c r="F127" s="210" t="s">
        <v>1956</v>
      </c>
      <c r="G127" s="203">
        <v>2019</v>
      </c>
      <c r="H127" s="7" t="s">
        <v>25</v>
      </c>
      <c r="I127" s="86">
        <v>43</v>
      </c>
      <c r="J127" s="247">
        <v>25710</v>
      </c>
      <c r="K127" s="207">
        <v>365.89699999999993</v>
      </c>
      <c r="L127" s="207">
        <v>8.8829999999999991</v>
      </c>
      <c r="M127" s="207">
        <v>345.22000000000008</v>
      </c>
      <c r="N127" s="129">
        <f t="shared" si="77"/>
        <v>0.97629809488233099</v>
      </c>
      <c r="O127" s="129">
        <f t="shared" si="78"/>
        <v>0.9876625</v>
      </c>
      <c r="P127" s="129">
        <f t="shared" si="79"/>
        <v>0.51453839522891442</v>
      </c>
      <c r="Q127" s="117">
        <f t="shared" si="80"/>
        <v>70.265675859599838</v>
      </c>
      <c r="R127" s="152" t="str">
        <f t="shared" si="76"/>
        <v>PTP</v>
      </c>
    </row>
    <row r="128" spans="1:18" s="152" customFormat="1" ht="15" customHeight="1">
      <c r="A128" s="64"/>
      <c r="B128" s="7">
        <f t="shared" si="59"/>
        <v>84</v>
      </c>
      <c r="C128" s="18" t="s">
        <v>1272</v>
      </c>
      <c r="D128" s="210" t="s">
        <v>1377</v>
      </c>
      <c r="E128" s="7" t="s">
        <v>30</v>
      </c>
      <c r="F128" s="210" t="s">
        <v>1959</v>
      </c>
      <c r="G128" s="203">
        <v>2019</v>
      </c>
      <c r="H128" s="7" t="s">
        <v>25</v>
      </c>
      <c r="I128" s="86">
        <v>43</v>
      </c>
      <c r="J128" s="247">
        <v>24208</v>
      </c>
      <c r="K128" s="207">
        <v>332.43700000000024</v>
      </c>
      <c r="L128" s="207">
        <v>18.381999999999998</v>
      </c>
      <c r="M128" s="207">
        <v>369.18099999999976</v>
      </c>
      <c r="N128" s="129">
        <f t="shared" si="77"/>
        <v>0.94760260989285072</v>
      </c>
      <c r="O128" s="129">
        <f t="shared" si="78"/>
        <v>0.97446944444444439</v>
      </c>
      <c r="P128" s="129">
        <f t="shared" si="79"/>
        <v>0.47381481090850047</v>
      </c>
      <c r="Q128" s="117">
        <f t="shared" si="80"/>
        <v>72.819812475747227</v>
      </c>
      <c r="R128" s="152" t="str">
        <f t="shared" si="76"/>
        <v>PTP</v>
      </c>
    </row>
    <row r="129" spans="1:18" s="152" customFormat="1" ht="15" customHeight="1">
      <c r="A129" s="64"/>
      <c r="B129" s="7">
        <f t="shared" si="59"/>
        <v>85</v>
      </c>
      <c r="C129" s="18" t="s">
        <v>1272</v>
      </c>
      <c r="D129" s="210" t="s">
        <v>1378</v>
      </c>
      <c r="E129" s="7" t="s">
        <v>30</v>
      </c>
      <c r="F129" s="210" t="s">
        <v>1959</v>
      </c>
      <c r="G129" s="203">
        <v>2019</v>
      </c>
      <c r="H129" s="7" t="s">
        <v>25</v>
      </c>
      <c r="I129" s="86">
        <v>43</v>
      </c>
      <c r="J129" s="247">
        <v>26401</v>
      </c>
      <c r="K129" s="207">
        <v>363.3880000000002</v>
      </c>
      <c r="L129" s="207">
        <v>6.4169999999999998</v>
      </c>
      <c r="M129" s="207">
        <v>350.19499999999982</v>
      </c>
      <c r="N129" s="129">
        <f t="shared" si="77"/>
        <v>0.98264761157907554</v>
      </c>
      <c r="O129" s="129">
        <f t="shared" si="78"/>
        <v>0.99108750000000012</v>
      </c>
      <c r="P129" s="129">
        <f t="shared" si="79"/>
        <v>0.50924419443848878</v>
      </c>
      <c r="Q129" s="117">
        <f t="shared" si="80"/>
        <v>72.652371569782119</v>
      </c>
      <c r="R129" s="152" t="str">
        <f t="shared" si="76"/>
        <v>PTP</v>
      </c>
    </row>
    <row r="130" spans="1:18" s="152" customFormat="1" ht="15" customHeight="1">
      <c r="A130" s="64"/>
      <c r="B130" s="7">
        <f t="shared" si="59"/>
        <v>86</v>
      </c>
      <c r="C130" s="18" t="s">
        <v>1272</v>
      </c>
      <c r="D130" s="210" t="s">
        <v>1379</v>
      </c>
      <c r="E130" s="210" t="s">
        <v>30</v>
      </c>
      <c r="F130" s="210" t="s">
        <v>1959</v>
      </c>
      <c r="G130" s="203">
        <v>2019</v>
      </c>
      <c r="H130" s="7" t="s">
        <v>25</v>
      </c>
      <c r="I130" s="86">
        <v>43</v>
      </c>
      <c r="J130" s="247">
        <v>27405</v>
      </c>
      <c r="K130" s="207">
        <v>359.63899999999995</v>
      </c>
      <c r="L130" s="207">
        <v>11.882999999999999</v>
      </c>
      <c r="M130" s="207">
        <v>348.47800000000007</v>
      </c>
      <c r="N130" s="129">
        <f t="shared" si="77"/>
        <v>0.96801535306119157</v>
      </c>
      <c r="O130" s="129">
        <f t="shared" si="78"/>
        <v>0.98349583333333324</v>
      </c>
      <c r="P130" s="129">
        <f t="shared" si="79"/>
        <v>0.50788075981793968</v>
      </c>
      <c r="Q130" s="117">
        <f t="shared" si="80"/>
        <v>76.20141308367559</v>
      </c>
      <c r="R130" s="152" t="str">
        <f t="shared" si="76"/>
        <v>PTP</v>
      </c>
    </row>
    <row r="131" spans="1:18" s="152" customFormat="1" ht="15" customHeight="1">
      <c r="A131" s="64"/>
      <c r="B131" s="7">
        <f t="shared" si="59"/>
        <v>87</v>
      </c>
      <c r="C131" s="18" t="s">
        <v>1272</v>
      </c>
      <c r="D131" s="210" t="s">
        <v>1380</v>
      </c>
      <c r="E131" s="210" t="s">
        <v>30</v>
      </c>
      <c r="F131" s="210" t="s">
        <v>1959</v>
      </c>
      <c r="G131" s="203">
        <v>2019</v>
      </c>
      <c r="H131" s="7" t="s">
        <v>25</v>
      </c>
      <c r="I131" s="86">
        <v>43</v>
      </c>
      <c r="J131" s="247">
        <v>27072</v>
      </c>
      <c r="K131" s="207">
        <v>326.69200000000006</v>
      </c>
      <c r="L131" s="207">
        <v>59.599000000000004</v>
      </c>
      <c r="M131" s="207">
        <v>333.70899999999995</v>
      </c>
      <c r="N131" s="129">
        <f t="shared" si="77"/>
        <v>0.84571475908058957</v>
      </c>
      <c r="O131" s="129">
        <f t="shared" si="78"/>
        <v>0.91722361111111117</v>
      </c>
      <c r="P131" s="129">
        <f t="shared" si="79"/>
        <v>0.49468731876541683</v>
      </c>
      <c r="Q131" s="117">
        <f t="shared" si="80"/>
        <v>82.867042964015013</v>
      </c>
      <c r="R131" s="152" t="str">
        <f t="shared" si="76"/>
        <v>PTP</v>
      </c>
    </row>
    <row r="132" spans="1:18" s="152" customFormat="1" ht="15" customHeight="1">
      <c r="A132" s="64"/>
      <c r="B132" s="7">
        <f t="shared" si="59"/>
        <v>88</v>
      </c>
      <c r="C132" s="18" t="s">
        <v>1272</v>
      </c>
      <c r="D132" s="210" t="s">
        <v>1381</v>
      </c>
      <c r="E132" s="210" t="s">
        <v>30</v>
      </c>
      <c r="F132" s="210" t="s">
        <v>1959</v>
      </c>
      <c r="G132" s="203">
        <v>2019</v>
      </c>
      <c r="H132" s="7" t="s">
        <v>25</v>
      </c>
      <c r="I132" s="86">
        <v>43</v>
      </c>
      <c r="J132" s="247">
        <v>30110</v>
      </c>
      <c r="K132" s="207">
        <v>369.63600000000008</v>
      </c>
      <c r="L132" s="207">
        <v>6.8670000000000009</v>
      </c>
      <c r="M132" s="207">
        <v>343.4969999999999</v>
      </c>
      <c r="N132" s="129">
        <f t="shared" si="77"/>
        <v>0.98176110150516727</v>
      </c>
      <c r="O132" s="129">
        <f t="shared" si="78"/>
        <v>0.99046250000000002</v>
      </c>
      <c r="P132" s="129">
        <f t="shared" si="79"/>
        <v>0.51832687591234738</v>
      </c>
      <c r="Q132" s="117">
        <f t="shared" si="80"/>
        <v>81.458515945416551</v>
      </c>
      <c r="R132" s="152" t="str">
        <f t="shared" si="76"/>
        <v>PTP</v>
      </c>
    </row>
    <row r="133" spans="1:18" s="152" customFormat="1" ht="15" customHeight="1">
      <c r="A133" s="64"/>
      <c r="B133" s="7">
        <f t="shared" si="59"/>
        <v>89</v>
      </c>
      <c r="C133" s="18" t="s">
        <v>1272</v>
      </c>
      <c r="D133" s="210" t="s">
        <v>1382</v>
      </c>
      <c r="E133" s="210" t="s">
        <v>30</v>
      </c>
      <c r="F133" s="210" t="s">
        <v>1959</v>
      </c>
      <c r="G133" s="203">
        <v>2019</v>
      </c>
      <c r="H133" s="7" t="s">
        <v>25</v>
      </c>
      <c r="I133" s="86">
        <v>43</v>
      </c>
      <c r="J133" s="247">
        <v>2863</v>
      </c>
      <c r="K133" s="207">
        <v>49.366000000000007</v>
      </c>
      <c r="L133" s="207">
        <v>601.98299999999995</v>
      </c>
      <c r="M133" s="207">
        <v>68.651000000000067</v>
      </c>
      <c r="N133" s="129">
        <f t="shared" si="77"/>
        <v>7.5790398081520063E-2</v>
      </c>
      <c r="O133" s="129">
        <f t="shared" si="78"/>
        <v>0.1639125000000001</v>
      </c>
      <c r="P133" s="129">
        <f t="shared" si="79"/>
        <v>0.41829566926798656</v>
      </c>
      <c r="Q133" s="117">
        <f t="shared" si="80"/>
        <v>57.995381436616285</v>
      </c>
      <c r="R133" s="152" t="b">
        <f t="shared" si="76"/>
        <v>0</v>
      </c>
    </row>
    <row r="134" spans="1:18" s="152" customFormat="1" ht="15" customHeight="1">
      <c r="A134" s="64"/>
      <c r="B134" s="7">
        <f t="shared" si="59"/>
        <v>90</v>
      </c>
      <c r="C134" s="18" t="s">
        <v>1272</v>
      </c>
      <c r="D134" s="210" t="s">
        <v>1383</v>
      </c>
      <c r="E134" s="210" t="s">
        <v>30</v>
      </c>
      <c r="F134" s="210" t="s">
        <v>1959</v>
      </c>
      <c r="G134" s="203">
        <v>2019</v>
      </c>
      <c r="H134" s="7" t="s">
        <v>25</v>
      </c>
      <c r="I134" s="86">
        <v>43</v>
      </c>
      <c r="J134" s="247">
        <v>28853</v>
      </c>
      <c r="K134" s="207">
        <v>362.23500000000018</v>
      </c>
      <c r="L134" s="207">
        <v>12.75</v>
      </c>
      <c r="M134" s="207">
        <v>345.01499999999982</v>
      </c>
      <c r="N134" s="129">
        <f t="shared" si="77"/>
        <v>0.96599863994559787</v>
      </c>
      <c r="O134" s="129">
        <f t="shared" si="78"/>
        <v>0.98229166666666667</v>
      </c>
      <c r="P134" s="129">
        <f t="shared" si="79"/>
        <v>0.51217391304347848</v>
      </c>
      <c r="Q134" s="117">
        <f t="shared" si="80"/>
        <v>79.652711637472876</v>
      </c>
      <c r="R134" s="152" t="str">
        <f t="shared" si="76"/>
        <v>PTP</v>
      </c>
    </row>
    <row r="135" spans="1:18" s="152" customFormat="1" ht="15" customHeight="1">
      <c r="A135" s="64"/>
      <c r="B135" s="7">
        <f t="shared" si="59"/>
        <v>91</v>
      </c>
      <c r="C135" s="18" t="s">
        <v>1272</v>
      </c>
      <c r="D135" s="210" t="s">
        <v>1384</v>
      </c>
      <c r="E135" s="210" t="s">
        <v>30</v>
      </c>
      <c r="F135" s="210" t="s">
        <v>1959</v>
      </c>
      <c r="G135" s="203">
        <v>2019</v>
      </c>
      <c r="H135" s="7" t="s">
        <v>25</v>
      </c>
      <c r="I135" s="86">
        <v>43</v>
      </c>
      <c r="J135" s="247">
        <v>19099</v>
      </c>
      <c r="K135" s="207">
        <v>231.25499999999988</v>
      </c>
      <c r="L135" s="207">
        <v>169.18299999999999</v>
      </c>
      <c r="M135" s="207">
        <v>319.56200000000013</v>
      </c>
      <c r="N135" s="129">
        <f t="shared" si="77"/>
        <v>0.57750513188059061</v>
      </c>
      <c r="O135" s="129">
        <f t="shared" si="78"/>
        <v>0.76502361111111117</v>
      </c>
      <c r="P135" s="129">
        <f t="shared" si="79"/>
        <v>0.41983998315229898</v>
      </c>
      <c r="Q135" s="117">
        <f t="shared" si="80"/>
        <v>82.588484573306559</v>
      </c>
      <c r="R135" s="152" t="b">
        <f t="shared" si="76"/>
        <v>0</v>
      </c>
    </row>
    <row r="136" spans="1:18" s="152" customFormat="1" ht="15" customHeight="1">
      <c r="A136" s="64"/>
      <c r="B136" s="7">
        <f t="shared" si="59"/>
        <v>92</v>
      </c>
      <c r="C136" s="18" t="s">
        <v>1272</v>
      </c>
      <c r="D136" s="210" t="s">
        <v>1385</v>
      </c>
      <c r="E136" s="210" t="s">
        <v>30</v>
      </c>
      <c r="F136" s="210" t="s">
        <v>1959</v>
      </c>
      <c r="G136" s="203">
        <v>2019</v>
      </c>
      <c r="H136" s="7" t="s">
        <v>25</v>
      </c>
      <c r="I136" s="86">
        <v>43</v>
      </c>
      <c r="J136" s="247">
        <v>17495</v>
      </c>
      <c r="K136" s="207">
        <v>248.49099999999996</v>
      </c>
      <c r="L136" s="207">
        <v>27.166999999999998</v>
      </c>
      <c r="M136" s="207">
        <v>444.34200000000004</v>
      </c>
      <c r="N136" s="129">
        <f t="shared" si="77"/>
        <v>0.90144672021127625</v>
      </c>
      <c r="O136" s="129">
        <f t="shared" si="78"/>
        <v>0.9622680555555555</v>
      </c>
      <c r="P136" s="129">
        <f t="shared" si="79"/>
        <v>0.35865930173649346</v>
      </c>
      <c r="Q136" s="117">
        <f t="shared" si="80"/>
        <v>70.40496436490659</v>
      </c>
      <c r="R136" s="152" t="str">
        <f t="shared" si="76"/>
        <v>PTP</v>
      </c>
    </row>
    <row r="137" spans="1:18" s="152" customFormat="1" ht="15" customHeight="1">
      <c r="A137" s="64"/>
      <c r="B137" s="7">
        <f t="shared" si="59"/>
        <v>93</v>
      </c>
      <c r="C137" s="18" t="s">
        <v>1272</v>
      </c>
      <c r="D137" s="210" t="s">
        <v>1386</v>
      </c>
      <c r="E137" s="210" t="s">
        <v>30</v>
      </c>
      <c r="F137" s="210" t="s">
        <v>1959</v>
      </c>
      <c r="G137" s="203">
        <v>2019</v>
      </c>
      <c r="H137" s="7" t="s">
        <v>25</v>
      </c>
      <c r="I137" s="86">
        <v>43</v>
      </c>
      <c r="J137" s="247">
        <v>22596</v>
      </c>
      <c r="K137" s="207">
        <v>278.35399999999993</v>
      </c>
      <c r="L137" s="207">
        <v>23.098999999999997</v>
      </c>
      <c r="M137" s="207">
        <v>418.54700000000008</v>
      </c>
      <c r="N137" s="129">
        <f t="shared" si="77"/>
        <v>0.92337445638291871</v>
      </c>
      <c r="O137" s="129">
        <f t="shared" si="78"/>
        <v>0.96791805555555566</v>
      </c>
      <c r="P137" s="129">
        <f t="shared" si="79"/>
        <v>0.39941684686921086</v>
      </c>
      <c r="Q137" s="117">
        <f t="shared" si="80"/>
        <v>81.177206003865606</v>
      </c>
      <c r="R137" s="152" t="str">
        <f t="shared" si="76"/>
        <v>PTP</v>
      </c>
    </row>
    <row r="138" spans="1:18" s="152" customFormat="1" ht="15" customHeight="1">
      <c r="A138" s="64"/>
      <c r="B138" s="7">
        <f t="shared" si="59"/>
        <v>94</v>
      </c>
      <c r="C138" s="18" t="s">
        <v>1272</v>
      </c>
      <c r="D138" s="210" t="s">
        <v>1387</v>
      </c>
      <c r="E138" s="210" t="s">
        <v>30</v>
      </c>
      <c r="F138" s="210" t="s">
        <v>1959</v>
      </c>
      <c r="G138" s="203">
        <v>2019</v>
      </c>
      <c r="H138" s="7" t="s">
        <v>25</v>
      </c>
      <c r="I138" s="86">
        <v>43</v>
      </c>
      <c r="J138" s="247">
        <v>14491</v>
      </c>
      <c r="K138" s="207">
        <v>180.96699999999996</v>
      </c>
      <c r="L138" s="207">
        <v>136.03299999999999</v>
      </c>
      <c r="M138" s="207">
        <v>403</v>
      </c>
      <c r="N138" s="129">
        <f t="shared" si="77"/>
        <v>0.5708738170347003</v>
      </c>
      <c r="O138" s="129">
        <f t="shared" si="78"/>
        <v>0.8110652777777777</v>
      </c>
      <c r="P138" s="129">
        <f t="shared" si="79"/>
        <v>0.30989251104942567</v>
      </c>
      <c r="Q138" s="117">
        <f t="shared" si="80"/>
        <v>80.07537285803491</v>
      </c>
      <c r="R138" s="152" t="b">
        <f t="shared" si="76"/>
        <v>0</v>
      </c>
    </row>
    <row r="139" spans="1:18" s="152" customFormat="1" ht="15" customHeight="1">
      <c r="A139" s="64"/>
      <c r="B139" s="7">
        <f t="shared" si="59"/>
        <v>95</v>
      </c>
      <c r="C139" s="18" t="s">
        <v>1272</v>
      </c>
      <c r="D139" s="210" t="s">
        <v>1388</v>
      </c>
      <c r="E139" s="210" t="s">
        <v>30</v>
      </c>
      <c r="F139" s="210" t="s">
        <v>1959</v>
      </c>
      <c r="G139" s="203">
        <v>2019</v>
      </c>
      <c r="H139" s="7" t="s">
        <v>25</v>
      </c>
      <c r="I139" s="86">
        <v>43</v>
      </c>
      <c r="J139" s="247">
        <v>25798</v>
      </c>
      <c r="K139" s="207">
        <v>326.72299999999979</v>
      </c>
      <c r="L139" s="207">
        <v>17.983000000000001</v>
      </c>
      <c r="M139" s="207">
        <v>375.29400000000021</v>
      </c>
      <c r="N139" s="129">
        <f t="shared" si="77"/>
        <v>0.94783090517716539</v>
      </c>
      <c r="O139" s="129">
        <f t="shared" si="78"/>
        <v>0.97502361111111113</v>
      </c>
      <c r="P139" s="129">
        <f t="shared" si="79"/>
        <v>0.46540610839908403</v>
      </c>
      <c r="Q139" s="117">
        <f t="shared" si="80"/>
        <v>78.959852841703878</v>
      </c>
      <c r="R139" s="152" t="str">
        <f t="shared" si="76"/>
        <v>PTP</v>
      </c>
    </row>
    <row r="140" spans="1:18" s="152" customFormat="1" ht="15" customHeight="1">
      <c r="A140" s="64"/>
      <c r="B140" s="7">
        <f t="shared" si="59"/>
        <v>96</v>
      </c>
      <c r="C140" s="18" t="s">
        <v>1272</v>
      </c>
      <c r="D140" s="210" t="s">
        <v>1389</v>
      </c>
      <c r="E140" s="210" t="s">
        <v>173</v>
      </c>
      <c r="F140" s="210" t="s">
        <v>1956</v>
      </c>
      <c r="G140" s="203">
        <v>2019</v>
      </c>
      <c r="H140" s="7" t="s">
        <v>25</v>
      </c>
      <c r="I140" s="86">
        <v>43</v>
      </c>
      <c r="J140" s="247">
        <v>16113</v>
      </c>
      <c r="K140" s="207">
        <v>215.70499999999996</v>
      </c>
      <c r="L140" s="207">
        <v>196.55099999999999</v>
      </c>
      <c r="M140" s="207">
        <v>307.74400000000009</v>
      </c>
      <c r="N140" s="129">
        <f t="shared" si="77"/>
        <v>0.52323071101451513</v>
      </c>
      <c r="O140" s="129">
        <f t="shared" si="78"/>
        <v>0.72701250000000006</v>
      </c>
      <c r="P140" s="129">
        <f t="shared" si="79"/>
        <v>0.41208408077959824</v>
      </c>
      <c r="Q140" s="117">
        <f t="shared" si="80"/>
        <v>74.699242020351889</v>
      </c>
      <c r="R140" s="152" t="b">
        <f t="shared" si="76"/>
        <v>0</v>
      </c>
    </row>
    <row r="141" spans="1:18" s="152" customFormat="1" ht="15" customHeight="1">
      <c r="A141" s="64"/>
      <c r="B141" s="7">
        <f t="shared" si="59"/>
        <v>97</v>
      </c>
      <c r="C141" s="18" t="s">
        <v>1272</v>
      </c>
      <c r="D141" s="210" t="s">
        <v>1390</v>
      </c>
      <c r="E141" s="210" t="s">
        <v>173</v>
      </c>
      <c r="F141" s="210" t="s">
        <v>1956</v>
      </c>
      <c r="G141" s="203">
        <v>2019</v>
      </c>
      <c r="H141" s="7" t="s">
        <v>25</v>
      </c>
      <c r="I141" s="86">
        <v>43</v>
      </c>
      <c r="J141" s="247">
        <v>15662</v>
      </c>
      <c r="K141" s="207">
        <v>204.83899999999997</v>
      </c>
      <c r="L141" s="207">
        <v>150.06899999999999</v>
      </c>
      <c r="M141" s="207">
        <v>365.0920000000001</v>
      </c>
      <c r="N141" s="129">
        <f t="shared" si="77"/>
        <v>0.57716084168291504</v>
      </c>
      <c r="O141" s="129">
        <f t="shared" si="78"/>
        <v>0.79157083333333333</v>
      </c>
      <c r="P141" s="129">
        <f t="shared" si="79"/>
        <v>0.35941017421407145</v>
      </c>
      <c r="Q141" s="117">
        <f t="shared" si="80"/>
        <v>76.460049111741426</v>
      </c>
      <c r="R141" s="152" t="b">
        <f t="shared" si="76"/>
        <v>0</v>
      </c>
    </row>
    <row r="142" spans="1:18" s="152" customFormat="1" ht="15" customHeight="1">
      <c r="A142" s="64"/>
      <c r="B142" s="7">
        <f t="shared" si="59"/>
        <v>98</v>
      </c>
      <c r="C142" s="18" t="s">
        <v>1272</v>
      </c>
      <c r="D142" s="210" t="s">
        <v>1391</v>
      </c>
      <c r="E142" s="7" t="s">
        <v>173</v>
      </c>
      <c r="F142" s="210" t="s">
        <v>1956</v>
      </c>
      <c r="G142" s="203">
        <v>2019</v>
      </c>
      <c r="H142" s="7" t="s">
        <v>25</v>
      </c>
      <c r="I142" s="86">
        <v>43</v>
      </c>
      <c r="J142" s="247">
        <v>19438</v>
      </c>
      <c r="K142" s="207">
        <v>269.99899999999997</v>
      </c>
      <c r="L142" s="207">
        <v>49.983000000000004</v>
      </c>
      <c r="M142" s="207">
        <v>400.01800000000003</v>
      </c>
      <c r="N142" s="129">
        <f t="shared" si="77"/>
        <v>0.84379433843153673</v>
      </c>
      <c r="O142" s="129">
        <f t="shared" si="78"/>
        <v>0.93057916666666673</v>
      </c>
      <c r="P142" s="129">
        <f t="shared" si="79"/>
        <v>0.40297335739242429</v>
      </c>
      <c r="Q142" s="117">
        <f t="shared" si="80"/>
        <v>71.992859232811981</v>
      </c>
      <c r="R142" s="152" t="str">
        <f t="shared" si="76"/>
        <v>PTP</v>
      </c>
    </row>
    <row r="143" spans="1:18" s="152" customFormat="1" ht="15" customHeight="1">
      <c r="A143" s="64"/>
      <c r="B143" s="7">
        <f t="shared" si="59"/>
        <v>99</v>
      </c>
      <c r="C143" s="18" t="s">
        <v>1272</v>
      </c>
      <c r="D143" s="7" t="s">
        <v>1392</v>
      </c>
      <c r="E143" s="7" t="s">
        <v>173</v>
      </c>
      <c r="F143" s="7" t="s">
        <v>1956</v>
      </c>
      <c r="G143" s="178">
        <v>2019</v>
      </c>
      <c r="H143" s="7" t="s">
        <v>25</v>
      </c>
      <c r="I143" s="86">
        <v>43</v>
      </c>
      <c r="J143" s="135">
        <v>14491</v>
      </c>
      <c r="K143" s="116">
        <v>202.11000000000004</v>
      </c>
      <c r="L143" s="116">
        <v>6.3840000000000003</v>
      </c>
      <c r="M143" s="116">
        <v>511.50599999999997</v>
      </c>
      <c r="N143" s="129">
        <f t="shared" si="72"/>
        <v>0.96938041382485829</v>
      </c>
      <c r="O143" s="129">
        <f t="shared" si="73"/>
        <v>0.99113333333333331</v>
      </c>
      <c r="P143" s="129">
        <f t="shared" si="74"/>
        <v>0.28321954664693622</v>
      </c>
      <c r="Q143" s="117">
        <f t="shared" si="75"/>
        <v>71.698579981198336</v>
      </c>
      <c r="R143" s="152" t="str">
        <f t="shared" si="76"/>
        <v>PTP</v>
      </c>
    </row>
    <row r="144" spans="1:18" s="152" customFormat="1" ht="15" customHeight="1">
      <c r="A144" s="64"/>
      <c r="B144" s="7">
        <f t="shared" si="59"/>
        <v>100</v>
      </c>
      <c r="C144" s="18" t="s">
        <v>1272</v>
      </c>
      <c r="D144" s="7" t="s">
        <v>1393</v>
      </c>
      <c r="E144" s="7" t="s">
        <v>173</v>
      </c>
      <c r="F144" s="7" t="s">
        <v>1956</v>
      </c>
      <c r="G144" s="178">
        <v>2019</v>
      </c>
      <c r="H144" s="7" t="s">
        <v>25</v>
      </c>
      <c r="I144" s="86">
        <v>43</v>
      </c>
      <c r="J144" s="135">
        <v>17479</v>
      </c>
      <c r="K144" s="116">
        <v>243.64099999999988</v>
      </c>
      <c r="L144" s="116">
        <v>164.85</v>
      </c>
      <c r="M144" s="116">
        <v>311.50900000000013</v>
      </c>
      <c r="N144" s="129">
        <f t="shared" si="72"/>
        <v>0.59644153726765081</v>
      </c>
      <c r="O144" s="129">
        <f t="shared" si="73"/>
        <v>0.77104166666666663</v>
      </c>
      <c r="P144" s="129">
        <f t="shared" si="74"/>
        <v>0.43887417815004931</v>
      </c>
      <c r="Q144" s="117">
        <f t="shared" si="75"/>
        <v>71.740798962407837</v>
      </c>
      <c r="R144" s="152" t="b">
        <f t="shared" si="76"/>
        <v>0</v>
      </c>
    </row>
    <row r="145" spans="1:18" s="152" customFormat="1" ht="15" customHeight="1">
      <c r="A145" s="64"/>
      <c r="B145" s="7">
        <f t="shared" si="59"/>
        <v>101</v>
      </c>
      <c r="C145" s="18" t="s">
        <v>1272</v>
      </c>
      <c r="D145" s="7" t="s">
        <v>1394</v>
      </c>
      <c r="E145" s="7" t="s">
        <v>173</v>
      </c>
      <c r="F145" s="7" t="s">
        <v>1956</v>
      </c>
      <c r="G145" s="178">
        <v>2019</v>
      </c>
      <c r="H145" s="7" t="s">
        <v>25</v>
      </c>
      <c r="I145" s="86">
        <v>43</v>
      </c>
      <c r="J145" s="135">
        <v>16003</v>
      </c>
      <c r="K145" s="116">
        <v>207.10200000000003</v>
      </c>
      <c r="L145" s="116">
        <v>243.935</v>
      </c>
      <c r="M145" s="116">
        <v>268.96299999999991</v>
      </c>
      <c r="N145" s="129">
        <f t="shared" si="72"/>
        <v>0.45916853827956466</v>
      </c>
      <c r="O145" s="129">
        <f t="shared" si="73"/>
        <v>0.6612013888888888</v>
      </c>
      <c r="P145" s="129">
        <f t="shared" si="74"/>
        <v>0.4350288300967306</v>
      </c>
      <c r="Q145" s="117">
        <f t="shared" si="75"/>
        <v>77.27110312792729</v>
      </c>
      <c r="R145" s="152" t="b">
        <f t="shared" si="76"/>
        <v>0</v>
      </c>
    </row>
    <row r="146" spans="1:18" s="152" customFormat="1" ht="15" customHeight="1">
      <c r="A146" s="64"/>
      <c r="B146" s="7">
        <f t="shared" si="59"/>
        <v>102</v>
      </c>
      <c r="C146" s="18" t="s">
        <v>1272</v>
      </c>
      <c r="D146" s="7" t="s">
        <v>1395</v>
      </c>
      <c r="E146" s="7" t="s">
        <v>173</v>
      </c>
      <c r="F146" s="7" t="s">
        <v>1956</v>
      </c>
      <c r="G146" s="178">
        <v>2019</v>
      </c>
      <c r="H146" s="7" t="s">
        <v>25</v>
      </c>
      <c r="I146" s="86">
        <v>43</v>
      </c>
      <c r="J146" s="135">
        <v>13419</v>
      </c>
      <c r="K146" s="116">
        <v>197.25000000000009</v>
      </c>
      <c r="L146" s="116">
        <v>92</v>
      </c>
      <c r="M146" s="116">
        <v>430.74999999999989</v>
      </c>
      <c r="N146" s="129">
        <f t="shared" si="72"/>
        <v>0.68193604148660336</v>
      </c>
      <c r="O146" s="129">
        <f t="shared" si="73"/>
        <v>0.87222222222222223</v>
      </c>
      <c r="P146" s="129">
        <f t="shared" si="74"/>
        <v>0.3140923566878982</v>
      </c>
      <c r="Q146" s="117">
        <f t="shared" si="75"/>
        <v>68.030418250950547</v>
      </c>
      <c r="R146" s="152" t="b">
        <f t="shared" si="76"/>
        <v>0</v>
      </c>
    </row>
    <row r="147" spans="1:18" s="152" customFormat="1" ht="15" customHeight="1">
      <c r="A147" s="64"/>
      <c r="B147" s="7">
        <f t="shared" si="59"/>
        <v>103</v>
      </c>
      <c r="C147" s="18" t="s">
        <v>1272</v>
      </c>
      <c r="D147" s="7" t="s">
        <v>1396</v>
      </c>
      <c r="E147" s="7" t="s">
        <v>30</v>
      </c>
      <c r="F147" s="7" t="s">
        <v>1959</v>
      </c>
      <c r="G147" s="178">
        <v>2019</v>
      </c>
      <c r="H147" s="7" t="s">
        <v>25</v>
      </c>
      <c r="I147" s="86">
        <v>43</v>
      </c>
      <c r="J147" s="135">
        <v>29478</v>
      </c>
      <c r="K147" s="116">
        <v>339.64399999999995</v>
      </c>
      <c r="L147" s="116">
        <v>11.266999999999999</v>
      </c>
      <c r="M147" s="116">
        <v>369.08900000000006</v>
      </c>
      <c r="N147" s="129">
        <f t="shared" si="72"/>
        <v>0.96789214359196496</v>
      </c>
      <c r="O147" s="129">
        <f t="shared" si="73"/>
        <v>0.98435138888888885</v>
      </c>
      <c r="P147" s="129">
        <f t="shared" si="74"/>
        <v>0.47922701496896569</v>
      </c>
      <c r="Q147" s="117">
        <f t="shared" si="75"/>
        <v>86.790875151629365</v>
      </c>
      <c r="R147" s="152" t="str">
        <f t="shared" si="76"/>
        <v>PTP</v>
      </c>
    </row>
    <row r="148" spans="1:18" s="152" customFormat="1" ht="15" customHeight="1">
      <c r="A148" s="64"/>
      <c r="B148" s="7">
        <f t="shared" si="59"/>
        <v>104</v>
      </c>
      <c r="C148" s="18" t="s">
        <v>1272</v>
      </c>
      <c r="D148" s="7" t="s">
        <v>1397</v>
      </c>
      <c r="E148" s="7" t="s">
        <v>30</v>
      </c>
      <c r="F148" s="7" t="s">
        <v>1959</v>
      </c>
      <c r="G148" s="178">
        <v>2019</v>
      </c>
      <c r="H148" s="7" t="s">
        <v>25</v>
      </c>
      <c r="I148" s="86">
        <v>43</v>
      </c>
      <c r="J148" s="135">
        <v>25559</v>
      </c>
      <c r="K148" s="116">
        <v>310.93900000000014</v>
      </c>
      <c r="L148" s="116">
        <v>54.034000000000006</v>
      </c>
      <c r="M148" s="116">
        <v>355.02699999999987</v>
      </c>
      <c r="N148" s="129">
        <f t="shared" si="72"/>
        <v>0.85195069224298792</v>
      </c>
      <c r="O148" s="129">
        <f t="shared" si="73"/>
        <v>0.92495277777777773</v>
      </c>
      <c r="P148" s="129">
        <f t="shared" si="74"/>
        <v>0.46689921107083565</v>
      </c>
      <c r="Q148" s="117">
        <f t="shared" si="75"/>
        <v>82.199402455143897</v>
      </c>
      <c r="R148" s="152" t="str">
        <f t="shared" si="76"/>
        <v>PTP</v>
      </c>
    </row>
    <row r="149" spans="1:18" s="152" customFormat="1" ht="15" customHeight="1">
      <c r="A149" s="64"/>
      <c r="B149" s="7">
        <f t="shared" si="59"/>
        <v>105</v>
      </c>
      <c r="C149" s="18" t="s">
        <v>1272</v>
      </c>
      <c r="D149" s="7" t="s">
        <v>1398</v>
      </c>
      <c r="E149" s="210" t="s">
        <v>30</v>
      </c>
      <c r="F149" s="7" t="s">
        <v>1960</v>
      </c>
      <c r="G149" s="178">
        <v>2019</v>
      </c>
      <c r="H149" s="7" t="s">
        <v>25</v>
      </c>
      <c r="I149" s="86">
        <v>43</v>
      </c>
      <c r="J149" s="135">
        <v>526</v>
      </c>
      <c r="K149" s="116">
        <v>13.700000000000001</v>
      </c>
      <c r="L149" s="116">
        <v>0</v>
      </c>
      <c r="M149" s="116">
        <v>706.3</v>
      </c>
      <c r="N149" s="129">
        <f t="shared" si="72"/>
        <v>1</v>
      </c>
      <c r="O149" s="129">
        <f t="shared" si="73"/>
        <v>1</v>
      </c>
      <c r="P149" s="129">
        <f t="shared" si="74"/>
        <v>1.9027777777777779E-2</v>
      </c>
      <c r="Q149" s="117">
        <f t="shared" si="75"/>
        <v>38.394160583941606</v>
      </c>
      <c r="R149" s="152" t="str">
        <f t="shared" ref="R149:R216" si="81">IF(O149&gt;89.9999999999999%,"PTP")</f>
        <v>PTP</v>
      </c>
    </row>
    <row r="150" spans="1:18" s="152" customFormat="1" ht="15" customHeight="1">
      <c r="A150" s="64"/>
      <c r="B150" s="7">
        <f t="shared" si="59"/>
        <v>106</v>
      </c>
      <c r="C150" s="18" t="s">
        <v>1272</v>
      </c>
      <c r="D150" s="7" t="s">
        <v>1453</v>
      </c>
      <c r="E150" s="210" t="s">
        <v>30</v>
      </c>
      <c r="F150" s="7" t="s">
        <v>1959</v>
      </c>
      <c r="G150" s="178">
        <v>2019</v>
      </c>
      <c r="H150" s="7" t="s">
        <v>25</v>
      </c>
      <c r="I150" s="86">
        <v>43</v>
      </c>
      <c r="J150" s="135">
        <v>2321</v>
      </c>
      <c r="K150" s="116">
        <v>37.205000000000005</v>
      </c>
      <c r="L150" s="116">
        <v>0</v>
      </c>
      <c r="M150" s="116">
        <v>682.79499999999996</v>
      </c>
      <c r="N150" s="129">
        <f t="shared" si="72"/>
        <v>1</v>
      </c>
      <c r="O150" s="129">
        <f t="shared" si="73"/>
        <v>1</v>
      </c>
      <c r="P150" s="129">
        <f t="shared" si="74"/>
        <v>5.1673611111111122E-2</v>
      </c>
      <c r="Q150" s="117">
        <f t="shared" si="75"/>
        <v>62.384088160193514</v>
      </c>
      <c r="R150" s="152" t="str">
        <f t="shared" si="81"/>
        <v>PTP</v>
      </c>
    </row>
    <row r="151" spans="1:18" s="152" customFormat="1" ht="15" customHeight="1">
      <c r="A151" s="64"/>
      <c r="B151" s="7">
        <f t="shared" si="59"/>
        <v>107</v>
      </c>
      <c r="C151" s="18" t="s">
        <v>1272</v>
      </c>
      <c r="D151" s="7" t="s">
        <v>1399</v>
      </c>
      <c r="E151" s="210" t="s">
        <v>30</v>
      </c>
      <c r="F151" s="7" t="s">
        <v>1958</v>
      </c>
      <c r="G151" s="178">
        <v>2019</v>
      </c>
      <c r="H151" s="7" t="s">
        <v>25</v>
      </c>
      <c r="I151" s="86">
        <v>43</v>
      </c>
      <c r="J151" s="135">
        <v>2134</v>
      </c>
      <c r="K151" s="116">
        <v>39.783999999999992</v>
      </c>
      <c r="L151" s="116">
        <v>9.2330000000000005</v>
      </c>
      <c r="M151" s="116">
        <v>670.98300000000006</v>
      </c>
      <c r="N151" s="129">
        <f t="shared" ref="N151:N153" si="82">+K151/(K151+L151)</f>
        <v>0.81163677907664677</v>
      </c>
      <c r="O151" s="129">
        <f t="shared" ref="O151:O153" si="83">+(K151+M151)/(K151+L151+M151)</f>
        <v>0.98717638888888892</v>
      </c>
      <c r="P151" s="129">
        <f t="shared" ref="P151:P153" si="84">+K151/(K151+M151)</f>
        <v>5.5973335847049721E-2</v>
      </c>
      <c r="Q151" s="117">
        <f t="shared" ref="Q151:Q153" si="85">+J151/K151</f>
        <v>53.639654132314512</v>
      </c>
      <c r="R151" s="152" t="str">
        <f t="shared" si="81"/>
        <v>PTP</v>
      </c>
    </row>
    <row r="152" spans="1:18" s="152" customFormat="1" ht="15" customHeight="1">
      <c r="A152" s="64"/>
      <c r="B152" s="7">
        <f t="shared" si="59"/>
        <v>108</v>
      </c>
      <c r="C152" s="18" t="s">
        <v>1272</v>
      </c>
      <c r="D152" s="7" t="s">
        <v>1400</v>
      </c>
      <c r="E152" s="210" t="s">
        <v>30</v>
      </c>
      <c r="F152" s="7" t="s">
        <v>1960</v>
      </c>
      <c r="G152" s="178">
        <v>2019</v>
      </c>
      <c r="H152" s="7" t="s">
        <v>25</v>
      </c>
      <c r="I152" s="86">
        <v>43</v>
      </c>
      <c r="J152" s="135">
        <v>2615</v>
      </c>
      <c r="K152" s="116">
        <v>36.949999999999996</v>
      </c>
      <c r="L152" s="116">
        <v>0</v>
      </c>
      <c r="M152" s="116">
        <v>683.05</v>
      </c>
      <c r="N152" s="129">
        <f t="shared" si="82"/>
        <v>1</v>
      </c>
      <c r="O152" s="129">
        <f t="shared" si="83"/>
        <v>1</v>
      </c>
      <c r="P152" s="129">
        <f t="shared" si="84"/>
        <v>5.1319444444444438E-2</v>
      </c>
      <c r="Q152" s="117">
        <f t="shared" si="85"/>
        <v>70.771312584573749</v>
      </c>
      <c r="R152" s="152" t="str">
        <f t="shared" si="81"/>
        <v>PTP</v>
      </c>
    </row>
    <row r="153" spans="1:18" s="152" customFormat="1" ht="15" customHeight="1">
      <c r="A153" s="64"/>
      <c r="B153" s="7">
        <f t="shared" si="59"/>
        <v>109</v>
      </c>
      <c r="C153" s="18" t="s">
        <v>1272</v>
      </c>
      <c r="D153" s="7" t="s">
        <v>1401</v>
      </c>
      <c r="E153" s="210" t="s">
        <v>30</v>
      </c>
      <c r="F153" s="7" t="s">
        <v>1959</v>
      </c>
      <c r="G153" s="178">
        <v>2019</v>
      </c>
      <c r="H153" s="7" t="s">
        <v>25</v>
      </c>
      <c r="I153" s="86">
        <v>43</v>
      </c>
      <c r="J153" s="135">
        <v>29580</v>
      </c>
      <c r="K153" s="116">
        <v>333.25499999999982</v>
      </c>
      <c r="L153" s="116">
        <v>33.083000000000006</v>
      </c>
      <c r="M153" s="116">
        <v>353.66200000000015</v>
      </c>
      <c r="N153" s="129">
        <f t="shared" si="82"/>
        <v>0.90969268817321702</v>
      </c>
      <c r="O153" s="129">
        <f t="shared" si="83"/>
        <v>0.95405138888888874</v>
      </c>
      <c r="P153" s="129">
        <f t="shared" si="84"/>
        <v>0.4851459492194834</v>
      </c>
      <c r="Q153" s="117">
        <f t="shared" si="85"/>
        <v>88.760858801818472</v>
      </c>
      <c r="R153" s="152" t="str">
        <f t="shared" si="81"/>
        <v>PTP</v>
      </c>
    </row>
    <row r="154" spans="1:18" s="152" customFormat="1" ht="15" customHeight="1">
      <c r="A154" s="64"/>
      <c r="B154" s="7">
        <f t="shared" si="59"/>
        <v>110</v>
      </c>
      <c r="C154" s="18" t="s">
        <v>1272</v>
      </c>
      <c r="D154" s="7" t="s">
        <v>1402</v>
      </c>
      <c r="E154" s="210" t="s">
        <v>338</v>
      </c>
      <c r="F154" s="7" t="s">
        <v>2204</v>
      </c>
      <c r="G154" s="178">
        <v>2019</v>
      </c>
      <c r="H154" s="7" t="s">
        <v>25</v>
      </c>
      <c r="I154" s="86">
        <v>43</v>
      </c>
      <c r="J154" s="135">
        <v>25699</v>
      </c>
      <c r="K154" s="116">
        <v>319.36699999999979</v>
      </c>
      <c r="L154" s="116">
        <v>23.216999999999999</v>
      </c>
      <c r="M154" s="116">
        <v>377.41600000000022</v>
      </c>
      <c r="N154" s="129">
        <f t="shared" ref="N154" si="86">+K154/(K154+L154)</f>
        <v>0.93222975970856781</v>
      </c>
      <c r="O154" s="129">
        <f t="shared" ref="O154" si="87">+(K154+M154)/(K154+L154+M154)</f>
        <v>0.96775416666666669</v>
      </c>
      <c r="P154" s="129">
        <f t="shared" ref="P154" si="88">+K154/(K154+M154)</f>
        <v>0.45834499406558393</v>
      </c>
      <c r="Q154" s="117">
        <f t="shared" ref="Q154" si="89">+J154/K154</f>
        <v>80.468551854136521</v>
      </c>
      <c r="R154" s="152" t="str">
        <f t="shared" si="81"/>
        <v>PTP</v>
      </c>
    </row>
    <row r="155" spans="1:18" s="152" customFormat="1" ht="15" customHeight="1">
      <c r="A155" s="64"/>
      <c r="B155" s="7">
        <f t="shared" si="59"/>
        <v>111</v>
      </c>
      <c r="C155" s="18" t="s">
        <v>1272</v>
      </c>
      <c r="D155" s="7" t="s">
        <v>1428</v>
      </c>
      <c r="E155" s="7" t="s">
        <v>338</v>
      </c>
      <c r="F155" s="7" t="s">
        <v>2204</v>
      </c>
      <c r="G155" s="178">
        <v>2019</v>
      </c>
      <c r="H155" s="7" t="s">
        <v>25</v>
      </c>
      <c r="I155" s="86">
        <v>43</v>
      </c>
      <c r="J155" s="135">
        <v>18726</v>
      </c>
      <c r="K155" s="116">
        <v>257.29100000000005</v>
      </c>
      <c r="L155" s="116">
        <v>48.317</v>
      </c>
      <c r="M155" s="116">
        <v>414.39199999999994</v>
      </c>
      <c r="N155" s="129">
        <f t="shared" ref="N155:N165" si="90">+K155/(K155+L155)</f>
        <v>0.84189877228344812</v>
      </c>
      <c r="O155" s="129">
        <f t="shared" ref="O155:O165" si="91">+(K155+M155)/(K155+L155+M155)</f>
        <v>0.93289305555555557</v>
      </c>
      <c r="P155" s="129">
        <f t="shared" ref="P155:P165" si="92">+K155/(K155+M155)</f>
        <v>0.38305420860733419</v>
      </c>
      <c r="Q155" s="117">
        <f t="shared" ref="Q155:Q165" si="93">+J155/K155</f>
        <v>72.781403158291567</v>
      </c>
      <c r="R155" s="152" t="str">
        <f t="shared" si="81"/>
        <v>PTP</v>
      </c>
    </row>
    <row r="156" spans="1:18" s="152" customFormat="1" ht="15" customHeight="1">
      <c r="A156" s="64"/>
      <c r="B156" s="7">
        <f t="shared" si="59"/>
        <v>112</v>
      </c>
      <c r="C156" s="18" t="s">
        <v>1272</v>
      </c>
      <c r="D156" s="7" t="s">
        <v>1403</v>
      </c>
      <c r="E156" s="7" t="s">
        <v>338</v>
      </c>
      <c r="F156" s="7" t="s">
        <v>2205</v>
      </c>
      <c r="G156" s="178">
        <v>2019</v>
      </c>
      <c r="H156" s="7" t="s">
        <v>25</v>
      </c>
      <c r="I156" s="86">
        <v>43</v>
      </c>
      <c r="J156" s="135">
        <v>13674</v>
      </c>
      <c r="K156" s="116">
        <v>203.97699999999989</v>
      </c>
      <c r="L156" s="116">
        <v>290.13400000000001</v>
      </c>
      <c r="M156" s="116">
        <v>225.88900000000012</v>
      </c>
      <c r="N156" s="129">
        <f t="shared" si="90"/>
        <v>0.41281614859818938</v>
      </c>
      <c r="O156" s="129">
        <f t="shared" si="91"/>
        <v>0.5970361111111111</v>
      </c>
      <c r="P156" s="129">
        <f t="shared" si="92"/>
        <v>0.47451298776828105</v>
      </c>
      <c r="Q156" s="117">
        <f t="shared" si="93"/>
        <v>67.036969854444408</v>
      </c>
      <c r="R156" s="152" t="b">
        <f t="shared" si="81"/>
        <v>0</v>
      </c>
    </row>
    <row r="157" spans="1:18" s="152" customFormat="1" ht="15" customHeight="1">
      <c r="A157" s="64"/>
      <c r="B157" s="7">
        <f t="shared" si="59"/>
        <v>113</v>
      </c>
      <c r="C157" s="18" t="s">
        <v>1272</v>
      </c>
      <c r="D157" s="7" t="s">
        <v>1404</v>
      </c>
      <c r="E157" s="210" t="s">
        <v>30</v>
      </c>
      <c r="F157" s="7" t="s">
        <v>1959</v>
      </c>
      <c r="G157" s="178">
        <v>2019</v>
      </c>
      <c r="H157" s="7" t="s">
        <v>25</v>
      </c>
      <c r="I157" s="86">
        <v>43</v>
      </c>
      <c r="J157" s="135">
        <v>27898</v>
      </c>
      <c r="K157" s="116">
        <v>369.89200000000017</v>
      </c>
      <c r="L157" s="116">
        <v>16.314999999999998</v>
      </c>
      <c r="M157" s="116">
        <v>333.79299999999984</v>
      </c>
      <c r="N157" s="129">
        <f t="shared" si="90"/>
        <v>0.95775581488683537</v>
      </c>
      <c r="O157" s="129">
        <f t="shared" si="91"/>
        <v>0.97734027777777766</v>
      </c>
      <c r="P157" s="129">
        <f t="shared" si="92"/>
        <v>0.52564997122291968</v>
      </c>
      <c r="Q157" s="117">
        <f t="shared" si="93"/>
        <v>75.422015074670412</v>
      </c>
      <c r="R157" s="152" t="str">
        <f t="shared" si="81"/>
        <v>PTP</v>
      </c>
    </row>
    <row r="158" spans="1:18" s="152" customFormat="1" ht="15" customHeight="1">
      <c r="A158" s="64"/>
      <c r="B158" s="7">
        <f t="shared" si="59"/>
        <v>114</v>
      </c>
      <c r="C158" s="18" t="s">
        <v>1272</v>
      </c>
      <c r="D158" s="7" t="s">
        <v>1405</v>
      </c>
      <c r="E158" s="7" t="s">
        <v>338</v>
      </c>
      <c r="F158" s="7" t="s">
        <v>2205</v>
      </c>
      <c r="G158" s="178">
        <v>2019</v>
      </c>
      <c r="H158" s="7" t="s">
        <v>25</v>
      </c>
      <c r="I158" s="86">
        <v>43</v>
      </c>
      <c r="J158" s="135">
        <v>24434</v>
      </c>
      <c r="K158" s="116">
        <v>302.286</v>
      </c>
      <c r="L158" s="116">
        <v>48.783000000000001</v>
      </c>
      <c r="M158" s="116">
        <v>368.93099999999998</v>
      </c>
      <c r="N158" s="129">
        <f t="shared" si="90"/>
        <v>0.8610444100732334</v>
      </c>
      <c r="O158" s="129">
        <f t="shared" si="91"/>
        <v>0.93224583333333333</v>
      </c>
      <c r="P158" s="129">
        <f t="shared" si="92"/>
        <v>0.45035510125637462</v>
      </c>
      <c r="Q158" s="117">
        <f t="shared" si="93"/>
        <v>80.83073645488048</v>
      </c>
      <c r="R158" s="152" t="str">
        <f t="shared" si="81"/>
        <v>PTP</v>
      </c>
    </row>
    <row r="159" spans="1:18" s="152" customFormat="1" ht="15" customHeight="1">
      <c r="A159" s="64"/>
      <c r="B159" s="7">
        <f t="shared" si="59"/>
        <v>115</v>
      </c>
      <c r="C159" s="18" t="s">
        <v>1272</v>
      </c>
      <c r="D159" s="7" t="s">
        <v>1406</v>
      </c>
      <c r="E159" s="7" t="s">
        <v>338</v>
      </c>
      <c r="F159" s="7" t="s">
        <v>2205</v>
      </c>
      <c r="G159" s="178">
        <v>2019</v>
      </c>
      <c r="H159" s="7" t="s">
        <v>25</v>
      </c>
      <c r="I159" s="86">
        <v>43</v>
      </c>
      <c r="J159" s="135">
        <v>14733</v>
      </c>
      <c r="K159" s="116">
        <v>186.50399999999999</v>
      </c>
      <c r="L159" s="116">
        <v>23.650000000000002</v>
      </c>
      <c r="M159" s="116">
        <v>509.846</v>
      </c>
      <c r="N159" s="129">
        <f t="shared" si="90"/>
        <v>0.88746347916289958</v>
      </c>
      <c r="O159" s="129">
        <f t="shared" si="91"/>
        <v>0.96715277777777786</v>
      </c>
      <c r="P159" s="129">
        <f t="shared" si="92"/>
        <v>0.26783083219645293</v>
      </c>
      <c r="Q159" s="117">
        <f t="shared" si="93"/>
        <v>78.995624758718321</v>
      </c>
      <c r="R159" s="152" t="str">
        <f t="shared" si="81"/>
        <v>PTP</v>
      </c>
    </row>
    <row r="160" spans="1:18" s="152" customFormat="1" ht="15" customHeight="1">
      <c r="A160" s="64"/>
      <c r="B160" s="7">
        <f t="shared" si="59"/>
        <v>116</v>
      </c>
      <c r="C160" s="18" t="s">
        <v>1272</v>
      </c>
      <c r="D160" s="7" t="s">
        <v>1407</v>
      </c>
      <c r="E160" s="7" t="s">
        <v>338</v>
      </c>
      <c r="F160" s="7" t="s">
        <v>2205</v>
      </c>
      <c r="G160" s="178">
        <v>2019</v>
      </c>
      <c r="H160" s="7" t="s">
        <v>25</v>
      </c>
      <c r="I160" s="86">
        <v>43</v>
      </c>
      <c r="J160" s="135">
        <v>23903</v>
      </c>
      <c r="K160" s="116">
        <v>306.38900000000001</v>
      </c>
      <c r="L160" s="116">
        <v>9.6329999999999991</v>
      </c>
      <c r="M160" s="116">
        <v>403.97800000000001</v>
      </c>
      <c r="N160" s="129">
        <f t="shared" si="90"/>
        <v>0.96951794495319954</v>
      </c>
      <c r="O160" s="129">
        <f t="shared" si="91"/>
        <v>0.98662083333333328</v>
      </c>
      <c r="P160" s="129">
        <f t="shared" si="92"/>
        <v>0.43131085762711391</v>
      </c>
      <c r="Q160" s="117">
        <f t="shared" si="93"/>
        <v>78.015202895665311</v>
      </c>
      <c r="R160" s="152" t="str">
        <f t="shared" si="81"/>
        <v>PTP</v>
      </c>
    </row>
    <row r="161" spans="1:18" s="152" customFormat="1" ht="15" customHeight="1">
      <c r="A161" s="64"/>
      <c r="B161" s="7">
        <f t="shared" si="59"/>
        <v>117</v>
      </c>
      <c r="C161" s="18" t="s">
        <v>1272</v>
      </c>
      <c r="D161" s="7" t="s">
        <v>1408</v>
      </c>
      <c r="E161" s="7" t="s">
        <v>338</v>
      </c>
      <c r="F161" s="7" t="s">
        <v>2204</v>
      </c>
      <c r="G161" s="178">
        <v>2019</v>
      </c>
      <c r="H161" s="7" t="s">
        <v>25</v>
      </c>
      <c r="I161" s="86">
        <v>43</v>
      </c>
      <c r="J161" s="135">
        <v>26616</v>
      </c>
      <c r="K161" s="116">
        <v>312.60200000000015</v>
      </c>
      <c r="L161" s="116">
        <v>41.832999999999998</v>
      </c>
      <c r="M161" s="116">
        <v>365.56499999999983</v>
      </c>
      <c r="N161" s="129">
        <f t="shared" si="90"/>
        <v>0.88197271714136583</v>
      </c>
      <c r="O161" s="129">
        <f t="shared" si="91"/>
        <v>0.94189861111111095</v>
      </c>
      <c r="P161" s="129">
        <f t="shared" si="92"/>
        <v>0.46095135858866648</v>
      </c>
      <c r="Q161" s="117">
        <f t="shared" si="93"/>
        <v>85.14340919123994</v>
      </c>
      <c r="R161" s="152" t="str">
        <f t="shared" si="81"/>
        <v>PTP</v>
      </c>
    </row>
    <row r="162" spans="1:18" s="152" customFormat="1" ht="15" customHeight="1">
      <c r="A162" s="64"/>
      <c r="B162" s="7">
        <f t="shared" si="59"/>
        <v>118</v>
      </c>
      <c r="C162" s="18" t="s">
        <v>1272</v>
      </c>
      <c r="D162" s="7" t="s">
        <v>1409</v>
      </c>
      <c r="E162" s="7" t="s">
        <v>338</v>
      </c>
      <c r="F162" s="7" t="s">
        <v>2204</v>
      </c>
      <c r="G162" s="178">
        <v>2019</v>
      </c>
      <c r="H162" s="7" t="s">
        <v>25</v>
      </c>
      <c r="I162" s="86">
        <v>43</v>
      </c>
      <c r="J162" s="135">
        <v>22011</v>
      </c>
      <c r="K162" s="116">
        <v>301.6570000000001</v>
      </c>
      <c r="L162" s="116">
        <v>8.5830000000000002</v>
      </c>
      <c r="M162" s="116">
        <v>409.75999999999988</v>
      </c>
      <c r="N162" s="129">
        <f t="shared" si="90"/>
        <v>0.97233432181536872</v>
      </c>
      <c r="O162" s="129">
        <f t="shared" si="91"/>
        <v>0.98807916666666651</v>
      </c>
      <c r="P162" s="129">
        <f t="shared" si="92"/>
        <v>0.42402276020955382</v>
      </c>
      <c r="Q162" s="117">
        <f t="shared" si="93"/>
        <v>72.966979052367407</v>
      </c>
      <c r="R162" s="152" t="str">
        <f t="shared" si="81"/>
        <v>PTP</v>
      </c>
    </row>
    <row r="163" spans="1:18" s="152" customFormat="1" ht="15" customHeight="1">
      <c r="A163" s="64"/>
      <c r="B163" s="7">
        <f t="shared" si="59"/>
        <v>119</v>
      </c>
      <c r="C163" s="18" t="s">
        <v>1272</v>
      </c>
      <c r="D163" s="7" t="s">
        <v>1410</v>
      </c>
      <c r="E163" s="210" t="s">
        <v>30</v>
      </c>
      <c r="F163" s="7" t="s">
        <v>1959</v>
      </c>
      <c r="G163" s="178">
        <v>2019</v>
      </c>
      <c r="H163" s="7" t="s">
        <v>25</v>
      </c>
      <c r="I163" s="86">
        <v>43</v>
      </c>
      <c r="J163" s="135">
        <v>26444</v>
      </c>
      <c r="K163" s="116">
        <v>349.25100000000015</v>
      </c>
      <c r="L163" s="116">
        <v>21.315999999999999</v>
      </c>
      <c r="M163" s="116">
        <v>349.43299999999988</v>
      </c>
      <c r="N163" s="129">
        <f t="shared" si="90"/>
        <v>0.94247733878084139</v>
      </c>
      <c r="O163" s="129">
        <f t="shared" si="91"/>
        <v>0.97039444444444445</v>
      </c>
      <c r="P163" s="129">
        <f t="shared" si="92"/>
        <v>0.49986975513966281</v>
      </c>
      <c r="Q163" s="117">
        <f t="shared" si="93"/>
        <v>75.716318636167074</v>
      </c>
      <c r="R163" s="152" t="str">
        <f t="shared" si="81"/>
        <v>PTP</v>
      </c>
    </row>
    <row r="164" spans="1:18" s="152" customFormat="1" ht="15" customHeight="1">
      <c r="A164" s="64"/>
      <c r="B164" s="7">
        <f t="shared" si="59"/>
        <v>120</v>
      </c>
      <c r="C164" s="18" t="s">
        <v>1272</v>
      </c>
      <c r="D164" s="7" t="s">
        <v>1449</v>
      </c>
      <c r="E164" s="210" t="s">
        <v>30</v>
      </c>
      <c r="F164" s="7" t="s">
        <v>1959</v>
      </c>
      <c r="G164" s="178">
        <v>2019</v>
      </c>
      <c r="H164" s="7" t="s">
        <v>25</v>
      </c>
      <c r="I164" s="86">
        <v>43</v>
      </c>
      <c r="J164" s="135">
        <v>25591</v>
      </c>
      <c r="K164" s="116">
        <v>322.37200000000001</v>
      </c>
      <c r="L164" s="116">
        <v>87.90100000000001</v>
      </c>
      <c r="M164" s="116">
        <v>309.72699999999998</v>
      </c>
      <c r="N164" s="129">
        <f t="shared" si="90"/>
        <v>0.78574997623533593</v>
      </c>
      <c r="O164" s="129">
        <f t="shared" si="91"/>
        <v>0.87791527777777767</v>
      </c>
      <c r="P164" s="129">
        <f t="shared" si="92"/>
        <v>0.51000238886630112</v>
      </c>
      <c r="Q164" s="117">
        <f t="shared" si="93"/>
        <v>79.383445212363355</v>
      </c>
      <c r="R164" s="152" t="b">
        <f t="shared" si="81"/>
        <v>0</v>
      </c>
    </row>
    <row r="165" spans="1:18" s="152" customFormat="1" ht="15" customHeight="1">
      <c r="A165" s="64"/>
      <c r="B165" s="7">
        <f t="shared" si="59"/>
        <v>121</v>
      </c>
      <c r="C165" s="18" t="s">
        <v>1272</v>
      </c>
      <c r="D165" s="7" t="s">
        <v>1411</v>
      </c>
      <c r="E165" s="210" t="s">
        <v>30</v>
      </c>
      <c r="F165" s="7" t="s">
        <v>1958</v>
      </c>
      <c r="G165" s="178">
        <v>2019</v>
      </c>
      <c r="H165" s="7" t="s">
        <v>25</v>
      </c>
      <c r="I165" s="86">
        <v>43</v>
      </c>
      <c r="J165" s="135">
        <v>21754</v>
      </c>
      <c r="K165" s="116">
        <v>263.24299999999988</v>
      </c>
      <c r="L165" s="116">
        <v>135.85</v>
      </c>
      <c r="M165" s="116">
        <v>320.90700000000015</v>
      </c>
      <c r="N165" s="129">
        <f t="shared" si="90"/>
        <v>0.65960315014294912</v>
      </c>
      <c r="O165" s="129">
        <f t="shared" si="91"/>
        <v>0.81131944444444459</v>
      </c>
      <c r="P165" s="129">
        <f t="shared" si="92"/>
        <v>0.45064281434563014</v>
      </c>
      <c r="Q165" s="117">
        <f t="shared" si="93"/>
        <v>82.638474717276466</v>
      </c>
      <c r="R165" s="152" t="b">
        <f t="shared" si="81"/>
        <v>0</v>
      </c>
    </row>
    <row r="166" spans="1:18" s="152" customFormat="1" ht="15" customHeight="1">
      <c r="A166" s="64"/>
      <c r="B166" s="7">
        <f t="shared" si="59"/>
        <v>122</v>
      </c>
      <c r="C166" s="18" t="s">
        <v>1272</v>
      </c>
      <c r="D166" s="7" t="s">
        <v>1455</v>
      </c>
      <c r="E166" s="210" t="s">
        <v>30</v>
      </c>
      <c r="F166" s="7" t="s">
        <v>1959</v>
      </c>
      <c r="G166" s="178">
        <v>2019</v>
      </c>
      <c r="H166" s="7" t="s">
        <v>25</v>
      </c>
      <c r="I166" s="86">
        <v>43</v>
      </c>
      <c r="J166" s="233">
        <v>25506</v>
      </c>
      <c r="K166" s="116">
        <v>310.55900000000014</v>
      </c>
      <c r="L166" s="116">
        <v>47.716999999999999</v>
      </c>
      <c r="M166" s="116">
        <v>361.72399999999988</v>
      </c>
      <c r="N166" s="129">
        <f t="shared" ref="N166:N177" si="94">+K166/(K166+L166)</f>
        <v>0.8668149694648819</v>
      </c>
      <c r="O166" s="129">
        <f t="shared" ref="O166:O177" si="95">+(K166+M166)/(K166+L166+M166)</f>
        <v>0.93372638888888893</v>
      </c>
      <c r="P166" s="129">
        <f t="shared" ref="P166:P177" si="96">+K166/(K166+M166)</f>
        <v>0.46194682893959854</v>
      </c>
      <c r="Q166" s="117">
        <f t="shared" ref="Q166:Q177" si="97">+J166/K166</f>
        <v>82.12932164258639</v>
      </c>
      <c r="R166" s="152" t="str">
        <f t="shared" si="81"/>
        <v>PTP</v>
      </c>
    </row>
    <row r="167" spans="1:18" s="152" customFormat="1" ht="15" customHeight="1">
      <c r="A167" s="64"/>
      <c r="B167" s="7">
        <f t="shared" si="59"/>
        <v>123</v>
      </c>
      <c r="C167" s="18" t="s">
        <v>1272</v>
      </c>
      <c r="D167" s="7" t="s">
        <v>1412</v>
      </c>
      <c r="E167" s="7" t="s">
        <v>30</v>
      </c>
      <c r="F167" s="7" t="s">
        <v>1958</v>
      </c>
      <c r="G167" s="178">
        <v>2019</v>
      </c>
      <c r="H167" s="7" t="s">
        <v>25</v>
      </c>
      <c r="I167" s="86">
        <v>43</v>
      </c>
      <c r="J167" s="233">
        <v>25932</v>
      </c>
      <c r="K167" s="116">
        <v>328.12800000000027</v>
      </c>
      <c r="L167" s="116">
        <v>34.183</v>
      </c>
      <c r="M167" s="116">
        <v>357.68899999999974</v>
      </c>
      <c r="N167" s="129">
        <f t="shared" si="94"/>
        <v>0.90565287832828711</v>
      </c>
      <c r="O167" s="129">
        <f t="shared" si="95"/>
        <v>0.95252361111111117</v>
      </c>
      <c r="P167" s="129">
        <f t="shared" si="96"/>
        <v>0.47844833242687229</v>
      </c>
      <c r="Q167" s="117">
        <f t="shared" si="97"/>
        <v>79.030134581626612</v>
      </c>
      <c r="R167" s="152" t="str">
        <f t="shared" si="81"/>
        <v>PTP</v>
      </c>
    </row>
    <row r="168" spans="1:18" s="152" customFormat="1" ht="15" customHeight="1">
      <c r="A168" s="64"/>
      <c r="B168" s="7">
        <f t="shared" si="59"/>
        <v>124</v>
      </c>
      <c r="C168" s="18" t="s">
        <v>1272</v>
      </c>
      <c r="D168" s="7" t="s">
        <v>1447</v>
      </c>
      <c r="E168" s="7" t="s">
        <v>30</v>
      </c>
      <c r="F168" s="7" t="s">
        <v>1959</v>
      </c>
      <c r="G168" s="178">
        <v>2019</v>
      </c>
      <c r="H168" s="7" t="s">
        <v>25</v>
      </c>
      <c r="I168" s="86">
        <v>43</v>
      </c>
      <c r="J168" s="233">
        <v>27867</v>
      </c>
      <c r="K168" s="116">
        <v>368.71599999999955</v>
      </c>
      <c r="L168" s="116">
        <v>12.934000000000001</v>
      </c>
      <c r="M168" s="116">
        <v>338.35000000000042</v>
      </c>
      <c r="N168" s="129">
        <f t="shared" si="94"/>
        <v>0.96611031049390794</v>
      </c>
      <c r="O168" s="129">
        <f t="shared" si="95"/>
        <v>0.98203611111111111</v>
      </c>
      <c r="P168" s="129">
        <f t="shared" si="96"/>
        <v>0.52147324295044528</v>
      </c>
      <c r="Q168" s="117">
        <f t="shared" si="97"/>
        <v>75.57849401707557</v>
      </c>
      <c r="R168" s="152" t="str">
        <f t="shared" si="81"/>
        <v>PTP</v>
      </c>
    </row>
    <row r="169" spans="1:18" s="152" customFormat="1" ht="15" customHeight="1">
      <c r="A169" s="64"/>
      <c r="B169" s="7">
        <f t="shared" si="59"/>
        <v>125</v>
      </c>
      <c r="C169" s="18" t="s">
        <v>1272</v>
      </c>
      <c r="D169" s="7" t="s">
        <v>1446</v>
      </c>
      <c r="E169" s="7" t="s">
        <v>30</v>
      </c>
      <c r="F169" s="7" t="s">
        <v>1959</v>
      </c>
      <c r="G169" s="178">
        <v>2019</v>
      </c>
      <c r="H169" s="7" t="s">
        <v>25</v>
      </c>
      <c r="I169" s="86">
        <v>43</v>
      </c>
      <c r="J169" s="233">
        <v>25122</v>
      </c>
      <c r="K169" s="116">
        <v>326.62200000000024</v>
      </c>
      <c r="L169" s="116">
        <v>56.883000000000003</v>
      </c>
      <c r="M169" s="116">
        <v>336.49499999999978</v>
      </c>
      <c r="N169" s="129">
        <f t="shared" si="94"/>
        <v>0.85167598857902782</v>
      </c>
      <c r="O169" s="129">
        <f t="shared" si="95"/>
        <v>0.92099583333333324</v>
      </c>
      <c r="P169" s="129">
        <f t="shared" si="96"/>
        <v>0.49255561235800055</v>
      </c>
      <c r="Q169" s="117">
        <f t="shared" si="97"/>
        <v>76.914598526737279</v>
      </c>
      <c r="R169" s="152" t="str">
        <f t="shared" si="81"/>
        <v>PTP</v>
      </c>
    </row>
    <row r="170" spans="1:18" s="152" customFormat="1" ht="15" customHeight="1">
      <c r="A170" s="64"/>
      <c r="B170" s="7">
        <f t="shared" ref="B170:B213" si="98">+B169+1</f>
        <v>126</v>
      </c>
      <c r="C170" s="18" t="s">
        <v>1272</v>
      </c>
      <c r="D170" s="7" t="s">
        <v>1433</v>
      </c>
      <c r="E170" s="7" t="s">
        <v>30</v>
      </c>
      <c r="F170" s="7" t="s">
        <v>1959</v>
      </c>
      <c r="G170" s="178">
        <v>2019</v>
      </c>
      <c r="H170" s="7" t="s">
        <v>25</v>
      </c>
      <c r="I170" s="86">
        <v>43</v>
      </c>
      <c r="J170" s="233">
        <v>26648</v>
      </c>
      <c r="K170" s="116">
        <v>340.58800000000002</v>
      </c>
      <c r="L170" s="116">
        <v>25.518000000000004</v>
      </c>
      <c r="M170" s="116">
        <v>353.89399999999995</v>
      </c>
      <c r="N170" s="129">
        <f t="shared" si="94"/>
        <v>0.93029887518915277</v>
      </c>
      <c r="O170" s="129">
        <f t="shared" si="95"/>
        <v>0.9645583333333333</v>
      </c>
      <c r="P170" s="129">
        <f t="shared" si="96"/>
        <v>0.4904201980756881</v>
      </c>
      <c r="Q170" s="117">
        <f t="shared" si="97"/>
        <v>78.241159406673162</v>
      </c>
      <c r="R170" s="152" t="str">
        <f t="shared" si="81"/>
        <v>PTP</v>
      </c>
    </row>
    <row r="171" spans="1:18" s="152" customFormat="1" ht="15" customHeight="1">
      <c r="A171" s="64"/>
      <c r="B171" s="7">
        <f t="shared" si="98"/>
        <v>127</v>
      </c>
      <c r="C171" s="18" t="s">
        <v>1272</v>
      </c>
      <c r="D171" s="7" t="s">
        <v>1457</v>
      </c>
      <c r="E171" s="7" t="s">
        <v>30</v>
      </c>
      <c r="F171" s="7" t="s">
        <v>1959</v>
      </c>
      <c r="G171" s="178">
        <v>2019</v>
      </c>
      <c r="H171" s="7" t="s">
        <v>25</v>
      </c>
      <c r="I171" s="86">
        <v>43</v>
      </c>
      <c r="J171" s="233">
        <v>30644</v>
      </c>
      <c r="K171" s="116">
        <v>351.40800000000024</v>
      </c>
      <c r="L171" s="116">
        <v>15.25</v>
      </c>
      <c r="M171" s="116">
        <v>353.34199999999976</v>
      </c>
      <c r="N171" s="129">
        <f t="shared" si="94"/>
        <v>0.95840810782800323</v>
      </c>
      <c r="O171" s="129">
        <f t="shared" si="95"/>
        <v>0.97881944444444446</v>
      </c>
      <c r="P171" s="129">
        <f t="shared" si="96"/>
        <v>0.49862788222774068</v>
      </c>
      <c r="Q171" s="117">
        <f t="shared" si="97"/>
        <v>87.20347857760774</v>
      </c>
      <c r="R171" s="152" t="str">
        <f t="shared" si="81"/>
        <v>PTP</v>
      </c>
    </row>
    <row r="172" spans="1:18" s="152" customFormat="1" ht="15" customHeight="1">
      <c r="A172" s="64"/>
      <c r="B172" s="7">
        <f t="shared" si="98"/>
        <v>128</v>
      </c>
      <c r="C172" s="18" t="s">
        <v>1272</v>
      </c>
      <c r="D172" s="7" t="s">
        <v>1434</v>
      </c>
      <c r="E172" s="7" t="s">
        <v>30</v>
      </c>
      <c r="F172" s="7" t="s">
        <v>1959</v>
      </c>
      <c r="G172" s="178">
        <v>2019</v>
      </c>
      <c r="H172" s="7" t="s">
        <v>25</v>
      </c>
      <c r="I172" s="86">
        <v>43</v>
      </c>
      <c r="J172" s="233">
        <v>31105</v>
      </c>
      <c r="K172" s="116">
        <v>355.23800000000011</v>
      </c>
      <c r="L172" s="116">
        <v>7.5170000000000003</v>
      </c>
      <c r="M172" s="116">
        <v>357.24499999999989</v>
      </c>
      <c r="N172" s="129">
        <f t="shared" si="94"/>
        <v>0.97927802511336859</v>
      </c>
      <c r="O172" s="129">
        <f t="shared" si="95"/>
        <v>0.9895597222222221</v>
      </c>
      <c r="P172" s="129">
        <f t="shared" si="96"/>
        <v>0.49859154534213468</v>
      </c>
      <c r="Q172" s="117">
        <f t="shared" si="97"/>
        <v>87.561015431907592</v>
      </c>
      <c r="R172" s="152" t="str">
        <f t="shared" si="81"/>
        <v>PTP</v>
      </c>
    </row>
    <row r="173" spans="1:18" s="152" customFormat="1" ht="15" customHeight="1">
      <c r="A173" s="64"/>
      <c r="B173" s="7">
        <f t="shared" si="98"/>
        <v>129</v>
      </c>
      <c r="C173" s="18" t="s">
        <v>1272</v>
      </c>
      <c r="D173" s="7" t="s">
        <v>1441</v>
      </c>
      <c r="E173" s="7" t="s">
        <v>30</v>
      </c>
      <c r="F173" s="7" t="s">
        <v>1959</v>
      </c>
      <c r="G173" s="178">
        <v>2019</v>
      </c>
      <c r="H173" s="7" t="s">
        <v>25</v>
      </c>
      <c r="I173" s="86">
        <v>43</v>
      </c>
      <c r="J173" s="233">
        <v>27136</v>
      </c>
      <c r="K173" s="116">
        <v>353.97400000000022</v>
      </c>
      <c r="L173" s="116">
        <v>11.450000000000001</v>
      </c>
      <c r="M173" s="116">
        <v>354.57599999999979</v>
      </c>
      <c r="N173" s="129">
        <f t="shared" ref="N173" si="99">+K173/(K173+L173)</f>
        <v>0.96866653531240432</v>
      </c>
      <c r="O173" s="129">
        <f t="shared" ref="O173" si="100">+(K173+M173)/(K173+L173+M173)</f>
        <v>0.98409722222222218</v>
      </c>
      <c r="P173" s="129">
        <f t="shared" ref="P173" si="101">+K173/(K173+M173)</f>
        <v>0.4995751887657896</v>
      </c>
      <c r="Q173" s="117">
        <f t="shared" ref="Q173" si="102">+J173/K173</f>
        <v>76.660997700396024</v>
      </c>
      <c r="R173" s="152" t="str">
        <f t="shared" si="81"/>
        <v>PTP</v>
      </c>
    </row>
    <row r="174" spans="1:18" s="152" customFormat="1" ht="15" customHeight="1">
      <c r="A174" s="64"/>
      <c r="B174" s="7">
        <f t="shared" si="98"/>
        <v>130</v>
      </c>
      <c r="C174" s="18" t="s">
        <v>1272</v>
      </c>
      <c r="D174" s="7" t="s">
        <v>1448</v>
      </c>
      <c r="E174" s="7" t="s">
        <v>30</v>
      </c>
      <c r="F174" s="7" t="s">
        <v>1959</v>
      </c>
      <c r="G174" s="178">
        <v>2019</v>
      </c>
      <c r="H174" s="7" t="s">
        <v>25</v>
      </c>
      <c r="I174" s="86">
        <v>43</v>
      </c>
      <c r="J174" s="233">
        <v>22290</v>
      </c>
      <c r="K174" s="116">
        <v>318.61000000000007</v>
      </c>
      <c r="L174" s="116">
        <v>10.416</v>
      </c>
      <c r="M174" s="116">
        <v>390.97399999999993</v>
      </c>
      <c r="N174" s="129">
        <f t="shared" si="94"/>
        <v>0.96834292730665661</v>
      </c>
      <c r="O174" s="129">
        <f t="shared" si="95"/>
        <v>0.98553333333333337</v>
      </c>
      <c r="P174" s="129">
        <f t="shared" si="96"/>
        <v>0.44900956053124091</v>
      </c>
      <c r="Q174" s="117">
        <f t="shared" si="97"/>
        <v>69.960139355324671</v>
      </c>
      <c r="R174" s="152" t="str">
        <f t="shared" si="81"/>
        <v>PTP</v>
      </c>
    </row>
    <row r="175" spans="1:18" s="152" customFormat="1" ht="15" customHeight="1">
      <c r="A175" s="64"/>
      <c r="B175" s="7">
        <f t="shared" si="98"/>
        <v>131</v>
      </c>
      <c r="C175" s="18" t="s">
        <v>1272</v>
      </c>
      <c r="D175" s="7" t="s">
        <v>1429</v>
      </c>
      <c r="E175" s="7" t="s">
        <v>30</v>
      </c>
      <c r="F175" s="7" t="s">
        <v>1959</v>
      </c>
      <c r="G175" s="178">
        <v>2019</v>
      </c>
      <c r="H175" s="7" t="s">
        <v>25</v>
      </c>
      <c r="I175" s="86">
        <v>43</v>
      </c>
      <c r="J175" s="233">
        <v>24871</v>
      </c>
      <c r="K175" s="116">
        <v>336.36800000000011</v>
      </c>
      <c r="L175" s="116">
        <v>43.685000000000002</v>
      </c>
      <c r="M175" s="116">
        <v>339.94699999999989</v>
      </c>
      <c r="N175" s="129">
        <f t="shared" si="94"/>
        <v>0.88505550541634981</v>
      </c>
      <c r="O175" s="129">
        <f t="shared" si="95"/>
        <v>0.93932638888888897</v>
      </c>
      <c r="P175" s="129">
        <f t="shared" si="96"/>
        <v>0.49735404360394209</v>
      </c>
      <c r="Q175" s="117">
        <f t="shared" si="97"/>
        <v>73.939851591114476</v>
      </c>
      <c r="R175" s="152" t="str">
        <f t="shared" si="81"/>
        <v>PTP</v>
      </c>
    </row>
    <row r="176" spans="1:18" s="152" customFormat="1" ht="15" customHeight="1">
      <c r="A176" s="64"/>
      <c r="B176" s="7">
        <f t="shared" si="98"/>
        <v>132</v>
      </c>
      <c r="C176" s="18" t="s">
        <v>1272</v>
      </c>
      <c r="D176" s="7" t="s">
        <v>1458</v>
      </c>
      <c r="E176" s="7" t="s">
        <v>30</v>
      </c>
      <c r="F176" s="7" t="s">
        <v>1959</v>
      </c>
      <c r="G176" s="178">
        <v>2019</v>
      </c>
      <c r="H176" s="7" t="s">
        <v>25</v>
      </c>
      <c r="I176" s="86">
        <v>43</v>
      </c>
      <c r="J176" s="233">
        <v>28834</v>
      </c>
      <c r="K176" s="116">
        <v>322.35399999999981</v>
      </c>
      <c r="L176" s="116">
        <v>48.882999999999988</v>
      </c>
      <c r="M176" s="116">
        <v>348.7630000000002</v>
      </c>
      <c r="N176" s="129">
        <f t="shared" si="94"/>
        <v>0.86832400865215476</v>
      </c>
      <c r="O176" s="129">
        <f t="shared" si="95"/>
        <v>0.93210694444444442</v>
      </c>
      <c r="P176" s="129">
        <f t="shared" si="96"/>
        <v>0.48032459317823845</v>
      </c>
      <c r="Q176" s="117">
        <f t="shared" si="97"/>
        <v>89.448246337877038</v>
      </c>
      <c r="R176" s="152" t="str">
        <f t="shared" si="81"/>
        <v>PTP</v>
      </c>
    </row>
    <row r="177" spans="1:18" s="152" customFormat="1" ht="15" customHeight="1">
      <c r="A177" s="64"/>
      <c r="B177" s="7">
        <f t="shared" si="98"/>
        <v>133</v>
      </c>
      <c r="C177" s="18" t="s">
        <v>1272</v>
      </c>
      <c r="D177" s="7" t="s">
        <v>1438</v>
      </c>
      <c r="E177" s="7" t="s">
        <v>30</v>
      </c>
      <c r="F177" s="7" t="s">
        <v>1958</v>
      </c>
      <c r="G177" s="178">
        <v>2019</v>
      </c>
      <c r="H177" s="7" t="s">
        <v>25</v>
      </c>
      <c r="I177" s="86">
        <v>43</v>
      </c>
      <c r="J177" s="233">
        <v>29777</v>
      </c>
      <c r="K177" s="116">
        <v>344.48899999999992</v>
      </c>
      <c r="L177" s="116">
        <v>153.999</v>
      </c>
      <c r="M177" s="116">
        <v>221.51200000000009</v>
      </c>
      <c r="N177" s="129">
        <f t="shared" si="94"/>
        <v>0.69106778899391752</v>
      </c>
      <c r="O177" s="129">
        <f t="shared" si="95"/>
        <v>0.78611249999999999</v>
      </c>
      <c r="P177" s="129">
        <f t="shared" si="96"/>
        <v>0.60863673385736061</v>
      </c>
      <c r="Q177" s="117">
        <f t="shared" si="97"/>
        <v>86.43817364269978</v>
      </c>
      <c r="R177" s="152" t="b">
        <f t="shared" si="81"/>
        <v>0</v>
      </c>
    </row>
    <row r="178" spans="1:18" s="152" customFormat="1" ht="15" customHeight="1">
      <c r="A178" s="64"/>
      <c r="B178" s="7">
        <f t="shared" si="98"/>
        <v>134</v>
      </c>
      <c r="C178" s="18" t="s">
        <v>1272</v>
      </c>
      <c r="D178" s="7" t="s">
        <v>1451</v>
      </c>
      <c r="E178" s="7" t="s">
        <v>30</v>
      </c>
      <c r="F178" s="7" t="s">
        <v>1958</v>
      </c>
      <c r="G178" s="178">
        <v>2019</v>
      </c>
      <c r="H178" s="7" t="s">
        <v>25</v>
      </c>
      <c r="I178" s="86">
        <v>43</v>
      </c>
      <c r="J178" s="233">
        <v>26856</v>
      </c>
      <c r="K178" s="116">
        <v>343.50600000000009</v>
      </c>
      <c r="L178" s="116">
        <v>28.666</v>
      </c>
      <c r="M178" s="116">
        <v>347.82799999999992</v>
      </c>
      <c r="N178" s="129">
        <f t="shared" ref="N178" si="103">+K178/(K178+L178)</f>
        <v>0.92297647324355403</v>
      </c>
      <c r="O178" s="129">
        <f t="shared" ref="O178" si="104">+(K178+M178)/(K178+L178+M178)</f>
        <v>0.96018611111111118</v>
      </c>
      <c r="P178" s="129">
        <f t="shared" ref="P178" si="105">+K178/(K178+M178)</f>
        <v>0.49687415923417633</v>
      </c>
      <c r="Q178" s="117">
        <f t="shared" ref="Q178" si="106">+J178/K178</f>
        <v>78.182040488375733</v>
      </c>
      <c r="R178" s="152" t="str">
        <f t="shared" si="81"/>
        <v>PTP</v>
      </c>
    </row>
    <row r="179" spans="1:18" s="152" customFormat="1" ht="15" customHeight="1">
      <c r="A179" s="64"/>
      <c r="B179" s="7">
        <f t="shared" si="98"/>
        <v>135</v>
      </c>
      <c r="C179" s="18" t="s">
        <v>1272</v>
      </c>
      <c r="D179" s="7" t="s">
        <v>1445</v>
      </c>
      <c r="E179" s="7" t="s">
        <v>30</v>
      </c>
      <c r="F179" s="7" t="s">
        <v>1959</v>
      </c>
      <c r="G179" s="178">
        <v>2019</v>
      </c>
      <c r="H179" s="7" t="s">
        <v>25</v>
      </c>
      <c r="I179" s="86">
        <v>43</v>
      </c>
      <c r="J179" s="233">
        <v>30659</v>
      </c>
      <c r="K179" s="116">
        <v>381.97300000000024</v>
      </c>
      <c r="L179" s="116">
        <v>21.7</v>
      </c>
      <c r="M179" s="116">
        <v>316.32699999999977</v>
      </c>
      <c r="N179" s="129">
        <f t="shared" ref="N179:N181" si="107">+K179/(K179+L179)</f>
        <v>0.94624361797791778</v>
      </c>
      <c r="O179" s="129">
        <f t="shared" ref="O179:O181" si="108">+(K179+M179)/(K179+L179+M179)</f>
        <v>0.96986111111111106</v>
      </c>
      <c r="P179" s="129">
        <f t="shared" ref="P179:P181" si="109">+K179/(K179+M179)</f>
        <v>0.54700415294286164</v>
      </c>
      <c r="Q179" s="117">
        <f t="shared" ref="Q179:Q181" si="110">+J179/K179</f>
        <v>80.264835472664245</v>
      </c>
      <c r="R179" s="152" t="str">
        <f t="shared" si="81"/>
        <v>PTP</v>
      </c>
    </row>
    <row r="180" spans="1:18" s="152" customFormat="1" ht="15" customHeight="1">
      <c r="A180" s="64"/>
      <c r="B180" s="7">
        <f t="shared" si="98"/>
        <v>136</v>
      </c>
      <c r="C180" s="18" t="s">
        <v>1272</v>
      </c>
      <c r="D180" s="7" t="s">
        <v>1413</v>
      </c>
      <c r="E180" s="7" t="s">
        <v>30</v>
      </c>
      <c r="F180" s="7" t="s">
        <v>1958</v>
      </c>
      <c r="G180" s="178">
        <v>2019</v>
      </c>
      <c r="H180" s="7" t="s">
        <v>25</v>
      </c>
      <c r="I180" s="86">
        <v>43</v>
      </c>
      <c r="J180" s="233">
        <v>25089</v>
      </c>
      <c r="K180" s="116">
        <v>324.60599999999994</v>
      </c>
      <c r="L180" s="116">
        <v>33.165999999999997</v>
      </c>
      <c r="M180" s="116">
        <v>362.22800000000007</v>
      </c>
      <c r="N180" s="129">
        <f t="shared" si="107"/>
        <v>0.90729850295719061</v>
      </c>
      <c r="O180" s="129">
        <f t="shared" si="108"/>
        <v>0.95393611111111121</v>
      </c>
      <c r="P180" s="129">
        <f t="shared" si="109"/>
        <v>0.47261201396552865</v>
      </c>
      <c r="Q180" s="117">
        <f t="shared" si="110"/>
        <v>77.29062309384301</v>
      </c>
      <c r="R180" s="152" t="str">
        <f t="shared" si="81"/>
        <v>PTP</v>
      </c>
    </row>
    <row r="181" spans="1:18" s="152" customFormat="1" ht="15" customHeight="1">
      <c r="A181" s="64"/>
      <c r="B181" s="7">
        <f t="shared" si="98"/>
        <v>137</v>
      </c>
      <c r="C181" s="18" t="s">
        <v>1272</v>
      </c>
      <c r="D181" s="7" t="s">
        <v>1439</v>
      </c>
      <c r="E181" s="7" t="s">
        <v>30</v>
      </c>
      <c r="F181" s="7" t="s">
        <v>1958</v>
      </c>
      <c r="G181" s="178">
        <v>2019</v>
      </c>
      <c r="H181" s="7" t="s">
        <v>25</v>
      </c>
      <c r="I181" s="86">
        <v>43</v>
      </c>
      <c r="J181" s="233">
        <v>27605</v>
      </c>
      <c r="K181" s="116">
        <v>373.10099999999983</v>
      </c>
      <c r="L181" s="116">
        <v>36.533999999999999</v>
      </c>
      <c r="M181" s="116">
        <v>310.36500000000018</v>
      </c>
      <c r="N181" s="129">
        <f t="shared" si="107"/>
        <v>0.91081328499761982</v>
      </c>
      <c r="O181" s="129">
        <f t="shared" si="108"/>
        <v>0.94925833333333332</v>
      </c>
      <c r="P181" s="129">
        <f t="shared" si="109"/>
        <v>0.54589547980440845</v>
      </c>
      <c r="Q181" s="117">
        <f t="shared" si="110"/>
        <v>73.988008608928979</v>
      </c>
      <c r="R181" s="152" t="str">
        <f t="shared" si="81"/>
        <v>PTP</v>
      </c>
    </row>
    <row r="182" spans="1:18" s="152" customFormat="1" ht="15" customHeight="1">
      <c r="A182" s="64"/>
      <c r="B182" s="7">
        <f t="shared" si="98"/>
        <v>138</v>
      </c>
      <c r="C182" s="18" t="s">
        <v>1272</v>
      </c>
      <c r="D182" s="210" t="s">
        <v>1454</v>
      </c>
      <c r="E182" s="210" t="s">
        <v>30</v>
      </c>
      <c r="F182" s="210" t="s">
        <v>1959</v>
      </c>
      <c r="G182" s="203">
        <v>2019</v>
      </c>
      <c r="H182" s="210" t="s">
        <v>25</v>
      </c>
      <c r="I182" s="202">
        <v>43</v>
      </c>
      <c r="J182" s="234">
        <v>29572</v>
      </c>
      <c r="K182" s="207">
        <v>338.65200000000027</v>
      </c>
      <c r="L182" s="207">
        <v>34.884</v>
      </c>
      <c r="M182" s="207">
        <v>346.46399999999971</v>
      </c>
      <c r="N182" s="129">
        <f t="shared" ref="N182:N210" si="111">+K182/(K182+L182)</f>
        <v>0.90661141094834241</v>
      </c>
      <c r="O182" s="129">
        <f t="shared" ref="O182:O210" si="112">+(K182+M182)/(K182+L182+M182)</f>
        <v>0.95155000000000001</v>
      </c>
      <c r="P182" s="129">
        <f t="shared" ref="P182:P210" si="113">+K182/(K182+M182)</f>
        <v>0.49429877568178276</v>
      </c>
      <c r="Q182" s="117">
        <f t="shared" ref="Q182:Q210" si="114">+J182/K182</f>
        <v>87.322679328632276</v>
      </c>
      <c r="R182" s="152" t="str">
        <f t="shared" si="81"/>
        <v>PTP</v>
      </c>
    </row>
    <row r="183" spans="1:18" s="152" customFormat="1" ht="15" customHeight="1">
      <c r="A183" s="64"/>
      <c r="B183" s="7">
        <f t="shared" si="98"/>
        <v>139</v>
      </c>
      <c r="C183" s="18" t="s">
        <v>1272</v>
      </c>
      <c r="D183" s="7" t="s">
        <v>1442</v>
      </c>
      <c r="E183" s="210" t="s">
        <v>30</v>
      </c>
      <c r="F183" s="7" t="s">
        <v>1959</v>
      </c>
      <c r="G183" s="178">
        <v>2019</v>
      </c>
      <c r="H183" s="7" t="s">
        <v>25</v>
      </c>
      <c r="I183" s="86">
        <v>43</v>
      </c>
      <c r="J183" s="233">
        <v>22802</v>
      </c>
      <c r="K183" s="116">
        <v>322.20699999999994</v>
      </c>
      <c r="L183" s="116">
        <v>34.146999999999998</v>
      </c>
      <c r="M183" s="116">
        <v>363.64600000000007</v>
      </c>
      <c r="N183" s="129">
        <f t="shared" si="111"/>
        <v>0.90417674559567174</v>
      </c>
      <c r="O183" s="129">
        <f t="shared" si="112"/>
        <v>0.95257361111111116</v>
      </c>
      <c r="P183" s="129">
        <f t="shared" si="113"/>
        <v>0.46979017369611259</v>
      </c>
      <c r="Q183" s="117">
        <f t="shared" si="114"/>
        <v>70.768170772205465</v>
      </c>
      <c r="R183" s="152" t="str">
        <f t="shared" si="81"/>
        <v>PTP</v>
      </c>
    </row>
    <row r="184" spans="1:18" s="152" customFormat="1" ht="15" customHeight="1">
      <c r="A184" s="64"/>
      <c r="B184" s="7">
        <f t="shared" si="98"/>
        <v>140</v>
      </c>
      <c r="C184" s="18" t="s">
        <v>1272</v>
      </c>
      <c r="D184" s="7" t="s">
        <v>1430</v>
      </c>
      <c r="E184" s="210" t="s">
        <v>30</v>
      </c>
      <c r="F184" s="7" t="s">
        <v>1959</v>
      </c>
      <c r="G184" s="178">
        <v>2019</v>
      </c>
      <c r="H184" s="7" t="s">
        <v>25</v>
      </c>
      <c r="I184" s="86">
        <v>43</v>
      </c>
      <c r="J184" s="233">
        <v>32056</v>
      </c>
      <c r="K184" s="116">
        <v>324.67799999999983</v>
      </c>
      <c r="L184" s="116">
        <v>24.684000000000001</v>
      </c>
      <c r="M184" s="116">
        <v>370.63800000000015</v>
      </c>
      <c r="N184" s="129">
        <f t="shared" si="111"/>
        <v>0.92934549264087096</v>
      </c>
      <c r="O184" s="129">
        <f t="shared" si="112"/>
        <v>0.96571666666666667</v>
      </c>
      <c r="P184" s="129">
        <f t="shared" si="113"/>
        <v>0.46695027872219225</v>
      </c>
      <c r="Q184" s="117">
        <f t="shared" si="114"/>
        <v>98.731666451068492</v>
      </c>
      <c r="R184" s="152" t="str">
        <f t="shared" si="81"/>
        <v>PTP</v>
      </c>
    </row>
    <row r="185" spans="1:18" s="152" customFormat="1" ht="15" customHeight="1">
      <c r="A185" s="64"/>
      <c r="B185" s="7">
        <f t="shared" si="98"/>
        <v>141</v>
      </c>
      <c r="C185" s="18" t="s">
        <v>1272</v>
      </c>
      <c r="D185" s="7" t="s">
        <v>1435</v>
      </c>
      <c r="E185" s="210" t="s">
        <v>30</v>
      </c>
      <c r="F185" s="7" t="s">
        <v>1959</v>
      </c>
      <c r="G185" s="178">
        <v>2019</v>
      </c>
      <c r="H185" s="7" t="s">
        <v>25</v>
      </c>
      <c r="I185" s="86">
        <v>43</v>
      </c>
      <c r="J185" s="233">
        <v>32031</v>
      </c>
      <c r="K185" s="116">
        <v>372.12100000000004</v>
      </c>
      <c r="L185" s="116">
        <v>29.099000000000004</v>
      </c>
      <c r="M185" s="116">
        <v>318.77999999999997</v>
      </c>
      <c r="N185" s="129">
        <f t="shared" si="111"/>
        <v>0.92747370519914263</v>
      </c>
      <c r="O185" s="129">
        <f t="shared" si="112"/>
        <v>0.95958472222222235</v>
      </c>
      <c r="P185" s="129">
        <f t="shared" si="113"/>
        <v>0.53860249152917716</v>
      </c>
      <c r="Q185" s="117">
        <f t="shared" si="114"/>
        <v>86.076840597547559</v>
      </c>
      <c r="R185" s="152" t="str">
        <f t="shared" si="81"/>
        <v>PTP</v>
      </c>
    </row>
    <row r="186" spans="1:18" s="152" customFormat="1" ht="15" customHeight="1">
      <c r="A186" s="64"/>
      <c r="B186" s="7">
        <f t="shared" si="98"/>
        <v>142</v>
      </c>
      <c r="C186" s="18" t="s">
        <v>1272</v>
      </c>
      <c r="D186" s="7" t="s">
        <v>1431</v>
      </c>
      <c r="E186" s="210" t="s">
        <v>30</v>
      </c>
      <c r="F186" s="7" t="s">
        <v>1959</v>
      </c>
      <c r="G186" s="178">
        <v>2019</v>
      </c>
      <c r="H186" s="7" t="s">
        <v>25</v>
      </c>
      <c r="I186" s="86">
        <v>43</v>
      </c>
      <c r="J186" s="233">
        <v>22725</v>
      </c>
      <c r="K186" s="116">
        <v>286.0209999999999</v>
      </c>
      <c r="L186" s="116">
        <v>173.017</v>
      </c>
      <c r="M186" s="116">
        <v>260.9620000000001</v>
      </c>
      <c r="N186" s="129">
        <f t="shared" si="111"/>
        <v>0.62308784893625357</v>
      </c>
      <c r="O186" s="129">
        <f t="shared" si="112"/>
        <v>0.75969861111111103</v>
      </c>
      <c r="P186" s="129">
        <f t="shared" si="113"/>
        <v>0.5229065619955281</v>
      </c>
      <c r="Q186" s="117">
        <f t="shared" si="114"/>
        <v>79.452208054653354</v>
      </c>
      <c r="R186" s="152" t="b">
        <f t="shared" si="81"/>
        <v>0</v>
      </c>
    </row>
    <row r="187" spans="1:18" s="152" customFormat="1" ht="15" customHeight="1">
      <c r="A187" s="64"/>
      <c r="B187" s="7">
        <f t="shared" si="98"/>
        <v>143</v>
      </c>
      <c r="C187" s="18" t="s">
        <v>1272</v>
      </c>
      <c r="D187" s="7" t="s">
        <v>1444</v>
      </c>
      <c r="E187" s="210" t="s">
        <v>30</v>
      </c>
      <c r="F187" s="7" t="s">
        <v>1959</v>
      </c>
      <c r="G187" s="178">
        <v>2019</v>
      </c>
      <c r="H187" s="7" t="s">
        <v>25</v>
      </c>
      <c r="I187" s="86">
        <v>43</v>
      </c>
      <c r="J187" s="233">
        <v>31542</v>
      </c>
      <c r="K187" s="116">
        <v>390.495</v>
      </c>
      <c r="L187" s="116">
        <v>19.199000000000002</v>
      </c>
      <c r="M187" s="116">
        <v>310.30599999999998</v>
      </c>
      <c r="N187" s="129">
        <f t="shared" si="111"/>
        <v>0.95313819582420045</v>
      </c>
      <c r="O187" s="129">
        <f t="shared" si="112"/>
        <v>0.97333472222222217</v>
      </c>
      <c r="P187" s="129">
        <f t="shared" si="113"/>
        <v>0.55721238982250321</v>
      </c>
      <c r="Q187" s="117">
        <f t="shared" si="114"/>
        <v>80.774401720892712</v>
      </c>
      <c r="R187" s="152" t="str">
        <f t="shared" si="81"/>
        <v>PTP</v>
      </c>
    </row>
    <row r="188" spans="1:18" s="152" customFormat="1" ht="15" customHeight="1">
      <c r="A188" s="64"/>
      <c r="B188" s="7">
        <f t="shared" si="98"/>
        <v>144</v>
      </c>
      <c r="C188" s="18" t="s">
        <v>1272</v>
      </c>
      <c r="D188" s="210" t="s">
        <v>1432</v>
      </c>
      <c r="E188" s="210" t="s">
        <v>30</v>
      </c>
      <c r="F188" s="210" t="s">
        <v>1959</v>
      </c>
      <c r="G188" s="203">
        <v>2019</v>
      </c>
      <c r="H188" s="7" t="s">
        <v>25</v>
      </c>
      <c r="I188" s="86">
        <v>43</v>
      </c>
      <c r="J188" s="247">
        <v>29289</v>
      </c>
      <c r="K188" s="207">
        <v>375.22800000000012</v>
      </c>
      <c r="L188" s="207">
        <v>10.833</v>
      </c>
      <c r="M188" s="207">
        <v>333.93899999999985</v>
      </c>
      <c r="N188" s="129">
        <f t="shared" ref="N188:N198" si="115">+K188/(K188+L188)</f>
        <v>0.97193966756548833</v>
      </c>
      <c r="O188" s="129">
        <f t="shared" ref="O188:O198" si="116">+(K188+M188)/(K188+L188+M188)</f>
        <v>0.98495416666666658</v>
      </c>
      <c r="P188" s="129">
        <f t="shared" ref="P188:P198" si="117">+K188/(K188+M188)</f>
        <v>0.52911091463646809</v>
      </c>
      <c r="Q188" s="117">
        <f t="shared" ref="Q188:Q198" si="118">+J188/K188</f>
        <v>78.056541622693373</v>
      </c>
      <c r="R188" s="152" t="str">
        <f t="shared" si="81"/>
        <v>PTP</v>
      </c>
    </row>
    <row r="189" spans="1:18" s="152" customFormat="1" ht="15" customHeight="1">
      <c r="A189" s="64"/>
      <c r="B189" s="7">
        <f t="shared" si="98"/>
        <v>145</v>
      </c>
      <c r="C189" s="18" t="s">
        <v>1272</v>
      </c>
      <c r="D189" s="210" t="s">
        <v>1450</v>
      </c>
      <c r="E189" s="210" t="s">
        <v>30</v>
      </c>
      <c r="F189" s="210" t="s">
        <v>1959</v>
      </c>
      <c r="G189" s="203">
        <v>2019</v>
      </c>
      <c r="H189" s="7" t="s">
        <v>25</v>
      </c>
      <c r="I189" s="86">
        <v>43</v>
      </c>
      <c r="J189" s="247">
        <v>27447</v>
      </c>
      <c r="K189" s="207">
        <v>354.17500000000001</v>
      </c>
      <c r="L189" s="207">
        <v>4.266</v>
      </c>
      <c r="M189" s="207">
        <v>361.55899999999997</v>
      </c>
      <c r="N189" s="129">
        <f t="shared" si="115"/>
        <v>0.98809845971861476</v>
      </c>
      <c r="O189" s="129">
        <f t="shared" si="116"/>
        <v>0.99407499999999993</v>
      </c>
      <c r="P189" s="129">
        <f t="shared" si="117"/>
        <v>0.49484165905210603</v>
      </c>
      <c r="Q189" s="117">
        <f t="shared" si="118"/>
        <v>77.495588339097907</v>
      </c>
      <c r="R189" s="152" t="str">
        <f t="shared" si="81"/>
        <v>PTP</v>
      </c>
    </row>
    <row r="190" spans="1:18" s="152" customFormat="1" ht="15" customHeight="1">
      <c r="A190" s="64"/>
      <c r="B190" s="7">
        <f t="shared" si="98"/>
        <v>146</v>
      </c>
      <c r="C190" s="18" t="s">
        <v>1272</v>
      </c>
      <c r="D190" s="210" t="s">
        <v>1452</v>
      </c>
      <c r="E190" s="210" t="s">
        <v>30</v>
      </c>
      <c r="F190" s="210" t="s">
        <v>1959</v>
      </c>
      <c r="G190" s="203">
        <v>2019</v>
      </c>
      <c r="H190" s="7" t="s">
        <v>25</v>
      </c>
      <c r="I190" s="86">
        <v>43</v>
      </c>
      <c r="J190" s="247">
        <v>23786</v>
      </c>
      <c r="K190" s="207">
        <v>307.65699999999993</v>
      </c>
      <c r="L190" s="207">
        <v>72.716999999999999</v>
      </c>
      <c r="M190" s="207">
        <v>339.62600000000009</v>
      </c>
      <c r="N190" s="129">
        <f t="shared" si="115"/>
        <v>0.80882762754552096</v>
      </c>
      <c r="O190" s="129">
        <f t="shared" si="116"/>
        <v>0.89900416666666672</v>
      </c>
      <c r="P190" s="129">
        <f t="shared" si="117"/>
        <v>0.47530523743092268</v>
      </c>
      <c r="Q190" s="117">
        <f t="shared" si="118"/>
        <v>77.313371709403668</v>
      </c>
      <c r="R190" s="152" t="b">
        <f t="shared" si="81"/>
        <v>0</v>
      </c>
    </row>
    <row r="191" spans="1:18" s="152" customFormat="1" ht="15" customHeight="1">
      <c r="A191" s="64"/>
      <c r="B191" s="7">
        <f t="shared" si="98"/>
        <v>147</v>
      </c>
      <c r="C191" s="18" t="s">
        <v>1272</v>
      </c>
      <c r="D191" s="210" t="s">
        <v>1443</v>
      </c>
      <c r="E191" s="210" t="s">
        <v>30</v>
      </c>
      <c r="F191" s="210" t="s">
        <v>1959</v>
      </c>
      <c r="G191" s="203">
        <v>2019</v>
      </c>
      <c r="H191" s="7" t="s">
        <v>25</v>
      </c>
      <c r="I191" s="86">
        <v>43</v>
      </c>
      <c r="J191" s="247">
        <v>29612</v>
      </c>
      <c r="K191" s="207">
        <v>338.90000000000009</v>
      </c>
      <c r="L191" s="207">
        <v>38.649000000000001</v>
      </c>
      <c r="M191" s="207">
        <v>342.45099999999991</v>
      </c>
      <c r="N191" s="129">
        <f t="shared" si="115"/>
        <v>0.89763183057033658</v>
      </c>
      <c r="O191" s="129">
        <f t="shared" si="116"/>
        <v>0.94632083333333328</v>
      </c>
      <c r="P191" s="129">
        <f t="shared" si="117"/>
        <v>0.49739414780340835</v>
      </c>
      <c r="Q191" s="117">
        <f t="shared" si="118"/>
        <v>87.376807317792839</v>
      </c>
      <c r="R191" s="152" t="str">
        <f t="shared" si="81"/>
        <v>PTP</v>
      </c>
    </row>
    <row r="192" spans="1:18" s="152" customFormat="1" ht="15" customHeight="1">
      <c r="A192" s="64"/>
      <c r="B192" s="7">
        <f t="shared" si="98"/>
        <v>148</v>
      </c>
      <c r="C192" s="18" t="s">
        <v>1272</v>
      </c>
      <c r="D192" s="210" t="s">
        <v>1437</v>
      </c>
      <c r="E192" s="210" t="s">
        <v>30</v>
      </c>
      <c r="F192" s="210" t="s">
        <v>1959</v>
      </c>
      <c r="G192" s="203">
        <v>2019</v>
      </c>
      <c r="H192" s="7" t="s">
        <v>25</v>
      </c>
      <c r="I192" s="86">
        <v>43</v>
      </c>
      <c r="J192" s="247">
        <v>27781</v>
      </c>
      <c r="K192" s="207">
        <v>358.24699999999996</v>
      </c>
      <c r="L192" s="207">
        <v>21.751000000000001</v>
      </c>
      <c r="M192" s="207">
        <v>340.00200000000007</v>
      </c>
      <c r="N192" s="129">
        <f t="shared" si="115"/>
        <v>0.94276022505381607</v>
      </c>
      <c r="O192" s="129">
        <f t="shared" si="116"/>
        <v>0.96979027777777782</v>
      </c>
      <c r="P192" s="129">
        <f t="shared" si="117"/>
        <v>0.51306482358012673</v>
      </c>
      <c r="Q192" s="117">
        <f t="shared" si="118"/>
        <v>77.54705552314465</v>
      </c>
      <c r="R192" s="152" t="str">
        <f t="shared" si="81"/>
        <v>PTP</v>
      </c>
    </row>
    <row r="193" spans="1:18" s="152" customFormat="1" ht="15" customHeight="1">
      <c r="A193" s="64"/>
      <c r="B193" s="7">
        <f t="shared" si="98"/>
        <v>149</v>
      </c>
      <c r="C193" s="18" t="s">
        <v>1272</v>
      </c>
      <c r="D193" s="210" t="s">
        <v>1456</v>
      </c>
      <c r="E193" s="210" t="s">
        <v>30</v>
      </c>
      <c r="F193" s="210" t="s">
        <v>1959</v>
      </c>
      <c r="G193" s="203">
        <v>2019</v>
      </c>
      <c r="H193" s="7" t="s">
        <v>25</v>
      </c>
      <c r="I193" s="86">
        <v>43</v>
      </c>
      <c r="J193" s="247">
        <v>30113</v>
      </c>
      <c r="K193" s="207">
        <v>388.83300000000037</v>
      </c>
      <c r="L193" s="207">
        <v>7.8160000000000007</v>
      </c>
      <c r="M193" s="207">
        <v>323.35099999999966</v>
      </c>
      <c r="N193" s="129">
        <f t="shared" si="115"/>
        <v>0.98029492069814883</v>
      </c>
      <c r="O193" s="129">
        <f t="shared" si="116"/>
        <v>0.98914444444444438</v>
      </c>
      <c r="P193" s="129">
        <f t="shared" si="117"/>
        <v>0.54597266998416194</v>
      </c>
      <c r="Q193" s="117">
        <f t="shared" si="118"/>
        <v>77.444558460830152</v>
      </c>
      <c r="R193" s="152" t="str">
        <f t="shared" si="81"/>
        <v>PTP</v>
      </c>
    </row>
    <row r="194" spans="1:18" s="152" customFormat="1" ht="15" customHeight="1">
      <c r="A194" s="64"/>
      <c r="B194" s="7">
        <f t="shared" si="98"/>
        <v>150</v>
      </c>
      <c r="C194" s="18" t="s">
        <v>1272</v>
      </c>
      <c r="D194" s="210" t="s">
        <v>1440</v>
      </c>
      <c r="E194" s="210" t="s">
        <v>30</v>
      </c>
      <c r="F194" s="210" t="s">
        <v>1959</v>
      </c>
      <c r="G194" s="203">
        <v>2019</v>
      </c>
      <c r="H194" s="7" t="s">
        <v>25</v>
      </c>
      <c r="I194" s="86">
        <v>43</v>
      </c>
      <c r="J194" s="247">
        <v>27038</v>
      </c>
      <c r="K194" s="207">
        <v>337.26100000000031</v>
      </c>
      <c r="L194" s="207">
        <v>29.532</v>
      </c>
      <c r="M194" s="207">
        <v>353.20699999999971</v>
      </c>
      <c r="N194" s="129">
        <f t="shared" si="115"/>
        <v>0.91948592257758477</v>
      </c>
      <c r="O194" s="129">
        <f t="shared" si="116"/>
        <v>0.95898333333333341</v>
      </c>
      <c r="P194" s="129">
        <f t="shared" si="117"/>
        <v>0.48845275957756229</v>
      </c>
      <c r="Q194" s="117">
        <f t="shared" si="118"/>
        <v>80.169364379516082</v>
      </c>
      <c r="R194" s="152" t="str">
        <f t="shared" si="81"/>
        <v>PTP</v>
      </c>
    </row>
    <row r="195" spans="1:18" s="152" customFormat="1" ht="15" customHeight="1">
      <c r="A195" s="64"/>
      <c r="B195" s="7">
        <f t="shared" si="98"/>
        <v>151</v>
      </c>
      <c r="C195" s="18" t="s">
        <v>1272</v>
      </c>
      <c r="D195" s="210" t="s">
        <v>1436</v>
      </c>
      <c r="E195" s="210" t="s">
        <v>30</v>
      </c>
      <c r="F195" s="210" t="s">
        <v>1959</v>
      </c>
      <c r="G195" s="203">
        <v>2019</v>
      </c>
      <c r="H195" s="7" t="s">
        <v>25</v>
      </c>
      <c r="I195" s="86">
        <v>43</v>
      </c>
      <c r="J195" s="247">
        <v>28526</v>
      </c>
      <c r="K195" s="207">
        <v>356.95700000000005</v>
      </c>
      <c r="L195" s="207">
        <v>10.433</v>
      </c>
      <c r="M195" s="207">
        <v>352.60999999999996</v>
      </c>
      <c r="N195" s="129">
        <f t="shared" si="115"/>
        <v>0.97160238438716351</v>
      </c>
      <c r="O195" s="129">
        <f t="shared" si="116"/>
        <v>0.98550972222222222</v>
      </c>
      <c r="P195" s="129">
        <f t="shared" si="117"/>
        <v>0.50306313568697536</v>
      </c>
      <c r="Q195" s="117">
        <f t="shared" si="118"/>
        <v>79.914387447227526</v>
      </c>
      <c r="R195" s="152" t="str">
        <f t="shared" si="81"/>
        <v>PTP</v>
      </c>
    </row>
    <row r="196" spans="1:18" s="152" customFormat="1" ht="15" customHeight="1">
      <c r="A196" s="64"/>
      <c r="B196" s="7">
        <f t="shared" si="98"/>
        <v>152</v>
      </c>
      <c r="C196" s="18" t="s">
        <v>1272</v>
      </c>
      <c r="D196" s="210" t="s">
        <v>1295</v>
      </c>
      <c r="E196" s="210" t="s">
        <v>173</v>
      </c>
      <c r="F196" s="210" t="s">
        <v>1956</v>
      </c>
      <c r="G196" s="203">
        <v>2019</v>
      </c>
      <c r="H196" s="7" t="s">
        <v>25</v>
      </c>
      <c r="I196" s="86">
        <v>43</v>
      </c>
      <c r="J196" s="247">
        <v>19844</v>
      </c>
      <c r="K196" s="207">
        <v>251.77199999999999</v>
      </c>
      <c r="L196" s="207">
        <v>38.515999999999998</v>
      </c>
      <c r="M196" s="207">
        <v>429.71199999999999</v>
      </c>
      <c r="N196" s="129">
        <f t="shared" si="115"/>
        <v>0.86731797387422138</v>
      </c>
      <c r="O196" s="129">
        <f t="shared" si="116"/>
        <v>0.94650555555555549</v>
      </c>
      <c r="P196" s="129">
        <f t="shared" si="117"/>
        <v>0.36944667813184173</v>
      </c>
      <c r="Q196" s="117">
        <f t="shared" si="118"/>
        <v>78.817342675118766</v>
      </c>
      <c r="R196" s="152" t="str">
        <f t="shared" si="81"/>
        <v>PTP</v>
      </c>
    </row>
    <row r="197" spans="1:18" s="152" customFormat="1" ht="15" customHeight="1">
      <c r="A197" s="64"/>
      <c r="B197" s="7">
        <f t="shared" si="98"/>
        <v>153</v>
      </c>
      <c r="C197" s="18" t="s">
        <v>1272</v>
      </c>
      <c r="D197" s="210" t="s">
        <v>1303</v>
      </c>
      <c r="E197" s="210" t="s">
        <v>173</v>
      </c>
      <c r="F197" s="210" t="s">
        <v>1956</v>
      </c>
      <c r="G197" s="203">
        <v>2019</v>
      </c>
      <c r="H197" s="7" t="s">
        <v>25</v>
      </c>
      <c r="I197" s="86">
        <v>43</v>
      </c>
      <c r="J197" s="247">
        <v>22710</v>
      </c>
      <c r="K197" s="207">
        <v>307.90899999999976</v>
      </c>
      <c r="L197" s="207">
        <v>83.6</v>
      </c>
      <c r="M197" s="207">
        <v>328.49100000000021</v>
      </c>
      <c r="N197" s="129">
        <f t="shared" si="115"/>
        <v>0.7864672331925957</v>
      </c>
      <c r="O197" s="129">
        <f t="shared" si="116"/>
        <v>0.88388888888888884</v>
      </c>
      <c r="P197" s="129">
        <f t="shared" si="117"/>
        <v>0.48382935260842203</v>
      </c>
      <c r="Q197" s="117">
        <f t="shared" si="118"/>
        <v>73.755557648526079</v>
      </c>
      <c r="R197" s="152" t="b">
        <f t="shared" si="81"/>
        <v>0</v>
      </c>
    </row>
    <row r="198" spans="1:18" s="152" customFormat="1" ht="15" customHeight="1">
      <c r="A198" s="64"/>
      <c r="B198" s="7">
        <f t="shared" si="98"/>
        <v>154</v>
      </c>
      <c r="C198" s="18" t="s">
        <v>1272</v>
      </c>
      <c r="D198" s="210" t="s">
        <v>1306</v>
      </c>
      <c r="E198" s="210" t="s">
        <v>173</v>
      </c>
      <c r="F198" s="210" t="s">
        <v>1956</v>
      </c>
      <c r="G198" s="203">
        <v>2019</v>
      </c>
      <c r="H198" s="7" t="s">
        <v>25</v>
      </c>
      <c r="I198" s="86">
        <v>43</v>
      </c>
      <c r="J198" s="247">
        <v>17386</v>
      </c>
      <c r="K198" s="207">
        <v>260.45499999999993</v>
      </c>
      <c r="L198" s="207">
        <v>85.533000000000001</v>
      </c>
      <c r="M198" s="207">
        <v>374.01200000000006</v>
      </c>
      <c r="N198" s="129">
        <f t="shared" si="115"/>
        <v>0.75278622379966931</v>
      </c>
      <c r="O198" s="129">
        <f t="shared" si="116"/>
        <v>0.88120416666666668</v>
      </c>
      <c r="P198" s="129">
        <f t="shared" si="117"/>
        <v>0.41050992407800552</v>
      </c>
      <c r="Q198" s="117">
        <f t="shared" si="118"/>
        <v>66.752414044652639</v>
      </c>
      <c r="R198" s="152" t="b">
        <f t="shared" si="81"/>
        <v>0</v>
      </c>
    </row>
    <row r="199" spans="1:18" s="152" customFormat="1" ht="15" customHeight="1">
      <c r="A199" s="64"/>
      <c r="B199" s="7">
        <f t="shared" si="98"/>
        <v>155</v>
      </c>
      <c r="C199" s="18" t="s">
        <v>1272</v>
      </c>
      <c r="D199" s="7" t="s">
        <v>1307</v>
      </c>
      <c r="E199" s="210" t="s">
        <v>173</v>
      </c>
      <c r="F199" s="7" t="s">
        <v>1956</v>
      </c>
      <c r="G199" s="178">
        <v>2019</v>
      </c>
      <c r="H199" s="7" t="s">
        <v>25</v>
      </c>
      <c r="I199" s="86">
        <v>43</v>
      </c>
      <c r="J199" s="135">
        <v>22730</v>
      </c>
      <c r="K199" s="116">
        <v>324.0859999999999</v>
      </c>
      <c r="L199" s="116">
        <v>8.3670000000000009</v>
      </c>
      <c r="M199" s="116">
        <v>387.54700000000008</v>
      </c>
      <c r="N199" s="129">
        <f t="shared" si="111"/>
        <v>0.97483253271891057</v>
      </c>
      <c r="O199" s="129">
        <f t="shared" si="112"/>
        <v>0.9883791666666667</v>
      </c>
      <c r="P199" s="129">
        <f t="shared" si="113"/>
        <v>0.45541170800117459</v>
      </c>
      <c r="Q199" s="117">
        <f t="shared" si="114"/>
        <v>70.135704720352024</v>
      </c>
      <c r="R199" s="152" t="str">
        <f t="shared" si="81"/>
        <v>PTP</v>
      </c>
    </row>
    <row r="200" spans="1:18" s="152" customFormat="1" ht="15" customHeight="1">
      <c r="A200" s="64"/>
      <c r="B200" s="7">
        <f t="shared" si="98"/>
        <v>156</v>
      </c>
      <c r="C200" s="18" t="s">
        <v>1272</v>
      </c>
      <c r="D200" s="7" t="s">
        <v>1424</v>
      </c>
      <c r="E200" s="210" t="s">
        <v>173</v>
      </c>
      <c r="F200" s="7" t="s">
        <v>1956</v>
      </c>
      <c r="G200" s="178">
        <v>2019</v>
      </c>
      <c r="H200" s="7" t="s">
        <v>25</v>
      </c>
      <c r="I200" s="86">
        <v>43</v>
      </c>
      <c r="J200" s="135">
        <v>26380</v>
      </c>
      <c r="K200" s="116">
        <v>323.20200000000011</v>
      </c>
      <c r="L200" s="116">
        <v>1.583</v>
      </c>
      <c r="M200" s="116">
        <v>395.21499999999986</v>
      </c>
      <c r="N200" s="129">
        <f t="shared" si="111"/>
        <v>0.99512600643502613</v>
      </c>
      <c r="O200" s="129">
        <f t="shared" si="112"/>
        <v>0.99780138888888881</v>
      </c>
      <c r="P200" s="129">
        <f t="shared" si="113"/>
        <v>0.44988077954725481</v>
      </c>
      <c r="Q200" s="117">
        <f t="shared" si="114"/>
        <v>81.620782049615997</v>
      </c>
      <c r="R200" s="152" t="str">
        <f t="shared" si="81"/>
        <v>PTP</v>
      </c>
    </row>
    <row r="201" spans="1:18" s="152" customFormat="1" ht="15" customHeight="1">
      <c r="A201" s="64"/>
      <c r="B201" s="7">
        <f t="shared" si="98"/>
        <v>157</v>
      </c>
      <c r="C201" s="18" t="s">
        <v>1272</v>
      </c>
      <c r="D201" s="7" t="s">
        <v>1312</v>
      </c>
      <c r="E201" s="210" t="s">
        <v>173</v>
      </c>
      <c r="F201" s="7" t="s">
        <v>1956</v>
      </c>
      <c r="G201" s="178">
        <v>2019</v>
      </c>
      <c r="H201" s="7" t="s">
        <v>25</v>
      </c>
      <c r="I201" s="86">
        <v>43</v>
      </c>
      <c r="J201" s="135">
        <v>23123</v>
      </c>
      <c r="K201" s="116">
        <v>291.07599999999991</v>
      </c>
      <c r="L201" s="116">
        <v>114.501</v>
      </c>
      <c r="M201" s="116">
        <v>314.42300000000012</v>
      </c>
      <c r="N201" s="129">
        <f t="shared" si="111"/>
        <v>0.71768369508132857</v>
      </c>
      <c r="O201" s="129">
        <f t="shared" si="112"/>
        <v>0.84097083333333333</v>
      </c>
      <c r="P201" s="129">
        <f t="shared" si="113"/>
        <v>0.48072085998490482</v>
      </c>
      <c r="Q201" s="117">
        <f t="shared" si="114"/>
        <v>79.439733952644701</v>
      </c>
      <c r="R201" s="152" t="b">
        <f t="shared" si="81"/>
        <v>0</v>
      </c>
    </row>
    <row r="202" spans="1:18" s="152" customFormat="1" ht="15" customHeight="1">
      <c r="A202" s="64"/>
      <c r="B202" s="7">
        <f t="shared" si="98"/>
        <v>158</v>
      </c>
      <c r="C202" s="18" t="s">
        <v>1272</v>
      </c>
      <c r="D202" s="7" t="s">
        <v>1314</v>
      </c>
      <c r="E202" s="210" t="s">
        <v>173</v>
      </c>
      <c r="F202" s="7" t="s">
        <v>1956</v>
      </c>
      <c r="G202" s="178">
        <v>2019</v>
      </c>
      <c r="H202" s="7" t="s">
        <v>25</v>
      </c>
      <c r="I202" s="86">
        <v>43</v>
      </c>
      <c r="J202" s="135">
        <v>0</v>
      </c>
      <c r="K202" s="116">
        <v>0</v>
      </c>
      <c r="L202" s="116">
        <v>0</v>
      </c>
      <c r="M202" s="116">
        <v>720</v>
      </c>
      <c r="N202" s="129">
        <v>0</v>
      </c>
      <c r="O202" s="129">
        <f t="shared" si="112"/>
        <v>1</v>
      </c>
      <c r="P202" s="129">
        <f t="shared" si="113"/>
        <v>0</v>
      </c>
      <c r="Q202" s="117">
        <v>0</v>
      </c>
      <c r="R202" s="152" t="str">
        <f t="shared" si="81"/>
        <v>PTP</v>
      </c>
    </row>
    <row r="203" spans="1:18" s="152" customFormat="1" ht="15" customHeight="1">
      <c r="A203" s="64"/>
      <c r="B203" s="7">
        <f t="shared" si="98"/>
        <v>159</v>
      </c>
      <c r="C203" s="18" t="s">
        <v>1272</v>
      </c>
      <c r="D203" s="7" t="s">
        <v>1319</v>
      </c>
      <c r="E203" s="210" t="s">
        <v>173</v>
      </c>
      <c r="F203" s="7" t="s">
        <v>1956</v>
      </c>
      <c r="G203" s="178">
        <v>2019</v>
      </c>
      <c r="H203" s="7" t="s">
        <v>25</v>
      </c>
      <c r="I203" s="86">
        <v>43</v>
      </c>
      <c r="J203" s="135">
        <v>11782</v>
      </c>
      <c r="K203" s="116">
        <v>156.58599999999998</v>
      </c>
      <c r="L203" s="116">
        <v>272.89999999999998</v>
      </c>
      <c r="M203" s="116">
        <v>290.51400000000001</v>
      </c>
      <c r="N203" s="129">
        <f t="shared" si="111"/>
        <v>0.36458929976762916</v>
      </c>
      <c r="O203" s="129">
        <f t="shared" si="112"/>
        <v>0.62097222222222226</v>
      </c>
      <c r="P203" s="129">
        <f t="shared" si="113"/>
        <v>0.3502259002460299</v>
      </c>
      <c r="Q203" s="117">
        <f t="shared" si="114"/>
        <v>75.242997458265748</v>
      </c>
      <c r="R203" s="152" t="b">
        <f t="shared" si="81"/>
        <v>0</v>
      </c>
    </row>
    <row r="204" spans="1:18" s="152" customFormat="1" ht="15" customHeight="1">
      <c r="A204" s="64"/>
      <c r="B204" s="7">
        <f t="shared" si="98"/>
        <v>160</v>
      </c>
      <c r="C204" s="18" t="s">
        <v>1272</v>
      </c>
      <c r="D204" s="7" t="s">
        <v>1322</v>
      </c>
      <c r="E204" s="210" t="s">
        <v>173</v>
      </c>
      <c r="F204" s="7" t="s">
        <v>1956</v>
      </c>
      <c r="G204" s="178">
        <v>2019</v>
      </c>
      <c r="H204" s="7" t="s">
        <v>25</v>
      </c>
      <c r="I204" s="86">
        <v>43</v>
      </c>
      <c r="J204" s="135">
        <v>24444</v>
      </c>
      <c r="K204" s="116">
        <v>302.96899999999999</v>
      </c>
      <c r="L204" s="116">
        <v>4.9990000000000006</v>
      </c>
      <c r="M204" s="116">
        <v>412.03199999999998</v>
      </c>
      <c r="N204" s="129">
        <f t="shared" si="111"/>
        <v>0.98376779405652526</v>
      </c>
      <c r="O204" s="129">
        <f t="shared" si="112"/>
        <v>0.99305694444444437</v>
      </c>
      <c r="P204" s="129">
        <f t="shared" si="113"/>
        <v>0.42373227450031536</v>
      </c>
      <c r="Q204" s="117">
        <f t="shared" si="114"/>
        <v>80.681521871874679</v>
      </c>
      <c r="R204" s="152" t="str">
        <f t="shared" si="81"/>
        <v>PTP</v>
      </c>
    </row>
    <row r="205" spans="1:18" s="152" customFormat="1" ht="15" customHeight="1">
      <c r="A205" s="64"/>
      <c r="B205" s="7">
        <f t="shared" si="98"/>
        <v>161</v>
      </c>
      <c r="C205" s="18" t="s">
        <v>1272</v>
      </c>
      <c r="D205" s="7" t="s">
        <v>1332</v>
      </c>
      <c r="E205" s="210" t="s">
        <v>173</v>
      </c>
      <c r="F205" s="7" t="s">
        <v>1956</v>
      </c>
      <c r="G205" s="178">
        <v>2019</v>
      </c>
      <c r="H205" s="7" t="s">
        <v>25</v>
      </c>
      <c r="I205" s="86">
        <v>43</v>
      </c>
      <c r="J205" s="135">
        <v>6303</v>
      </c>
      <c r="K205" s="116">
        <v>93.734000000000023</v>
      </c>
      <c r="L205" s="116">
        <v>468.2</v>
      </c>
      <c r="M205" s="116">
        <v>158.06599999999997</v>
      </c>
      <c r="N205" s="129">
        <f t="shared" si="111"/>
        <v>0.16680606619282698</v>
      </c>
      <c r="O205" s="129">
        <f t="shared" si="112"/>
        <v>0.34972222222222221</v>
      </c>
      <c r="P205" s="129">
        <f t="shared" si="113"/>
        <v>0.37225575853852272</v>
      </c>
      <c r="Q205" s="117">
        <f t="shared" si="114"/>
        <v>67.243476219941513</v>
      </c>
      <c r="R205" s="152" t="b">
        <f t="shared" si="81"/>
        <v>0</v>
      </c>
    </row>
    <row r="206" spans="1:18" s="152" customFormat="1" ht="15" customHeight="1">
      <c r="A206" s="64"/>
      <c r="B206" s="7">
        <f t="shared" si="98"/>
        <v>162</v>
      </c>
      <c r="C206" s="209" t="s">
        <v>1272</v>
      </c>
      <c r="D206" s="210" t="s">
        <v>1333</v>
      </c>
      <c r="E206" s="210" t="s">
        <v>173</v>
      </c>
      <c r="F206" s="210" t="s">
        <v>1956</v>
      </c>
      <c r="G206" s="203">
        <v>2019</v>
      </c>
      <c r="H206" s="210" t="s">
        <v>25</v>
      </c>
      <c r="I206" s="202">
        <v>43</v>
      </c>
      <c r="J206" s="208">
        <v>17321</v>
      </c>
      <c r="K206" s="207">
        <v>231.3</v>
      </c>
      <c r="L206" s="207">
        <v>138.46699999999998</v>
      </c>
      <c r="M206" s="207">
        <v>350.233</v>
      </c>
      <c r="N206" s="129">
        <f t="shared" ref="N206:N209" si="119">+K206/(K206+L206)</f>
        <v>0.62552904937433573</v>
      </c>
      <c r="O206" s="129">
        <f t="shared" ref="O206:O209" si="120">+(K206+M206)/(K206+L206+M206)</f>
        <v>0.80768472222222221</v>
      </c>
      <c r="P206" s="129">
        <f t="shared" ref="P206:P209" si="121">+K206/(K206+M206)</f>
        <v>0.39774183064417667</v>
      </c>
      <c r="Q206" s="117">
        <f t="shared" ref="Q206:Q209" si="122">+J206/K206</f>
        <v>74.885430177258968</v>
      </c>
    </row>
    <row r="207" spans="1:18" s="152" customFormat="1" ht="15" customHeight="1">
      <c r="A207" s="64"/>
      <c r="B207" s="7">
        <f t="shared" si="98"/>
        <v>163</v>
      </c>
      <c r="C207" s="209" t="s">
        <v>1272</v>
      </c>
      <c r="D207" s="210" t="s">
        <v>1418</v>
      </c>
      <c r="E207" s="210" t="s">
        <v>173</v>
      </c>
      <c r="F207" s="210" t="s">
        <v>1956</v>
      </c>
      <c r="G207" s="203">
        <v>2019</v>
      </c>
      <c r="H207" s="210" t="s">
        <v>25</v>
      </c>
      <c r="I207" s="202">
        <v>43</v>
      </c>
      <c r="J207" s="208">
        <v>28953</v>
      </c>
      <c r="K207" s="207">
        <v>356.78999999999996</v>
      </c>
      <c r="L207" s="207">
        <v>11.35</v>
      </c>
      <c r="M207" s="207">
        <v>351.86</v>
      </c>
      <c r="N207" s="129">
        <f t="shared" si="119"/>
        <v>0.96916933775194214</v>
      </c>
      <c r="O207" s="129">
        <f t="shared" si="120"/>
        <v>0.98423611111111109</v>
      </c>
      <c r="P207" s="129">
        <f t="shared" si="121"/>
        <v>0.50347844493050165</v>
      </c>
      <c r="Q207" s="117">
        <f t="shared" si="122"/>
        <v>81.148574791894404</v>
      </c>
    </row>
    <row r="208" spans="1:18" s="152" customFormat="1" ht="15" customHeight="1">
      <c r="A208" s="64"/>
      <c r="B208" s="7">
        <f t="shared" si="98"/>
        <v>164</v>
      </c>
      <c r="C208" s="209" t="s">
        <v>1272</v>
      </c>
      <c r="D208" s="210" t="s">
        <v>1427</v>
      </c>
      <c r="E208" s="210" t="s">
        <v>173</v>
      </c>
      <c r="F208" s="210" t="s">
        <v>1956</v>
      </c>
      <c r="G208" s="203">
        <v>2019</v>
      </c>
      <c r="H208" s="210" t="s">
        <v>25</v>
      </c>
      <c r="I208" s="202">
        <v>43</v>
      </c>
      <c r="J208" s="208">
        <v>19665</v>
      </c>
      <c r="K208" s="207">
        <v>269.75700000000001</v>
      </c>
      <c r="L208" s="207">
        <v>19</v>
      </c>
      <c r="M208" s="207">
        <v>431.24299999999999</v>
      </c>
      <c r="N208" s="129">
        <f t="shared" si="119"/>
        <v>0.9342007293329686</v>
      </c>
      <c r="O208" s="129">
        <f t="shared" si="120"/>
        <v>0.97361111111111109</v>
      </c>
      <c r="P208" s="129">
        <f t="shared" si="121"/>
        <v>0.38481740370898715</v>
      </c>
      <c r="Q208" s="117">
        <f t="shared" si="122"/>
        <v>72.898942381476658</v>
      </c>
    </row>
    <row r="209" spans="1:23" s="152" customFormat="1" ht="15" customHeight="1">
      <c r="A209" s="64"/>
      <c r="B209" s="7">
        <f t="shared" si="98"/>
        <v>165</v>
      </c>
      <c r="C209" s="209" t="s">
        <v>1272</v>
      </c>
      <c r="D209" s="210" t="s">
        <v>1345</v>
      </c>
      <c r="E209" s="210" t="s">
        <v>173</v>
      </c>
      <c r="F209" s="210" t="s">
        <v>1956</v>
      </c>
      <c r="G209" s="203">
        <v>2019</v>
      </c>
      <c r="H209" s="210" t="s">
        <v>25</v>
      </c>
      <c r="I209" s="202">
        <v>43</v>
      </c>
      <c r="J209" s="208">
        <v>30289</v>
      </c>
      <c r="K209" s="207">
        <v>340.30799999999988</v>
      </c>
      <c r="L209" s="207">
        <v>7.234</v>
      </c>
      <c r="M209" s="207">
        <v>372.45800000000014</v>
      </c>
      <c r="N209" s="129">
        <f t="shared" si="119"/>
        <v>0.97918524955257213</v>
      </c>
      <c r="O209" s="129">
        <f t="shared" si="120"/>
        <v>0.9899527777777779</v>
      </c>
      <c r="P209" s="129">
        <f t="shared" si="121"/>
        <v>0.47744701627181968</v>
      </c>
      <c r="Q209" s="117">
        <f t="shared" si="122"/>
        <v>89.004666361061183</v>
      </c>
    </row>
    <row r="210" spans="1:23" s="152" customFormat="1" ht="15" customHeight="1">
      <c r="A210" s="64"/>
      <c r="B210" s="7">
        <f t="shared" si="98"/>
        <v>166</v>
      </c>
      <c r="C210" s="18" t="s">
        <v>1272</v>
      </c>
      <c r="D210" s="7" t="s">
        <v>1347</v>
      </c>
      <c r="E210" s="210" t="s">
        <v>173</v>
      </c>
      <c r="F210" s="7" t="s">
        <v>1956</v>
      </c>
      <c r="G210" s="178">
        <v>2019</v>
      </c>
      <c r="H210" s="7" t="s">
        <v>25</v>
      </c>
      <c r="I210" s="86">
        <v>43</v>
      </c>
      <c r="J210" s="135">
        <v>16347</v>
      </c>
      <c r="K210" s="116">
        <v>203.80199999999988</v>
      </c>
      <c r="L210" s="116">
        <v>135.78300000000002</v>
      </c>
      <c r="M210" s="116">
        <v>380.41500000000008</v>
      </c>
      <c r="N210" s="129">
        <f t="shared" si="111"/>
        <v>0.60015018331198355</v>
      </c>
      <c r="O210" s="129">
        <f t="shared" si="112"/>
        <v>0.81141249999999998</v>
      </c>
      <c r="P210" s="129">
        <f t="shared" si="113"/>
        <v>0.34884640467497502</v>
      </c>
      <c r="Q210" s="117">
        <f t="shared" si="114"/>
        <v>80.210204021550382</v>
      </c>
      <c r="R210" s="152" t="b">
        <f t="shared" si="81"/>
        <v>0</v>
      </c>
    </row>
    <row r="211" spans="1:23" s="152" customFormat="1" ht="15" customHeight="1">
      <c r="A211" s="64"/>
      <c r="B211" s="7">
        <f t="shared" si="98"/>
        <v>167</v>
      </c>
      <c r="C211" s="18" t="s">
        <v>1272</v>
      </c>
      <c r="D211" s="7" t="s">
        <v>1348</v>
      </c>
      <c r="E211" s="210" t="s">
        <v>173</v>
      </c>
      <c r="F211" s="7" t="s">
        <v>1956</v>
      </c>
      <c r="G211" s="178">
        <v>2019</v>
      </c>
      <c r="H211" s="7" t="s">
        <v>25</v>
      </c>
      <c r="I211" s="86">
        <v>43</v>
      </c>
      <c r="J211" s="135">
        <v>23537</v>
      </c>
      <c r="K211" s="116">
        <v>327.80999999999972</v>
      </c>
      <c r="L211" s="116">
        <v>19.818000000000001</v>
      </c>
      <c r="M211" s="116">
        <v>372.3720000000003</v>
      </c>
      <c r="N211" s="129">
        <f t="shared" ref="N211" si="123">+K211/(K211+L211)</f>
        <v>0.94299078325106145</v>
      </c>
      <c r="O211" s="129">
        <f t="shared" ref="O211" si="124">+(K211+M211)/(K211+L211+M211)</f>
        <v>0.97247499999999998</v>
      </c>
      <c r="P211" s="129">
        <f t="shared" ref="P211" si="125">+K211/(K211+M211)</f>
        <v>0.4681782736488509</v>
      </c>
      <c r="Q211" s="117">
        <f t="shared" ref="Q211" si="126">+J211/K211</f>
        <v>71.800738232512799</v>
      </c>
      <c r="R211" s="152" t="str">
        <f t="shared" si="81"/>
        <v>PTP</v>
      </c>
    </row>
    <row r="212" spans="1:23" s="152" customFormat="1" ht="15" hidden="1" customHeight="1">
      <c r="A212" s="64"/>
      <c r="B212" s="7">
        <f t="shared" si="98"/>
        <v>168</v>
      </c>
      <c r="C212" s="18"/>
      <c r="D212" s="7"/>
      <c r="E212" s="7"/>
      <c r="F212" s="7"/>
      <c r="G212" s="178"/>
      <c r="H212" s="7"/>
      <c r="I212" s="86"/>
      <c r="J212" s="135"/>
      <c r="K212" s="116"/>
      <c r="L212" s="116"/>
      <c r="M212" s="116"/>
      <c r="N212" s="129" t="e">
        <f t="shared" ref="N212:N213" si="127">+K212/(K212+L212)</f>
        <v>#DIV/0!</v>
      </c>
      <c r="O212" s="129" t="e">
        <f t="shared" ref="O212:O213" si="128">+(K212+M212)/(K212+L212+M212)</f>
        <v>#DIV/0!</v>
      </c>
      <c r="P212" s="129" t="e">
        <f t="shared" ref="P212:P213" si="129">+K212/(K212+M212)</f>
        <v>#DIV/0!</v>
      </c>
      <c r="Q212" s="117" t="e">
        <f t="shared" ref="Q212:Q213" si="130">+J212/K212</f>
        <v>#DIV/0!</v>
      </c>
      <c r="R212" s="152" t="e">
        <f t="shared" si="81"/>
        <v>#DIV/0!</v>
      </c>
    </row>
    <row r="213" spans="1:23" s="152" customFormat="1" ht="15" hidden="1" customHeight="1">
      <c r="A213" s="64"/>
      <c r="B213" s="7">
        <f t="shared" si="98"/>
        <v>169</v>
      </c>
      <c r="C213" s="18"/>
      <c r="D213" s="7"/>
      <c r="E213" s="7"/>
      <c r="F213" s="7"/>
      <c r="G213" s="178"/>
      <c r="H213" s="7"/>
      <c r="I213" s="86"/>
      <c r="J213" s="135"/>
      <c r="K213" s="116"/>
      <c r="L213" s="116"/>
      <c r="M213" s="116"/>
      <c r="N213" s="129" t="e">
        <f t="shared" si="127"/>
        <v>#DIV/0!</v>
      </c>
      <c r="O213" s="129" t="e">
        <f t="shared" si="128"/>
        <v>#DIV/0!</v>
      </c>
      <c r="P213" s="129" t="e">
        <f t="shared" si="129"/>
        <v>#DIV/0!</v>
      </c>
      <c r="Q213" s="117" t="e">
        <f t="shared" si="130"/>
        <v>#DIV/0!</v>
      </c>
      <c r="R213" s="152" t="e">
        <f t="shared" si="81"/>
        <v>#DIV/0!</v>
      </c>
    </row>
    <row r="214" spans="1:23" s="152" customFormat="1" ht="15" customHeight="1">
      <c r="A214" s="64"/>
      <c r="B214" s="355" t="s">
        <v>22</v>
      </c>
      <c r="C214" s="356"/>
      <c r="D214" s="356"/>
      <c r="E214" s="358"/>
      <c r="F214" s="8">
        <f>+COUNTA(F45:F213)</f>
        <v>167</v>
      </c>
      <c r="G214" s="9"/>
      <c r="H214" s="7"/>
      <c r="I214" s="86"/>
      <c r="J214" s="86"/>
      <c r="K214" s="168"/>
      <c r="L214" s="168"/>
      <c r="M214" s="168"/>
      <c r="N214" s="129"/>
      <c r="O214" s="129"/>
      <c r="P214" s="129"/>
      <c r="Q214" s="117"/>
      <c r="R214" s="152">
        <f>COUNTIF(R45:R211,"PTP")</f>
        <v>123</v>
      </c>
    </row>
    <row r="215" spans="1:23" s="152" customFormat="1" ht="15" customHeight="1">
      <c r="A215" s="158"/>
      <c r="B215" s="159"/>
      <c r="C215" s="16"/>
      <c r="D215" s="17"/>
      <c r="E215" s="17"/>
      <c r="F215" s="17"/>
      <c r="G215" s="17"/>
      <c r="H215" s="16"/>
      <c r="I215" s="17"/>
      <c r="J215" s="17"/>
      <c r="K215" s="169"/>
      <c r="L215" s="160"/>
      <c r="M215" s="160"/>
      <c r="N215" s="160"/>
      <c r="O215" s="160"/>
      <c r="P215" s="160"/>
      <c r="Q215" s="170"/>
      <c r="R215" s="152" t="b">
        <f t="shared" si="81"/>
        <v>0</v>
      </c>
    </row>
    <row r="216" spans="1:23" s="152" customFormat="1" ht="15" customHeight="1">
      <c r="A216" s="65" t="s">
        <v>95</v>
      </c>
      <c r="B216" s="66" t="s">
        <v>96</v>
      </c>
      <c r="C216" s="4"/>
      <c r="D216" s="4"/>
      <c r="E216" s="4"/>
      <c r="F216" s="16"/>
      <c r="G216" s="4"/>
      <c r="H216" s="4"/>
      <c r="I216" s="4"/>
      <c r="J216" s="4"/>
      <c r="K216" s="160"/>
      <c r="L216" s="160"/>
      <c r="M216" s="160"/>
      <c r="N216" s="160"/>
      <c r="O216" s="160"/>
      <c r="P216" s="160"/>
      <c r="Q216" s="170"/>
      <c r="R216" s="152" t="b">
        <f t="shared" si="81"/>
        <v>0</v>
      </c>
    </row>
    <row r="217" spans="1:23" s="152" customFormat="1" ht="15" customHeight="1">
      <c r="A217" s="64"/>
      <c r="B217" s="6" t="s">
        <v>2</v>
      </c>
      <c r="C217" s="6" t="s">
        <v>3</v>
      </c>
      <c r="D217" s="6" t="s">
        <v>4</v>
      </c>
      <c r="E217" s="6" t="s">
        <v>5</v>
      </c>
      <c r="F217" s="6" t="s">
        <v>6</v>
      </c>
      <c r="G217" s="6" t="s">
        <v>7</v>
      </c>
      <c r="H217" s="6" t="s">
        <v>8</v>
      </c>
      <c r="I217" s="6" t="s">
        <v>9</v>
      </c>
      <c r="J217" s="83" t="s">
        <v>267</v>
      </c>
      <c r="K217" s="6" t="s">
        <v>262</v>
      </c>
      <c r="L217" s="6" t="s">
        <v>268</v>
      </c>
      <c r="M217" s="6" t="s">
        <v>269</v>
      </c>
      <c r="N217" s="6" t="s">
        <v>263</v>
      </c>
      <c r="O217" s="6" t="s">
        <v>264</v>
      </c>
      <c r="P217" s="6" t="s">
        <v>265</v>
      </c>
      <c r="Q217" s="67" t="s">
        <v>266</v>
      </c>
      <c r="R217" s="152" t="str">
        <f t="shared" ref="R217:R280" si="131">IF(O217&gt;89.9999999999999%,"PTP")</f>
        <v>PTP</v>
      </c>
    </row>
    <row r="218" spans="1:23" s="152" customFormat="1" ht="15" customHeight="1">
      <c r="A218" s="64"/>
      <c r="B218" s="355" t="s">
        <v>566</v>
      </c>
      <c r="C218" s="356"/>
      <c r="D218" s="356"/>
      <c r="E218" s="356"/>
      <c r="F218" s="356"/>
      <c r="G218" s="356"/>
      <c r="H218" s="356"/>
      <c r="I218" s="356"/>
      <c r="J218" s="356"/>
      <c r="K218" s="356"/>
      <c r="L218" s="356"/>
      <c r="M218" s="356"/>
      <c r="N218" s="356"/>
      <c r="O218" s="356"/>
      <c r="P218" s="356"/>
      <c r="Q218" s="357"/>
      <c r="R218" s="152" t="b">
        <f t="shared" si="131"/>
        <v>0</v>
      </c>
    </row>
    <row r="219" spans="1:23" s="152" customFormat="1" ht="15" customHeight="1">
      <c r="A219" s="153"/>
      <c r="B219" s="18">
        <v>1</v>
      </c>
      <c r="C219" s="178" t="s">
        <v>1272</v>
      </c>
      <c r="D219" s="178" t="s">
        <v>1459</v>
      </c>
      <c r="E219" s="178" t="s">
        <v>1222</v>
      </c>
      <c r="F219" s="209" t="s">
        <v>1961</v>
      </c>
      <c r="G219" s="178">
        <v>2021</v>
      </c>
      <c r="H219" s="7" t="s">
        <v>135</v>
      </c>
      <c r="I219" s="178"/>
      <c r="J219" s="135"/>
      <c r="K219" s="207">
        <v>238.20100000000005</v>
      </c>
      <c r="L219" s="207">
        <v>156.78399999999999</v>
      </c>
      <c r="M219" s="207">
        <v>325.01499999999999</v>
      </c>
      <c r="N219" s="129">
        <f t="shared" ref="N219" si="132">+K219/(K219+L219)</f>
        <v>0.60306340747116993</v>
      </c>
      <c r="O219" s="129">
        <f t="shared" ref="O219" si="133">+(K219+M219)/(K219+L219+M219)</f>
        <v>0.78224444444444441</v>
      </c>
      <c r="P219" s="129">
        <f>+K219/(K219+M219)</f>
        <v>0.42293010141757342</v>
      </c>
      <c r="Q219" s="257"/>
      <c r="R219" s="152" t="b">
        <f t="shared" si="131"/>
        <v>0</v>
      </c>
    </row>
    <row r="220" spans="1:23" s="152" customFormat="1" ht="15" customHeight="1">
      <c r="A220" s="153"/>
      <c r="B220" s="18">
        <f>B219+1</f>
        <v>2</v>
      </c>
      <c r="C220" s="178" t="s">
        <v>1272</v>
      </c>
      <c r="D220" s="178" t="s">
        <v>1460</v>
      </c>
      <c r="E220" s="178" t="s">
        <v>136</v>
      </c>
      <c r="F220" s="209" t="s">
        <v>1962</v>
      </c>
      <c r="G220" s="178">
        <v>2021</v>
      </c>
      <c r="H220" s="7" t="s">
        <v>135</v>
      </c>
      <c r="I220" s="178"/>
      <c r="J220" s="135"/>
      <c r="K220" s="207">
        <v>0</v>
      </c>
      <c r="L220" s="207">
        <v>0</v>
      </c>
      <c r="M220" s="207">
        <v>720</v>
      </c>
      <c r="N220" s="129" t="e">
        <f t="shared" ref="N220:N283" si="134">+K220/(K220+L220)</f>
        <v>#DIV/0!</v>
      </c>
      <c r="O220" s="129">
        <f t="shared" ref="O220:O283" si="135">+(K220+M220)/(K220+L220+M220)</f>
        <v>1</v>
      </c>
      <c r="P220" s="129">
        <f t="shared" ref="P220:P283" si="136">+K220/(K220+M220)</f>
        <v>0</v>
      </c>
      <c r="Q220" s="117"/>
      <c r="R220" s="152" t="str">
        <f t="shared" si="131"/>
        <v>PTP</v>
      </c>
    </row>
    <row r="221" spans="1:23" s="152" customFormat="1" ht="15" customHeight="1">
      <c r="A221" s="153"/>
      <c r="B221" s="18">
        <f t="shared" ref="B221:B226" si="137">+B220+1</f>
        <v>3</v>
      </c>
      <c r="C221" s="178" t="s">
        <v>1272</v>
      </c>
      <c r="D221" s="178" t="s">
        <v>1461</v>
      </c>
      <c r="E221" s="178" t="s">
        <v>1222</v>
      </c>
      <c r="F221" s="209" t="s">
        <v>1961</v>
      </c>
      <c r="G221" s="178">
        <v>2020</v>
      </c>
      <c r="H221" s="7" t="s">
        <v>135</v>
      </c>
      <c r="I221" s="178"/>
      <c r="J221" s="135"/>
      <c r="K221" s="207">
        <v>276.899</v>
      </c>
      <c r="L221" s="207">
        <v>115.533</v>
      </c>
      <c r="M221" s="207">
        <v>327.56799999999998</v>
      </c>
      <c r="N221" s="129">
        <f t="shared" si="134"/>
        <v>0.70559740286215189</v>
      </c>
      <c r="O221" s="129">
        <f t="shared" si="135"/>
        <v>0.83953749999999994</v>
      </c>
      <c r="P221" s="129">
        <f t="shared" si="136"/>
        <v>0.45808786914752997</v>
      </c>
      <c r="Q221" s="117"/>
      <c r="R221" s="152" t="b">
        <f t="shared" si="131"/>
        <v>0</v>
      </c>
    </row>
    <row r="222" spans="1:23" s="152" customFormat="1" ht="15" customHeight="1">
      <c r="A222" s="153"/>
      <c r="B222" s="18">
        <f t="shared" si="137"/>
        <v>4</v>
      </c>
      <c r="C222" s="178" t="s">
        <v>1272</v>
      </c>
      <c r="D222" s="178" t="s">
        <v>1462</v>
      </c>
      <c r="E222" s="178" t="s">
        <v>1220</v>
      </c>
      <c r="F222" s="209" t="s">
        <v>1963</v>
      </c>
      <c r="G222" s="178">
        <v>2020</v>
      </c>
      <c r="H222" s="7" t="s">
        <v>135</v>
      </c>
      <c r="I222" s="178"/>
      <c r="J222" s="135"/>
      <c r="K222" s="207">
        <v>355.89999999999992</v>
      </c>
      <c r="L222" s="207">
        <v>45.884999999999998</v>
      </c>
      <c r="M222" s="207">
        <v>318.21500000000009</v>
      </c>
      <c r="N222" s="129">
        <f t="shared" si="134"/>
        <v>0.88579713030600948</v>
      </c>
      <c r="O222" s="129">
        <f t="shared" si="135"/>
        <v>0.93627083333333339</v>
      </c>
      <c r="P222" s="129">
        <f t="shared" si="136"/>
        <v>0.52795146228759171</v>
      </c>
      <c r="Q222" s="117"/>
      <c r="R222" s="155" t="str">
        <f t="shared" si="131"/>
        <v>PTP</v>
      </c>
      <c r="W222" s="15"/>
    </row>
    <row r="223" spans="1:23" s="152" customFormat="1" ht="15" customHeight="1">
      <c r="A223" s="153"/>
      <c r="B223" s="18">
        <f t="shared" si="137"/>
        <v>5</v>
      </c>
      <c r="C223" s="178" t="s">
        <v>1272</v>
      </c>
      <c r="D223" s="178" t="s">
        <v>1463</v>
      </c>
      <c r="E223" s="178" t="s">
        <v>1220</v>
      </c>
      <c r="F223" s="209" t="s">
        <v>1963</v>
      </c>
      <c r="G223" s="178">
        <v>2020</v>
      </c>
      <c r="H223" s="7" t="s">
        <v>135</v>
      </c>
      <c r="I223" s="178"/>
      <c r="J223" s="135"/>
      <c r="K223" s="207">
        <v>276.49900000000002</v>
      </c>
      <c r="L223" s="207">
        <v>119.05</v>
      </c>
      <c r="M223" s="207">
        <v>324.45099999999996</v>
      </c>
      <c r="N223" s="129">
        <f t="shared" si="134"/>
        <v>0.6990259108226794</v>
      </c>
      <c r="O223" s="129">
        <f t="shared" si="135"/>
        <v>0.8346527777777778</v>
      </c>
      <c r="P223" s="129">
        <f t="shared" si="136"/>
        <v>0.46010316998086365</v>
      </c>
      <c r="Q223" s="117"/>
      <c r="R223" s="155" t="b">
        <f t="shared" si="131"/>
        <v>0</v>
      </c>
    </row>
    <row r="224" spans="1:23" s="152" customFormat="1" ht="15" customHeight="1">
      <c r="A224" s="153"/>
      <c r="B224" s="18">
        <f t="shared" si="137"/>
        <v>6</v>
      </c>
      <c r="C224" s="178" t="s">
        <v>1272</v>
      </c>
      <c r="D224" s="178" t="s">
        <v>1464</v>
      </c>
      <c r="E224" s="178" t="s">
        <v>1220</v>
      </c>
      <c r="F224" s="209" t="s">
        <v>1963</v>
      </c>
      <c r="G224" s="178">
        <v>2019</v>
      </c>
      <c r="H224" s="7" t="s">
        <v>135</v>
      </c>
      <c r="I224" s="178"/>
      <c r="J224" s="135"/>
      <c r="K224" s="207">
        <v>137.69999999999999</v>
      </c>
      <c r="L224" s="207">
        <v>440.46699999999998</v>
      </c>
      <c r="M224" s="207">
        <v>141.83299999999997</v>
      </c>
      <c r="N224" s="129">
        <f t="shared" si="134"/>
        <v>0.23816648131076318</v>
      </c>
      <c r="O224" s="129">
        <f t="shared" si="135"/>
        <v>0.38824027777777781</v>
      </c>
      <c r="P224" s="129">
        <f t="shared" si="136"/>
        <v>0.49260731291117688</v>
      </c>
      <c r="Q224" s="117"/>
      <c r="R224" s="155" t="b">
        <f t="shared" si="131"/>
        <v>0</v>
      </c>
    </row>
    <row r="225" spans="1:21" s="152" customFormat="1" ht="15" customHeight="1">
      <c r="A225" s="153"/>
      <c r="B225" s="18">
        <f t="shared" si="137"/>
        <v>7</v>
      </c>
      <c r="C225" s="178" t="s">
        <v>1272</v>
      </c>
      <c r="D225" s="178" t="s">
        <v>1465</v>
      </c>
      <c r="E225" s="178" t="s">
        <v>1220</v>
      </c>
      <c r="F225" s="209" t="s">
        <v>1963</v>
      </c>
      <c r="G225" s="178">
        <v>2019</v>
      </c>
      <c r="H225" s="7" t="s">
        <v>135</v>
      </c>
      <c r="I225" s="178"/>
      <c r="J225" s="135"/>
      <c r="K225" s="207">
        <v>366.90000000000003</v>
      </c>
      <c r="L225" s="207">
        <v>26.134</v>
      </c>
      <c r="M225" s="207">
        <v>326.96599999999995</v>
      </c>
      <c r="N225" s="129">
        <f t="shared" si="134"/>
        <v>0.93350702483754588</v>
      </c>
      <c r="O225" s="129">
        <f t="shared" si="135"/>
        <v>0.9637027777777778</v>
      </c>
      <c r="P225" s="129">
        <f t="shared" si="136"/>
        <v>0.52877644963148507</v>
      </c>
      <c r="Q225" s="117"/>
      <c r="R225" s="155" t="str">
        <f t="shared" si="131"/>
        <v>PTP</v>
      </c>
      <c r="U225" s="15"/>
    </row>
    <row r="226" spans="1:21" s="152" customFormat="1" ht="15" customHeight="1">
      <c r="A226" s="153"/>
      <c r="B226" s="18">
        <f t="shared" si="137"/>
        <v>8</v>
      </c>
      <c r="C226" s="178" t="s">
        <v>1272</v>
      </c>
      <c r="D226" s="178" t="s">
        <v>1466</v>
      </c>
      <c r="E226" s="178" t="s">
        <v>1467</v>
      </c>
      <c r="F226" s="209" t="s">
        <v>1964</v>
      </c>
      <c r="G226" s="178">
        <v>2020</v>
      </c>
      <c r="H226" s="7" t="s">
        <v>135</v>
      </c>
      <c r="I226" s="178"/>
      <c r="J226" s="135"/>
      <c r="K226" s="207">
        <v>331.00000000000006</v>
      </c>
      <c r="L226" s="207">
        <v>141.01600000000002</v>
      </c>
      <c r="M226" s="207">
        <v>247.98399999999992</v>
      </c>
      <c r="N226" s="129">
        <f t="shared" si="134"/>
        <v>0.70124741534185286</v>
      </c>
      <c r="O226" s="129">
        <f t="shared" si="135"/>
        <v>0.80414444444444433</v>
      </c>
      <c r="P226" s="129">
        <f t="shared" si="136"/>
        <v>0.57169110027220116</v>
      </c>
      <c r="Q226" s="117"/>
      <c r="R226" s="155" t="b">
        <f t="shared" si="131"/>
        <v>0</v>
      </c>
      <c r="U226" s="15"/>
    </row>
    <row r="227" spans="1:21" s="152" customFormat="1" ht="15" customHeight="1">
      <c r="A227" s="153"/>
      <c r="B227" s="18">
        <f t="shared" ref="B227:B239" si="138">+B226+1</f>
        <v>9</v>
      </c>
      <c r="C227" s="178" t="s">
        <v>1272</v>
      </c>
      <c r="D227" s="178" t="s">
        <v>1468</v>
      </c>
      <c r="E227" s="178" t="s">
        <v>1220</v>
      </c>
      <c r="F227" s="209" t="s">
        <v>1963</v>
      </c>
      <c r="G227" s="178">
        <v>2020</v>
      </c>
      <c r="H227" s="7" t="s">
        <v>135</v>
      </c>
      <c r="I227" s="178"/>
      <c r="J227" s="135"/>
      <c r="K227" s="207">
        <v>266.59999999999997</v>
      </c>
      <c r="L227" s="207">
        <v>107.818</v>
      </c>
      <c r="M227" s="207">
        <v>345.58200000000005</v>
      </c>
      <c r="N227" s="129">
        <f t="shared" si="134"/>
        <v>0.71203841695644976</v>
      </c>
      <c r="O227" s="129">
        <f t="shared" si="135"/>
        <v>0.85025277777777775</v>
      </c>
      <c r="P227" s="129">
        <f t="shared" si="136"/>
        <v>0.43549140615045845</v>
      </c>
      <c r="Q227" s="117"/>
      <c r="R227" s="155" t="b">
        <f t="shared" si="131"/>
        <v>0</v>
      </c>
    </row>
    <row r="228" spans="1:21" s="152" customFormat="1" ht="15" customHeight="1">
      <c r="A228" s="153"/>
      <c r="B228" s="18">
        <f t="shared" si="138"/>
        <v>10</v>
      </c>
      <c r="C228" s="18" t="s">
        <v>1272</v>
      </c>
      <c r="D228" s="18" t="s">
        <v>1469</v>
      </c>
      <c r="E228" s="18" t="s">
        <v>1220</v>
      </c>
      <c r="F228" s="209" t="s">
        <v>1963</v>
      </c>
      <c r="G228" s="18">
        <v>2019</v>
      </c>
      <c r="H228" s="7" t="s">
        <v>135</v>
      </c>
      <c r="I228" s="18"/>
      <c r="J228" s="135"/>
      <c r="K228" s="207">
        <v>302.50000000000011</v>
      </c>
      <c r="L228" s="207">
        <v>227.88400000000001</v>
      </c>
      <c r="M228" s="207">
        <v>189.61599999999987</v>
      </c>
      <c r="N228" s="129">
        <f t="shared" si="134"/>
        <v>0.57034148843102361</v>
      </c>
      <c r="O228" s="129">
        <f t="shared" si="135"/>
        <v>0.6834944444444444</v>
      </c>
      <c r="P228" s="129">
        <f t="shared" si="136"/>
        <v>0.61469247088084944</v>
      </c>
      <c r="Q228" s="117"/>
      <c r="R228" s="152" t="b">
        <f t="shared" si="131"/>
        <v>0</v>
      </c>
    </row>
    <row r="229" spans="1:21" s="152" customFormat="1" ht="15" customHeight="1">
      <c r="A229" s="153"/>
      <c r="B229" s="18">
        <f t="shared" si="138"/>
        <v>11</v>
      </c>
      <c r="C229" s="18" t="s">
        <v>1272</v>
      </c>
      <c r="D229" s="18" t="s">
        <v>1470</v>
      </c>
      <c r="E229" s="18" t="s">
        <v>1467</v>
      </c>
      <c r="F229" s="209" t="s">
        <v>1964</v>
      </c>
      <c r="G229" s="18">
        <v>2020</v>
      </c>
      <c r="H229" s="7" t="s">
        <v>135</v>
      </c>
      <c r="I229" s="18"/>
      <c r="J229" s="135"/>
      <c r="K229" s="207">
        <v>336.79999999999995</v>
      </c>
      <c r="L229" s="207">
        <v>51.283999999999999</v>
      </c>
      <c r="M229" s="207">
        <v>331.91600000000005</v>
      </c>
      <c r="N229" s="129">
        <f t="shared" si="134"/>
        <v>0.86785335133630859</v>
      </c>
      <c r="O229" s="129">
        <f t="shared" si="135"/>
        <v>0.92877222222222222</v>
      </c>
      <c r="P229" s="129">
        <f t="shared" si="136"/>
        <v>0.50365177444535492</v>
      </c>
      <c r="Q229" s="117"/>
      <c r="R229" s="152" t="str">
        <f t="shared" si="131"/>
        <v>PTP</v>
      </c>
    </row>
    <row r="230" spans="1:21" s="152" customFormat="1" ht="15" customHeight="1">
      <c r="A230" s="153"/>
      <c r="B230" s="18">
        <f t="shared" si="138"/>
        <v>12</v>
      </c>
      <c r="C230" s="18" t="s">
        <v>1272</v>
      </c>
      <c r="D230" s="18" t="s">
        <v>1471</v>
      </c>
      <c r="E230" s="18" t="s">
        <v>1220</v>
      </c>
      <c r="F230" s="209" t="s">
        <v>1963</v>
      </c>
      <c r="G230" s="18">
        <v>2019</v>
      </c>
      <c r="H230" s="7" t="s">
        <v>135</v>
      </c>
      <c r="I230" s="18"/>
      <c r="J230" s="135"/>
      <c r="K230" s="207">
        <v>315.09999999999991</v>
      </c>
      <c r="L230" s="207">
        <v>50.598999999999997</v>
      </c>
      <c r="M230" s="207">
        <v>354.3010000000001</v>
      </c>
      <c r="N230" s="129">
        <f t="shared" si="134"/>
        <v>0.86163757625807014</v>
      </c>
      <c r="O230" s="129">
        <f t="shared" si="135"/>
        <v>0.92972361111111124</v>
      </c>
      <c r="P230" s="129">
        <f t="shared" si="136"/>
        <v>0.47071934460808973</v>
      </c>
      <c r="Q230" s="117"/>
      <c r="R230" s="152" t="str">
        <f t="shared" si="131"/>
        <v>PTP</v>
      </c>
    </row>
    <row r="231" spans="1:21" s="152" customFormat="1" ht="15" customHeight="1">
      <c r="A231" s="153"/>
      <c r="B231" s="18">
        <f t="shared" si="138"/>
        <v>13</v>
      </c>
      <c r="C231" s="178" t="s">
        <v>1272</v>
      </c>
      <c r="D231" s="178" t="s">
        <v>1965</v>
      </c>
      <c r="E231" s="178" t="s">
        <v>1220</v>
      </c>
      <c r="F231" s="178" t="s">
        <v>1964</v>
      </c>
      <c r="G231" s="178">
        <v>2022</v>
      </c>
      <c r="H231" s="7" t="s">
        <v>135</v>
      </c>
      <c r="I231" s="178"/>
      <c r="J231" s="135"/>
      <c r="K231" s="207">
        <v>384.99999999999977</v>
      </c>
      <c r="L231" s="207">
        <v>44.649999999999991</v>
      </c>
      <c r="M231" s="207">
        <v>290.35000000000025</v>
      </c>
      <c r="N231" s="129">
        <f t="shared" si="134"/>
        <v>0.89607820318864195</v>
      </c>
      <c r="O231" s="129">
        <f t="shared" si="135"/>
        <v>0.93798611111111119</v>
      </c>
      <c r="P231" s="129">
        <f t="shared" si="136"/>
        <v>0.57007477604205192</v>
      </c>
      <c r="Q231" s="117"/>
      <c r="R231" s="152" t="str">
        <f t="shared" si="131"/>
        <v>PTP</v>
      </c>
    </row>
    <row r="232" spans="1:21" s="152" customFormat="1" ht="15" customHeight="1">
      <c r="A232" s="153"/>
      <c r="B232" s="18">
        <f t="shared" si="138"/>
        <v>14</v>
      </c>
      <c r="C232" s="178" t="s">
        <v>1272</v>
      </c>
      <c r="D232" s="178" t="s">
        <v>1472</v>
      </c>
      <c r="E232" s="178" t="s">
        <v>1473</v>
      </c>
      <c r="F232" s="178" t="s">
        <v>1966</v>
      </c>
      <c r="G232" s="178">
        <v>2017</v>
      </c>
      <c r="H232" s="178" t="s">
        <v>114</v>
      </c>
      <c r="I232" s="178"/>
      <c r="J232" s="135"/>
      <c r="K232" s="207">
        <v>411.69999999999976</v>
      </c>
      <c r="L232" s="207">
        <v>24.364999999999995</v>
      </c>
      <c r="M232" s="207">
        <v>283.93500000000023</v>
      </c>
      <c r="N232" s="129">
        <f t="shared" si="134"/>
        <v>0.94412530242051063</v>
      </c>
      <c r="O232" s="129">
        <f t="shared" si="135"/>
        <v>0.96615972222222224</v>
      </c>
      <c r="P232" s="129">
        <f t="shared" si="136"/>
        <v>0.5918333608860965</v>
      </c>
      <c r="Q232" s="117"/>
      <c r="R232" s="155" t="str">
        <f t="shared" si="131"/>
        <v>PTP</v>
      </c>
    </row>
    <row r="233" spans="1:21" s="152" customFormat="1" ht="15" customHeight="1">
      <c r="A233" s="153"/>
      <c r="B233" s="18">
        <f t="shared" si="138"/>
        <v>15</v>
      </c>
      <c r="C233" s="178" t="s">
        <v>1272</v>
      </c>
      <c r="D233" s="178" t="s">
        <v>1474</v>
      </c>
      <c r="E233" s="178" t="s">
        <v>1473</v>
      </c>
      <c r="F233" s="178" t="s">
        <v>1966</v>
      </c>
      <c r="G233" s="178">
        <v>2017</v>
      </c>
      <c r="H233" s="178" t="s">
        <v>114</v>
      </c>
      <c r="I233" s="178"/>
      <c r="J233" s="135"/>
      <c r="K233" s="207">
        <v>322.69999999999982</v>
      </c>
      <c r="L233" s="207">
        <v>20.184000000000001</v>
      </c>
      <c r="M233" s="207">
        <v>377.11600000000016</v>
      </c>
      <c r="N233" s="129">
        <f t="shared" si="134"/>
        <v>0.94113461112212871</v>
      </c>
      <c r="O233" s="129">
        <f t="shared" si="135"/>
        <v>0.97196666666666676</v>
      </c>
      <c r="P233" s="129">
        <f t="shared" si="136"/>
        <v>0.46112120900350922</v>
      </c>
      <c r="Q233" s="117"/>
      <c r="R233" s="152" t="str">
        <f t="shared" si="131"/>
        <v>PTP</v>
      </c>
    </row>
    <row r="234" spans="1:21" s="152" customFormat="1" ht="15" customHeight="1">
      <c r="A234" s="153"/>
      <c r="B234" s="18">
        <f t="shared" si="138"/>
        <v>16</v>
      </c>
      <c r="C234" s="178" t="s">
        <v>1272</v>
      </c>
      <c r="D234" s="178" t="s">
        <v>1475</v>
      </c>
      <c r="E234" s="178" t="s">
        <v>1473</v>
      </c>
      <c r="F234" s="178" t="s">
        <v>1966</v>
      </c>
      <c r="G234" s="178">
        <v>2021</v>
      </c>
      <c r="H234" s="178" t="s">
        <v>114</v>
      </c>
      <c r="I234" s="178"/>
      <c r="J234" s="135"/>
      <c r="K234" s="207">
        <v>401.9</v>
      </c>
      <c r="L234" s="207">
        <v>24.349999999999998</v>
      </c>
      <c r="M234" s="207">
        <v>293.75</v>
      </c>
      <c r="N234" s="129">
        <f t="shared" si="134"/>
        <v>0.94287390029325513</v>
      </c>
      <c r="O234" s="129">
        <f t="shared" si="135"/>
        <v>0.96618055555555549</v>
      </c>
      <c r="P234" s="129">
        <f t="shared" si="136"/>
        <v>0.57773305541579811</v>
      </c>
      <c r="Q234" s="117"/>
      <c r="R234" s="155" t="str">
        <f t="shared" si="131"/>
        <v>PTP</v>
      </c>
    </row>
    <row r="235" spans="1:21" s="152" customFormat="1" ht="15" customHeight="1">
      <c r="A235" s="153"/>
      <c r="B235" s="18">
        <f t="shared" si="138"/>
        <v>17</v>
      </c>
      <c r="C235" s="178" t="s">
        <v>1272</v>
      </c>
      <c r="D235" s="178" t="s">
        <v>1476</v>
      </c>
      <c r="E235" s="178" t="s">
        <v>1473</v>
      </c>
      <c r="F235" s="178" t="s">
        <v>1967</v>
      </c>
      <c r="G235" s="178">
        <v>2020</v>
      </c>
      <c r="H235" s="178" t="s">
        <v>114</v>
      </c>
      <c r="I235" s="178"/>
      <c r="J235" s="135"/>
      <c r="K235" s="207">
        <v>243.40000000000003</v>
      </c>
      <c r="L235" s="207">
        <v>159.48400000000001</v>
      </c>
      <c r="M235" s="207">
        <v>317.11599999999999</v>
      </c>
      <c r="N235" s="129">
        <f t="shared" si="134"/>
        <v>0.60414412088839475</v>
      </c>
      <c r="O235" s="129">
        <f t="shared" si="135"/>
        <v>0.7784944444444446</v>
      </c>
      <c r="P235" s="129">
        <f t="shared" si="136"/>
        <v>0.43424273348129222</v>
      </c>
      <c r="Q235" s="117"/>
      <c r="R235" s="152" t="b">
        <f t="shared" si="131"/>
        <v>0</v>
      </c>
    </row>
    <row r="236" spans="1:21" s="152" customFormat="1" ht="15" customHeight="1">
      <c r="A236" s="153"/>
      <c r="B236" s="18">
        <f t="shared" si="138"/>
        <v>18</v>
      </c>
      <c r="C236" s="178" t="s">
        <v>1272</v>
      </c>
      <c r="D236" s="178" t="s">
        <v>1477</v>
      </c>
      <c r="E236" s="178" t="s">
        <v>1473</v>
      </c>
      <c r="F236" s="178" t="s">
        <v>1966</v>
      </c>
      <c r="G236" s="178">
        <v>2021</v>
      </c>
      <c r="H236" s="178" t="s">
        <v>114</v>
      </c>
      <c r="I236" s="178"/>
      <c r="J236" s="135"/>
      <c r="K236" s="207">
        <v>400.79999999999995</v>
      </c>
      <c r="L236" s="207">
        <v>10.233000000000001</v>
      </c>
      <c r="M236" s="207">
        <v>308.96700000000004</v>
      </c>
      <c r="N236" s="129">
        <f t="shared" si="134"/>
        <v>0.97510418871477467</v>
      </c>
      <c r="O236" s="129">
        <f t="shared" si="135"/>
        <v>0.98578750000000004</v>
      </c>
      <c r="P236" s="129">
        <f t="shared" si="136"/>
        <v>0.56469235678750906</v>
      </c>
      <c r="Q236" s="117"/>
      <c r="R236" s="152" t="str">
        <f t="shared" si="131"/>
        <v>PTP</v>
      </c>
    </row>
    <row r="237" spans="1:21" s="152" customFormat="1" ht="15" customHeight="1">
      <c r="A237" s="153"/>
      <c r="B237" s="18">
        <f t="shared" si="138"/>
        <v>19</v>
      </c>
      <c r="C237" s="178" t="s">
        <v>1272</v>
      </c>
      <c r="D237" s="178" t="s">
        <v>1478</v>
      </c>
      <c r="E237" s="178" t="s">
        <v>1473</v>
      </c>
      <c r="F237" s="178" t="s">
        <v>1966</v>
      </c>
      <c r="G237" s="178">
        <v>2017</v>
      </c>
      <c r="H237" s="178" t="s">
        <v>114</v>
      </c>
      <c r="I237" s="178"/>
      <c r="J237" s="135"/>
      <c r="K237" s="207">
        <v>382.89999999999986</v>
      </c>
      <c r="L237" s="207">
        <v>25.4</v>
      </c>
      <c r="M237" s="207">
        <v>311.70000000000016</v>
      </c>
      <c r="N237" s="129">
        <f t="shared" si="134"/>
        <v>0.93779084006857705</v>
      </c>
      <c r="O237" s="129">
        <f t="shared" si="135"/>
        <v>0.96472222222222226</v>
      </c>
      <c r="P237" s="129">
        <f t="shared" si="136"/>
        <v>0.55125251943564624</v>
      </c>
      <c r="Q237" s="117"/>
      <c r="R237" s="152" t="str">
        <f t="shared" si="131"/>
        <v>PTP</v>
      </c>
    </row>
    <row r="238" spans="1:21" s="152" customFormat="1" ht="15" customHeight="1">
      <c r="A238" s="153"/>
      <c r="B238" s="18">
        <f t="shared" si="138"/>
        <v>20</v>
      </c>
      <c r="C238" s="178" t="s">
        <v>1272</v>
      </c>
      <c r="D238" s="178" t="s">
        <v>1479</v>
      </c>
      <c r="E238" s="178" t="s">
        <v>1473</v>
      </c>
      <c r="F238" s="178" t="s">
        <v>1967</v>
      </c>
      <c r="G238" s="178">
        <v>2020</v>
      </c>
      <c r="H238" s="178" t="s">
        <v>114</v>
      </c>
      <c r="I238" s="178"/>
      <c r="J238" s="135"/>
      <c r="K238" s="207">
        <v>388.99899999999991</v>
      </c>
      <c r="L238" s="207">
        <v>22.8</v>
      </c>
      <c r="M238" s="207">
        <v>308.20100000000008</v>
      </c>
      <c r="N238" s="129">
        <f t="shared" si="134"/>
        <v>0.9446331826934985</v>
      </c>
      <c r="O238" s="129">
        <f t="shared" si="135"/>
        <v>0.96833333333333338</v>
      </c>
      <c r="P238" s="129">
        <f t="shared" si="136"/>
        <v>0.55794463568559938</v>
      </c>
      <c r="Q238" s="117"/>
      <c r="R238" s="152" t="str">
        <f t="shared" si="131"/>
        <v>PTP</v>
      </c>
    </row>
    <row r="239" spans="1:21" s="152" customFormat="1" ht="15" customHeight="1">
      <c r="A239" s="153"/>
      <c r="B239" s="18">
        <f t="shared" si="138"/>
        <v>21</v>
      </c>
      <c r="C239" s="178" t="s">
        <v>1272</v>
      </c>
      <c r="D239" s="178" t="s">
        <v>1480</v>
      </c>
      <c r="E239" s="178" t="s">
        <v>1473</v>
      </c>
      <c r="F239" s="178" t="s">
        <v>1967</v>
      </c>
      <c r="G239" s="178">
        <v>2020</v>
      </c>
      <c r="H239" s="178" t="s">
        <v>114</v>
      </c>
      <c r="I239" s="178"/>
      <c r="J239" s="135"/>
      <c r="K239" s="207">
        <v>342.49999999999994</v>
      </c>
      <c r="L239" s="207">
        <v>73.867000000000004</v>
      </c>
      <c r="M239" s="207">
        <v>303.63300000000004</v>
      </c>
      <c r="N239" s="129">
        <f t="shared" si="134"/>
        <v>0.82259160788439034</v>
      </c>
      <c r="O239" s="129">
        <f t="shared" si="135"/>
        <v>0.89740694444444447</v>
      </c>
      <c r="P239" s="129">
        <f t="shared" si="136"/>
        <v>0.53007662509111886</v>
      </c>
      <c r="Q239" s="117"/>
      <c r="R239" s="152" t="b">
        <f t="shared" si="131"/>
        <v>0</v>
      </c>
    </row>
    <row r="240" spans="1:21" s="152" customFormat="1" ht="15" customHeight="1">
      <c r="A240" s="153"/>
      <c r="B240" s="18">
        <f t="shared" ref="B240:B419" si="139">+B239+1</f>
        <v>22</v>
      </c>
      <c r="C240" s="178" t="s">
        <v>1272</v>
      </c>
      <c r="D240" s="178" t="s">
        <v>1481</v>
      </c>
      <c r="E240" s="178" t="s">
        <v>1473</v>
      </c>
      <c r="F240" s="178" t="s">
        <v>1966</v>
      </c>
      <c r="G240" s="178">
        <v>2018</v>
      </c>
      <c r="H240" s="178" t="s">
        <v>114</v>
      </c>
      <c r="I240" s="178"/>
      <c r="J240" s="135"/>
      <c r="K240" s="207">
        <v>389.99999999999972</v>
      </c>
      <c r="L240" s="207">
        <v>13.717000000000001</v>
      </c>
      <c r="M240" s="207">
        <v>316.2830000000003</v>
      </c>
      <c r="N240" s="129">
        <f t="shared" si="134"/>
        <v>0.96602322914318695</v>
      </c>
      <c r="O240" s="129">
        <f t="shared" si="135"/>
        <v>0.98094861111111109</v>
      </c>
      <c r="P240" s="129">
        <f t="shared" si="136"/>
        <v>0.55218658809570631</v>
      </c>
      <c r="Q240" s="117"/>
      <c r="R240" s="152" t="str">
        <f t="shared" si="131"/>
        <v>PTP</v>
      </c>
    </row>
    <row r="241" spans="1:18" s="152" customFormat="1" ht="15" customHeight="1">
      <c r="A241" s="153"/>
      <c r="B241" s="18">
        <f t="shared" si="139"/>
        <v>23</v>
      </c>
      <c r="C241" s="178" t="s">
        <v>1272</v>
      </c>
      <c r="D241" s="178" t="s">
        <v>1482</v>
      </c>
      <c r="E241" s="178" t="s">
        <v>1483</v>
      </c>
      <c r="F241" s="178" t="s">
        <v>1968</v>
      </c>
      <c r="G241" s="178">
        <v>2022</v>
      </c>
      <c r="H241" s="178" t="s">
        <v>114</v>
      </c>
      <c r="I241" s="178"/>
      <c r="J241" s="135"/>
      <c r="K241" s="207">
        <v>417.89999999999981</v>
      </c>
      <c r="L241" s="207">
        <v>4.0999999999999996</v>
      </c>
      <c r="M241" s="207">
        <v>298.00000000000017</v>
      </c>
      <c r="N241" s="129">
        <f t="shared" si="134"/>
        <v>0.99028436018957344</v>
      </c>
      <c r="O241" s="129">
        <f t="shared" si="135"/>
        <v>0.99430555555555555</v>
      </c>
      <c r="P241" s="129">
        <f t="shared" si="136"/>
        <v>0.58374074591423353</v>
      </c>
      <c r="Q241" s="117"/>
      <c r="R241" s="152" t="str">
        <f t="shared" si="131"/>
        <v>PTP</v>
      </c>
    </row>
    <row r="242" spans="1:18" s="152" customFormat="1" ht="15" customHeight="1">
      <c r="A242" s="153"/>
      <c r="B242" s="18">
        <f t="shared" si="139"/>
        <v>24</v>
      </c>
      <c r="C242" s="178" t="s">
        <v>1272</v>
      </c>
      <c r="D242" s="178" t="s">
        <v>1484</v>
      </c>
      <c r="E242" s="178" t="s">
        <v>1483</v>
      </c>
      <c r="F242" s="178" t="s">
        <v>1968</v>
      </c>
      <c r="G242" s="178">
        <v>2017</v>
      </c>
      <c r="H242" s="178" t="s">
        <v>114</v>
      </c>
      <c r="I242" s="178"/>
      <c r="J242" s="135"/>
      <c r="K242" s="207">
        <v>389.39999999999964</v>
      </c>
      <c r="L242" s="207">
        <v>31.15</v>
      </c>
      <c r="M242" s="207">
        <v>299.45000000000039</v>
      </c>
      <c r="N242" s="129">
        <f t="shared" si="134"/>
        <v>0.92593032933063846</v>
      </c>
      <c r="O242" s="129">
        <f t="shared" si="135"/>
        <v>0.95673611111111112</v>
      </c>
      <c r="P242" s="129">
        <f t="shared" si="136"/>
        <v>0.56528997604703435</v>
      </c>
      <c r="Q242" s="117"/>
      <c r="R242" s="152" t="str">
        <f t="shared" si="131"/>
        <v>PTP</v>
      </c>
    </row>
    <row r="243" spans="1:18" s="152" customFormat="1" ht="15" customHeight="1">
      <c r="A243" s="153"/>
      <c r="B243" s="18">
        <f t="shared" si="139"/>
        <v>25</v>
      </c>
      <c r="C243" s="178" t="s">
        <v>1272</v>
      </c>
      <c r="D243" s="178" t="s">
        <v>1485</v>
      </c>
      <c r="E243" s="178" t="s">
        <v>1473</v>
      </c>
      <c r="F243" s="178" t="s">
        <v>1967</v>
      </c>
      <c r="G243" s="178">
        <v>2020</v>
      </c>
      <c r="H243" s="178" t="s">
        <v>114</v>
      </c>
      <c r="I243" s="178"/>
      <c r="J243" s="135"/>
      <c r="K243" s="207">
        <v>235.00000000000011</v>
      </c>
      <c r="L243" s="207">
        <v>144.69999999999999</v>
      </c>
      <c r="M243" s="207">
        <v>340.2999999999999</v>
      </c>
      <c r="N243" s="129">
        <f t="shared" si="134"/>
        <v>0.61890966552541493</v>
      </c>
      <c r="O243" s="129">
        <f t="shared" si="135"/>
        <v>0.79902777777777767</v>
      </c>
      <c r="P243" s="129">
        <f t="shared" si="136"/>
        <v>0.40848253085346797</v>
      </c>
      <c r="Q243" s="117"/>
      <c r="R243" s="152" t="b">
        <f t="shared" si="131"/>
        <v>0</v>
      </c>
    </row>
    <row r="244" spans="1:18" s="152" customFormat="1" ht="15" customHeight="1">
      <c r="A244" s="153"/>
      <c r="B244" s="18">
        <f t="shared" si="139"/>
        <v>26</v>
      </c>
      <c r="C244" s="178" t="s">
        <v>1272</v>
      </c>
      <c r="D244" s="178" t="s">
        <v>1486</v>
      </c>
      <c r="E244" s="178" t="s">
        <v>1473</v>
      </c>
      <c r="F244" s="178" t="s">
        <v>1966</v>
      </c>
      <c r="G244" s="178">
        <v>2018</v>
      </c>
      <c r="H244" s="178" t="s">
        <v>114</v>
      </c>
      <c r="I244" s="178"/>
      <c r="J244" s="135"/>
      <c r="K244" s="207">
        <v>160.10000000000005</v>
      </c>
      <c r="L244" s="207">
        <v>317.91700000000003</v>
      </c>
      <c r="M244" s="207">
        <v>241.98299999999995</v>
      </c>
      <c r="N244" s="129">
        <f t="shared" si="134"/>
        <v>0.33492532692351951</v>
      </c>
      <c r="O244" s="129">
        <f t="shared" si="135"/>
        <v>0.5584486111111111</v>
      </c>
      <c r="P244" s="129">
        <f t="shared" si="136"/>
        <v>0.39817649589761334</v>
      </c>
      <c r="Q244" s="117"/>
      <c r="R244" s="152" t="b">
        <f t="shared" si="131"/>
        <v>0</v>
      </c>
    </row>
    <row r="245" spans="1:18" s="152" customFormat="1" ht="15" customHeight="1">
      <c r="A245" s="153"/>
      <c r="B245" s="18">
        <f t="shared" si="139"/>
        <v>27</v>
      </c>
      <c r="C245" s="178" t="s">
        <v>1272</v>
      </c>
      <c r="D245" s="178" t="s">
        <v>1487</v>
      </c>
      <c r="E245" s="178" t="s">
        <v>1483</v>
      </c>
      <c r="F245" s="178" t="s">
        <v>1969</v>
      </c>
      <c r="G245" s="178">
        <v>2020</v>
      </c>
      <c r="H245" s="178" t="s">
        <v>114</v>
      </c>
      <c r="I245" s="178"/>
      <c r="J245" s="135"/>
      <c r="K245" s="207">
        <v>455.29999999999973</v>
      </c>
      <c r="L245" s="207">
        <v>19.667000000000002</v>
      </c>
      <c r="M245" s="207">
        <v>245.03300000000027</v>
      </c>
      <c r="N245" s="129">
        <f t="shared" si="134"/>
        <v>0.95859291277078185</v>
      </c>
      <c r="O245" s="129">
        <f t="shared" si="135"/>
        <v>0.97268472222222213</v>
      </c>
      <c r="P245" s="129">
        <f t="shared" si="136"/>
        <v>0.65011930038995702</v>
      </c>
      <c r="Q245" s="117"/>
      <c r="R245" s="152" t="str">
        <f t="shared" si="131"/>
        <v>PTP</v>
      </c>
    </row>
    <row r="246" spans="1:18" s="152" customFormat="1" ht="15" customHeight="1">
      <c r="A246" s="153"/>
      <c r="B246" s="18">
        <f t="shared" si="139"/>
        <v>28</v>
      </c>
      <c r="C246" s="178" t="s">
        <v>1272</v>
      </c>
      <c r="D246" s="178" t="s">
        <v>1488</v>
      </c>
      <c r="E246" s="178" t="s">
        <v>1483</v>
      </c>
      <c r="F246" s="178" t="s">
        <v>1968</v>
      </c>
      <c r="G246" s="178">
        <v>2019</v>
      </c>
      <c r="H246" s="178" t="s">
        <v>114</v>
      </c>
      <c r="I246" s="178"/>
      <c r="J246" s="135"/>
      <c r="K246" s="207">
        <v>449.19999999999965</v>
      </c>
      <c r="L246" s="207">
        <v>17.25</v>
      </c>
      <c r="M246" s="207">
        <v>253.55000000000035</v>
      </c>
      <c r="N246" s="129">
        <f t="shared" si="134"/>
        <v>0.96301854432415046</v>
      </c>
      <c r="O246" s="129">
        <f t="shared" si="135"/>
        <v>0.9760416666666667</v>
      </c>
      <c r="P246" s="129">
        <f t="shared" si="136"/>
        <v>0.63920313055851963</v>
      </c>
      <c r="Q246" s="117"/>
      <c r="R246" s="152" t="str">
        <f t="shared" si="131"/>
        <v>PTP</v>
      </c>
    </row>
    <row r="247" spans="1:18" s="152" customFormat="1" ht="15" customHeight="1">
      <c r="A247" s="153"/>
      <c r="B247" s="18">
        <f t="shared" si="139"/>
        <v>29</v>
      </c>
      <c r="C247" s="178" t="s">
        <v>1272</v>
      </c>
      <c r="D247" s="178" t="s">
        <v>1489</v>
      </c>
      <c r="E247" s="178" t="s">
        <v>1483</v>
      </c>
      <c r="F247" s="178" t="s">
        <v>1968</v>
      </c>
      <c r="G247" s="178">
        <v>2020</v>
      </c>
      <c r="H247" s="178" t="s">
        <v>114</v>
      </c>
      <c r="I247" s="178"/>
      <c r="J247" s="135"/>
      <c r="K247" s="207">
        <v>389.89899999999989</v>
      </c>
      <c r="L247" s="207">
        <v>39.968000000000004</v>
      </c>
      <c r="M247" s="207">
        <v>290.1330000000001</v>
      </c>
      <c r="N247" s="129">
        <f t="shared" si="134"/>
        <v>0.90702240460421468</v>
      </c>
      <c r="O247" s="129">
        <f t="shared" si="135"/>
        <v>0.94448888888888882</v>
      </c>
      <c r="P247" s="129">
        <f t="shared" si="136"/>
        <v>0.57335390099289429</v>
      </c>
      <c r="Q247" s="117"/>
      <c r="R247" s="152" t="str">
        <f t="shared" si="131"/>
        <v>PTP</v>
      </c>
    </row>
    <row r="248" spans="1:18" s="152" customFormat="1" ht="15" customHeight="1">
      <c r="A248" s="153"/>
      <c r="B248" s="18">
        <f t="shared" si="139"/>
        <v>30</v>
      </c>
      <c r="C248" s="178" t="s">
        <v>1272</v>
      </c>
      <c r="D248" s="178" t="s">
        <v>1490</v>
      </c>
      <c r="E248" s="178" t="s">
        <v>1483</v>
      </c>
      <c r="F248" s="178" t="s">
        <v>1969</v>
      </c>
      <c r="G248" s="178">
        <v>2020</v>
      </c>
      <c r="H248" s="178" t="s">
        <v>114</v>
      </c>
      <c r="I248" s="178"/>
      <c r="J248" s="135"/>
      <c r="K248" s="207">
        <v>373.2999999999999</v>
      </c>
      <c r="L248" s="207">
        <v>42.166999999999994</v>
      </c>
      <c r="M248" s="207">
        <v>304.53300000000013</v>
      </c>
      <c r="N248" s="129">
        <f t="shared" si="134"/>
        <v>0.89850698130056061</v>
      </c>
      <c r="O248" s="129">
        <f t="shared" si="135"/>
        <v>0.94143472222222235</v>
      </c>
      <c r="P248" s="129">
        <f t="shared" si="136"/>
        <v>0.55072562120758339</v>
      </c>
      <c r="Q248" s="117"/>
      <c r="R248" s="152" t="str">
        <f t="shared" si="131"/>
        <v>PTP</v>
      </c>
    </row>
    <row r="249" spans="1:18" s="152" customFormat="1" ht="15" customHeight="1">
      <c r="A249" s="153"/>
      <c r="B249" s="18">
        <f t="shared" si="139"/>
        <v>31</v>
      </c>
      <c r="C249" s="178" t="s">
        <v>1272</v>
      </c>
      <c r="D249" s="178" t="s">
        <v>1491</v>
      </c>
      <c r="E249" s="178" t="s">
        <v>1483</v>
      </c>
      <c r="F249" s="178" t="s">
        <v>1969</v>
      </c>
      <c r="G249" s="178">
        <v>2020</v>
      </c>
      <c r="H249" s="178" t="s">
        <v>114</v>
      </c>
      <c r="I249" s="178"/>
      <c r="J249" s="135"/>
      <c r="K249" s="207">
        <v>319.2</v>
      </c>
      <c r="L249" s="207">
        <v>73.783000000000001</v>
      </c>
      <c r="M249" s="207">
        <v>327.017</v>
      </c>
      <c r="N249" s="129">
        <f t="shared" si="134"/>
        <v>0.81224887590557349</v>
      </c>
      <c r="O249" s="129">
        <f t="shared" si="135"/>
        <v>0.89752361111111112</v>
      </c>
      <c r="P249" s="129">
        <f t="shared" si="136"/>
        <v>0.49395172209954241</v>
      </c>
      <c r="Q249" s="117"/>
      <c r="R249" s="152" t="b">
        <f t="shared" si="131"/>
        <v>0</v>
      </c>
    </row>
    <row r="250" spans="1:18" s="152" customFormat="1" ht="15" customHeight="1">
      <c r="A250" s="153"/>
      <c r="B250" s="18">
        <f t="shared" si="139"/>
        <v>32</v>
      </c>
      <c r="C250" s="178" t="s">
        <v>1272</v>
      </c>
      <c r="D250" s="178" t="s">
        <v>1492</v>
      </c>
      <c r="E250" s="178" t="s">
        <v>1483</v>
      </c>
      <c r="F250" s="178" t="s">
        <v>1968</v>
      </c>
      <c r="G250" s="178">
        <v>2019</v>
      </c>
      <c r="H250" s="178" t="s">
        <v>114</v>
      </c>
      <c r="I250" s="178"/>
      <c r="J250" s="135"/>
      <c r="K250" s="207">
        <v>403.29999999999978</v>
      </c>
      <c r="L250" s="207">
        <v>54.550000000000004</v>
      </c>
      <c r="M250" s="207">
        <v>262.1500000000002</v>
      </c>
      <c r="N250" s="129">
        <f t="shared" si="134"/>
        <v>0.88085617560336349</v>
      </c>
      <c r="O250" s="129">
        <f t="shared" si="135"/>
        <v>0.92423611111111115</v>
      </c>
      <c r="P250" s="129">
        <f t="shared" si="136"/>
        <v>0.6060560522954388</v>
      </c>
      <c r="Q250" s="117"/>
      <c r="R250" s="152" t="str">
        <f t="shared" si="131"/>
        <v>PTP</v>
      </c>
    </row>
    <row r="251" spans="1:18" s="152" customFormat="1" ht="15" customHeight="1">
      <c r="A251" s="153"/>
      <c r="B251" s="18">
        <f t="shared" si="139"/>
        <v>33</v>
      </c>
      <c r="C251" s="178" t="s">
        <v>1272</v>
      </c>
      <c r="D251" s="178" t="s">
        <v>1493</v>
      </c>
      <c r="E251" s="178" t="s">
        <v>1483</v>
      </c>
      <c r="F251" s="178" t="s">
        <v>1968</v>
      </c>
      <c r="G251" s="178">
        <v>2019</v>
      </c>
      <c r="H251" s="178" t="s">
        <v>114</v>
      </c>
      <c r="I251" s="178"/>
      <c r="J251" s="135"/>
      <c r="K251" s="207">
        <v>337.30000000000007</v>
      </c>
      <c r="L251" s="207">
        <v>97.082999999999998</v>
      </c>
      <c r="M251" s="207">
        <v>285.61699999999996</v>
      </c>
      <c r="N251" s="129">
        <f t="shared" si="134"/>
        <v>0.77650368453645757</v>
      </c>
      <c r="O251" s="129">
        <f t="shared" si="135"/>
        <v>0.86516250000000006</v>
      </c>
      <c r="P251" s="129">
        <f t="shared" si="136"/>
        <v>0.54148466007509832</v>
      </c>
      <c r="Q251" s="117"/>
      <c r="R251" s="152" t="b">
        <f t="shared" si="131"/>
        <v>0</v>
      </c>
    </row>
    <row r="252" spans="1:18" s="152" customFormat="1" ht="15" customHeight="1">
      <c r="A252" s="153"/>
      <c r="B252" s="18">
        <f t="shared" si="139"/>
        <v>34</v>
      </c>
      <c r="C252" s="178" t="s">
        <v>1272</v>
      </c>
      <c r="D252" s="178" t="s">
        <v>1494</v>
      </c>
      <c r="E252" s="178" t="s">
        <v>1483</v>
      </c>
      <c r="F252" s="178" t="s">
        <v>1968</v>
      </c>
      <c r="G252" s="178">
        <v>2019</v>
      </c>
      <c r="H252" s="178" t="s">
        <v>114</v>
      </c>
      <c r="I252" s="178"/>
      <c r="J252" s="135"/>
      <c r="K252" s="207">
        <v>301.69899999999984</v>
      </c>
      <c r="L252" s="207">
        <v>147.70099999999999</v>
      </c>
      <c r="M252" s="207">
        <v>270.60000000000014</v>
      </c>
      <c r="N252" s="129">
        <f t="shared" si="134"/>
        <v>0.67133733867378709</v>
      </c>
      <c r="O252" s="129">
        <f t="shared" si="135"/>
        <v>0.79485972222222223</v>
      </c>
      <c r="P252" s="129">
        <f t="shared" si="136"/>
        <v>0.52717023793506512</v>
      </c>
      <c r="Q252" s="117"/>
      <c r="R252" s="152" t="b">
        <f t="shared" si="131"/>
        <v>0</v>
      </c>
    </row>
    <row r="253" spans="1:18" s="152" customFormat="1" ht="15" customHeight="1">
      <c r="A253" s="153"/>
      <c r="B253" s="18">
        <f t="shared" si="139"/>
        <v>35</v>
      </c>
      <c r="C253" s="178" t="s">
        <v>1272</v>
      </c>
      <c r="D253" s="178" t="s">
        <v>1495</v>
      </c>
      <c r="E253" s="178" t="s">
        <v>1496</v>
      </c>
      <c r="F253" s="178" t="s">
        <v>1970</v>
      </c>
      <c r="G253" s="178">
        <v>2019</v>
      </c>
      <c r="H253" s="178" t="s">
        <v>1497</v>
      </c>
      <c r="I253" s="178"/>
      <c r="J253" s="135"/>
      <c r="K253" s="207">
        <v>0</v>
      </c>
      <c r="L253" s="207">
        <v>0</v>
      </c>
      <c r="M253" s="207">
        <v>720</v>
      </c>
      <c r="N253" s="129">
        <v>0</v>
      </c>
      <c r="O253" s="129">
        <f t="shared" si="135"/>
        <v>1</v>
      </c>
      <c r="P253" s="129">
        <f t="shared" si="136"/>
        <v>0</v>
      </c>
      <c r="Q253" s="117"/>
      <c r="R253" s="152" t="str">
        <f t="shared" si="131"/>
        <v>PTP</v>
      </c>
    </row>
    <row r="254" spans="1:18" s="152" customFormat="1" ht="15" customHeight="1">
      <c r="A254" s="153"/>
      <c r="B254" s="18">
        <f t="shared" si="139"/>
        <v>36</v>
      </c>
      <c r="C254" s="178" t="s">
        <v>1272</v>
      </c>
      <c r="D254" s="178" t="s">
        <v>1498</v>
      </c>
      <c r="E254" s="178" t="s">
        <v>1499</v>
      </c>
      <c r="F254" s="178" t="s">
        <v>1971</v>
      </c>
      <c r="G254" s="178">
        <v>2020</v>
      </c>
      <c r="H254" s="178" t="s">
        <v>1497</v>
      </c>
      <c r="I254" s="178"/>
      <c r="J254" s="135"/>
      <c r="K254" s="207">
        <v>0</v>
      </c>
      <c r="L254" s="207">
        <v>0</v>
      </c>
      <c r="M254" s="207">
        <v>720</v>
      </c>
      <c r="N254" s="129">
        <v>0</v>
      </c>
      <c r="O254" s="129">
        <f t="shared" si="135"/>
        <v>1</v>
      </c>
      <c r="P254" s="129">
        <f t="shared" si="136"/>
        <v>0</v>
      </c>
      <c r="Q254" s="117"/>
      <c r="R254" s="152" t="str">
        <f t="shared" si="131"/>
        <v>PTP</v>
      </c>
    </row>
    <row r="255" spans="1:18" s="152" customFormat="1" ht="15" customHeight="1">
      <c r="A255" s="153"/>
      <c r="B255" s="18">
        <f t="shared" si="139"/>
        <v>37</v>
      </c>
      <c r="C255" s="178" t="s">
        <v>1272</v>
      </c>
      <c r="D255" s="178" t="s">
        <v>2312</v>
      </c>
      <c r="E255" s="178" t="s">
        <v>1496</v>
      </c>
      <c r="F255" s="178" t="s">
        <v>2313</v>
      </c>
      <c r="G255" s="178">
        <v>2022</v>
      </c>
      <c r="H255" s="178" t="s">
        <v>1497</v>
      </c>
      <c r="I255" s="178"/>
      <c r="J255" s="135"/>
      <c r="K255" s="207">
        <v>0</v>
      </c>
      <c r="L255" s="207">
        <v>0</v>
      </c>
      <c r="M255" s="207">
        <v>720</v>
      </c>
      <c r="N255" s="129">
        <v>0</v>
      </c>
      <c r="O255" s="129">
        <f t="shared" si="135"/>
        <v>1</v>
      </c>
      <c r="P255" s="129">
        <f t="shared" si="136"/>
        <v>0</v>
      </c>
      <c r="Q255" s="117"/>
      <c r="R255" s="152" t="str">
        <f t="shared" si="131"/>
        <v>PTP</v>
      </c>
    </row>
    <row r="256" spans="1:18" s="152" customFormat="1" ht="15" customHeight="1">
      <c r="A256" s="153"/>
      <c r="B256" s="18">
        <f t="shared" si="139"/>
        <v>38</v>
      </c>
      <c r="C256" s="178" t="s">
        <v>1272</v>
      </c>
      <c r="D256" s="178" t="s">
        <v>1500</v>
      </c>
      <c r="E256" s="178" t="s">
        <v>173</v>
      </c>
      <c r="F256" s="178" t="s">
        <v>1972</v>
      </c>
      <c r="G256" s="178">
        <v>2012</v>
      </c>
      <c r="H256" s="178" t="s">
        <v>568</v>
      </c>
      <c r="I256" s="178"/>
      <c r="J256" s="135"/>
      <c r="K256" s="207">
        <v>209.7</v>
      </c>
      <c r="L256" s="207">
        <v>0.25</v>
      </c>
      <c r="M256" s="207">
        <v>510.05</v>
      </c>
      <c r="N256" s="129">
        <f t="shared" si="134"/>
        <v>0.99880924029530838</v>
      </c>
      <c r="O256" s="129">
        <f t="shared" si="135"/>
        <v>0.99965277777777772</v>
      </c>
      <c r="P256" s="129">
        <f t="shared" si="136"/>
        <v>0.29135116359847169</v>
      </c>
      <c r="Q256" s="117"/>
      <c r="R256" s="152" t="str">
        <f t="shared" si="131"/>
        <v>PTP</v>
      </c>
    </row>
    <row r="257" spans="1:18" s="152" customFormat="1" ht="15" customHeight="1">
      <c r="A257" s="153"/>
      <c r="B257" s="18">
        <f t="shared" si="139"/>
        <v>39</v>
      </c>
      <c r="C257" s="178" t="s">
        <v>1272</v>
      </c>
      <c r="D257" s="178" t="s">
        <v>1501</v>
      </c>
      <c r="E257" s="178" t="s">
        <v>173</v>
      </c>
      <c r="F257" s="178" t="s">
        <v>1972</v>
      </c>
      <c r="G257" s="178">
        <v>2020</v>
      </c>
      <c r="H257" s="178" t="s">
        <v>568</v>
      </c>
      <c r="I257" s="178"/>
      <c r="J257" s="135"/>
      <c r="K257" s="116">
        <v>212.00000000000003</v>
      </c>
      <c r="L257" s="116">
        <v>3.75</v>
      </c>
      <c r="M257" s="116">
        <v>504.25</v>
      </c>
      <c r="N257" s="129">
        <f t="shared" si="134"/>
        <v>0.98261877172653533</v>
      </c>
      <c r="O257" s="129">
        <f t="shared" si="135"/>
        <v>0.99479166666666663</v>
      </c>
      <c r="P257" s="129">
        <f t="shared" si="136"/>
        <v>0.2959860383944154</v>
      </c>
      <c r="Q257" s="117"/>
      <c r="R257" s="152" t="str">
        <f t="shared" si="131"/>
        <v>PTP</v>
      </c>
    </row>
    <row r="258" spans="1:18" s="152" customFormat="1" ht="15" customHeight="1">
      <c r="A258" s="153"/>
      <c r="B258" s="18">
        <f t="shared" si="139"/>
        <v>40</v>
      </c>
      <c r="C258" s="178" t="s">
        <v>1272</v>
      </c>
      <c r="D258" s="178" t="s">
        <v>1502</v>
      </c>
      <c r="E258" s="178" t="s">
        <v>1503</v>
      </c>
      <c r="F258" s="178" t="s">
        <v>1973</v>
      </c>
      <c r="G258" s="178">
        <v>0</v>
      </c>
      <c r="H258" s="178" t="s">
        <v>568</v>
      </c>
      <c r="I258" s="178"/>
      <c r="J258" s="135"/>
      <c r="K258" s="116">
        <v>166.89999999999964</v>
      </c>
      <c r="L258" s="116">
        <v>0</v>
      </c>
      <c r="M258" s="116">
        <v>553.10000000000036</v>
      </c>
      <c r="N258" s="129">
        <f t="shared" si="134"/>
        <v>1</v>
      </c>
      <c r="O258" s="129">
        <f t="shared" si="135"/>
        <v>1</v>
      </c>
      <c r="P258" s="129">
        <f t="shared" si="136"/>
        <v>0.23180555555555504</v>
      </c>
      <c r="Q258" s="117"/>
      <c r="R258" s="152" t="str">
        <f t="shared" si="131"/>
        <v>PTP</v>
      </c>
    </row>
    <row r="259" spans="1:18" s="152" customFormat="1" ht="15" customHeight="1">
      <c r="A259" s="153"/>
      <c r="B259" s="18">
        <f t="shared" si="139"/>
        <v>41</v>
      </c>
      <c r="C259" s="178" t="s">
        <v>1272</v>
      </c>
      <c r="D259" s="178" t="s">
        <v>1504</v>
      </c>
      <c r="E259" s="178" t="s">
        <v>1503</v>
      </c>
      <c r="F259" s="178" t="s">
        <v>1973</v>
      </c>
      <c r="G259" s="178">
        <v>2014</v>
      </c>
      <c r="H259" s="178" t="s">
        <v>568</v>
      </c>
      <c r="I259" s="178"/>
      <c r="J259" s="135"/>
      <c r="K259" s="116">
        <v>0</v>
      </c>
      <c r="L259" s="116">
        <v>0</v>
      </c>
      <c r="M259" s="116">
        <v>720</v>
      </c>
      <c r="N259" s="129">
        <v>0</v>
      </c>
      <c r="O259" s="129">
        <f t="shared" si="135"/>
        <v>1</v>
      </c>
      <c r="P259" s="129">
        <f t="shared" si="136"/>
        <v>0</v>
      </c>
      <c r="Q259" s="117"/>
      <c r="R259" s="152" t="str">
        <f t="shared" si="131"/>
        <v>PTP</v>
      </c>
    </row>
    <row r="260" spans="1:18" s="152" customFormat="1" ht="15" customHeight="1">
      <c r="A260" s="153"/>
      <c r="B260" s="18">
        <f t="shared" si="139"/>
        <v>42</v>
      </c>
      <c r="C260" s="178" t="s">
        <v>1272</v>
      </c>
      <c r="D260" s="178" t="s">
        <v>1505</v>
      </c>
      <c r="E260" s="178" t="s">
        <v>1506</v>
      </c>
      <c r="F260" s="178" t="s">
        <v>1974</v>
      </c>
      <c r="G260" s="178">
        <v>2019</v>
      </c>
      <c r="H260" s="178" t="s">
        <v>568</v>
      </c>
      <c r="I260" s="178"/>
      <c r="J260" s="135"/>
      <c r="K260" s="207">
        <v>0</v>
      </c>
      <c r="L260" s="207">
        <v>0</v>
      </c>
      <c r="M260" s="207">
        <v>720</v>
      </c>
      <c r="N260" s="129">
        <v>0</v>
      </c>
      <c r="O260" s="129">
        <f t="shared" si="135"/>
        <v>1</v>
      </c>
      <c r="P260" s="129">
        <f t="shared" si="136"/>
        <v>0</v>
      </c>
      <c r="Q260" s="117"/>
      <c r="R260" s="152" t="str">
        <f t="shared" si="131"/>
        <v>PTP</v>
      </c>
    </row>
    <row r="261" spans="1:18" s="152" customFormat="1" ht="15" customHeight="1">
      <c r="A261" s="153"/>
      <c r="B261" s="18">
        <f t="shared" si="139"/>
        <v>43</v>
      </c>
      <c r="C261" s="178" t="s">
        <v>1272</v>
      </c>
      <c r="D261" s="178" t="s">
        <v>1507</v>
      </c>
      <c r="E261" s="178" t="s">
        <v>1508</v>
      </c>
      <c r="F261" s="178" t="s">
        <v>1975</v>
      </c>
      <c r="G261" s="178">
        <v>1900</v>
      </c>
      <c r="H261" s="178" t="s">
        <v>568</v>
      </c>
      <c r="I261" s="178"/>
      <c r="J261" s="135"/>
      <c r="K261" s="116">
        <v>159.29999999999998</v>
      </c>
      <c r="L261" s="116">
        <v>58.915999999999997</v>
      </c>
      <c r="M261" s="116">
        <v>501.78400000000005</v>
      </c>
      <c r="N261" s="129">
        <f t="shared" si="134"/>
        <v>0.73001063166770541</v>
      </c>
      <c r="O261" s="129">
        <f t="shared" si="135"/>
        <v>0.91817222222222228</v>
      </c>
      <c r="P261" s="129">
        <f t="shared" si="136"/>
        <v>0.24096786490067823</v>
      </c>
      <c r="Q261" s="117"/>
      <c r="R261" s="152" t="str">
        <f t="shared" si="131"/>
        <v>PTP</v>
      </c>
    </row>
    <row r="262" spans="1:18" s="152" customFormat="1" ht="15" customHeight="1">
      <c r="A262" s="153"/>
      <c r="B262" s="18">
        <f t="shared" si="139"/>
        <v>44</v>
      </c>
      <c r="C262" s="178" t="s">
        <v>1272</v>
      </c>
      <c r="D262" s="178" t="s">
        <v>1509</v>
      </c>
      <c r="E262" s="178" t="s">
        <v>1506</v>
      </c>
      <c r="F262" s="178" t="s">
        <v>1976</v>
      </c>
      <c r="G262" s="178">
        <v>2019</v>
      </c>
      <c r="H262" s="178" t="s">
        <v>568</v>
      </c>
      <c r="I262" s="178"/>
      <c r="J262" s="135"/>
      <c r="K262" s="116">
        <v>0</v>
      </c>
      <c r="L262" s="116">
        <v>0</v>
      </c>
      <c r="M262" s="116">
        <v>720</v>
      </c>
      <c r="N262" s="129">
        <v>0</v>
      </c>
      <c r="O262" s="129">
        <f t="shared" si="135"/>
        <v>1</v>
      </c>
      <c r="P262" s="129">
        <f t="shared" si="136"/>
        <v>0</v>
      </c>
      <c r="Q262" s="117"/>
      <c r="R262" s="152" t="str">
        <f t="shared" si="131"/>
        <v>PTP</v>
      </c>
    </row>
    <row r="263" spans="1:18" s="152" customFormat="1" ht="15" customHeight="1">
      <c r="A263" s="153"/>
      <c r="B263" s="18">
        <f t="shared" si="139"/>
        <v>45</v>
      </c>
      <c r="C263" s="178" t="s">
        <v>1272</v>
      </c>
      <c r="D263" s="178" t="s">
        <v>1510</v>
      </c>
      <c r="E263" s="178" t="s">
        <v>1506</v>
      </c>
      <c r="F263" s="178" t="s">
        <v>1976</v>
      </c>
      <c r="G263" s="178">
        <v>2019</v>
      </c>
      <c r="H263" s="178" t="s">
        <v>568</v>
      </c>
      <c r="I263" s="178"/>
      <c r="J263" s="135"/>
      <c r="K263" s="116">
        <v>0</v>
      </c>
      <c r="L263" s="116">
        <v>0</v>
      </c>
      <c r="M263" s="116">
        <v>720</v>
      </c>
      <c r="N263" s="129">
        <v>0</v>
      </c>
      <c r="O263" s="129">
        <f t="shared" si="135"/>
        <v>1</v>
      </c>
      <c r="P263" s="129">
        <f t="shared" si="136"/>
        <v>0</v>
      </c>
      <c r="Q263" s="117"/>
      <c r="R263" s="152" t="str">
        <f t="shared" si="131"/>
        <v>PTP</v>
      </c>
    </row>
    <row r="264" spans="1:18" s="152" customFormat="1" ht="15" customHeight="1">
      <c r="A264" s="153"/>
      <c r="B264" s="18">
        <f t="shared" si="139"/>
        <v>46</v>
      </c>
      <c r="C264" s="178" t="s">
        <v>1272</v>
      </c>
      <c r="D264" s="178" t="s">
        <v>1511</v>
      </c>
      <c r="E264" s="178" t="s">
        <v>1506</v>
      </c>
      <c r="F264" s="178" t="s">
        <v>1976</v>
      </c>
      <c r="G264" s="178">
        <v>2019</v>
      </c>
      <c r="H264" s="178" t="s">
        <v>568</v>
      </c>
      <c r="I264" s="178"/>
      <c r="J264" s="135"/>
      <c r="K264" s="116">
        <v>0</v>
      </c>
      <c r="L264" s="116">
        <v>0</v>
      </c>
      <c r="M264" s="116">
        <v>720</v>
      </c>
      <c r="N264" s="129">
        <v>0</v>
      </c>
      <c r="O264" s="129">
        <f t="shared" si="135"/>
        <v>1</v>
      </c>
      <c r="P264" s="129">
        <f t="shared" si="136"/>
        <v>0</v>
      </c>
      <c r="Q264" s="117"/>
      <c r="R264" s="152" t="str">
        <f t="shared" si="131"/>
        <v>PTP</v>
      </c>
    </row>
    <row r="265" spans="1:18" s="152" customFormat="1" ht="15" customHeight="1">
      <c r="A265" s="153"/>
      <c r="B265" s="18">
        <f t="shared" si="139"/>
        <v>47</v>
      </c>
      <c r="C265" s="178" t="s">
        <v>1272</v>
      </c>
      <c r="D265" s="178" t="s">
        <v>1512</v>
      </c>
      <c r="E265" s="178" t="s">
        <v>1506</v>
      </c>
      <c r="F265" s="178" t="s">
        <v>1976</v>
      </c>
      <c r="G265" s="178">
        <v>2019</v>
      </c>
      <c r="H265" s="178" t="s">
        <v>568</v>
      </c>
      <c r="I265" s="178"/>
      <c r="J265" s="135"/>
      <c r="K265" s="116">
        <v>0</v>
      </c>
      <c r="L265" s="116">
        <v>0</v>
      </c>
      <c r="M265" s="116">
        <v>720</v>
      </c>
      <c r="N265" s="129">
        <v>0</v>
      </c>
      <c r="O265" s="129">
        <f t="shared" si="135"/>
        <v>1</v>
      </c>
      <c r="P265" s="129">
        <f t="shared" si="136"/>
        <v>0</v>
      </c>
      <c r="Q265" s="117"/>
      <c r="R265" s="152" t="str">
        <f t="shared" si="131"/>
        <v>PTP</v>
      </c>
    </row>
    <row r="266" spans="1:18" s="152" customFormat="1" ht="15" customHeight="1">
      <c r="A266" s="153"/>
      <c r="B266" s="18">
        <f t="shared" si="139"/>
        <v>48</v>
      </c>
      <c r="C266" s="178" t="s">
        <v>1272</v>
      </c>
      <c r="D266" s="178" t="s">
        <v>1513</v>
      </c>
      <c r="E266" s="178" t="s">
        <v>1506</v>
      </c>
      <c r="F266" s="178" t="s">
        <v>1977</v>
      </c>
      <c r="G266" s="178">
        <v>2019</v>
      </c>
      <c r="H266" s="178" t="s">
        <v>568</v>
      </c>
      <c r="I266" s="178"/>
      <c r="J266" s="135"/>
      <c r="K266" s="116">
        <v>0</v>
      </c>
      <c r="L266" s="116">
        <v>0</v>
      </c>
      <c r="M266" s="116">
        <v>720</v>
      </c>
      <c r="N266" s="129">
        <v>0</v>
      </c>
      <c r="O266" s="129">
        <f t="shared" si="135"/>
        <v>1</v>
      </c>
      <c r="P266" s="129">
        <f t="shared" si="136"/>
        <v>0</v>
      </c>
      <c r="Q266" s="117"/>
      <c r="R266" s="152" t="str">
        <f t="shared" si="131"/>
        <v>PTP</v>
      </c>
    </row>
    <row r="267" spans="1:18" s="152" customFormat="1" ht="15" customHeight="1">
      <c r="A267" s="153"/>
      <c r="B267" s="18">
        <f t="shared" si="139"/>
        <v>49</v>
      </c>
      <c r="C267" s="178" t="s">
        <v>1272</v>
      </c>
      <c r="D267" s="178" t="s">
        <v>1514</v>
      </c>
      <c r="E267" s="178" t="s">
        <v>1506</v>
      </c>
      <c r="F267" s="178" t="s">
        <v>1977</v>
      </c>
      <c r="G267" s="178">
        <v>2019</v>
      </c>
      <c r="H267" s="178" t="s">
        <v>568</v>
      </c>
      <c r="I267" s="178"/>
      <c r="J267" s="135"/>
      <c r="K267" s="116">
        <v>0</v>
      </c>
      <c r="L267" s="116">
        <v>0</v>
      </c>
      <c r="M267" s="116">
        <v>720</v>
      </c>
      <c r="N267" s="129">
        <v>0</v>
      </c>
      <c r="O267" s="129">
        <f t="shared" si="135"/>
        <v>1</v>
      </c>
      <c r="P267" s="129">
        <f t="shared" si="136"/>
        <v>0</v>
      </c>
      <c r="Q267" s="117"/>
      <c r="R267" s="152" t="str">
        <f t="shared" si="131"/>
        <v>PTP</v>
      </c>
    </row>
    <row r="268" spans="1:18" s="152" customFormat="1" ht="15" customHeight="1">
      <c r="A268" s="153"/>
      <c r="B268" s="18">
        <f t="shared" si="139"/>
        <v>50</v>
      </c>
      <c r="C268" s="178" t="s">
        <v>1272</v>
      </c>
      <c r="D268" s="178" t="s">
        <v>1515</v>
      </c>
      <c r="E268" s="178" t="s">
        <v>1506</v>
      </c>
      <c r="F268" s="178" t="s">
        <v>1977</v>
      </c>
      <c r="G268" s="178">
        <v>2019</v>
      </c>
      <c r="H268" s="178" t="s">
        <v>568</v>
      </c>
      <c r="I268" s="178"/>
      <c r="J268" s="135"/>
      <c r="K268" s="116">
        <v>0</v>
      </c>
      <c r="L268" s="116">
        <v>0</v>
      </c>
      <c r="M268" s="116">
        <v>720</v>
      </c>
      <c r="N268" s="129">
        <v>0</v>
      </c>
      <c r="O268" s="129">
        <f t="shared" si="135"/>
        <v>1</v>
      </c>
      <c r="P268" s="129">
        <f t="shared" si="136"/>
        <v>0</v>
      </c>
      <c r="Q268" s="117"/>
      <c r="R268" s="152" t="str">
        <f t="shared" si="131"/>
        <v>PTP</v>
      </c>
    </row>
    <row r="269" spans="1:18" s="152" customFormat="1" ht="15" customHeight="1">
      <c r="A269" s="153"/>
      <c r="B269" s="18">
        <f t="shared" si="139"/>
        <v>51</v>
      </c>
      <c r="C269" s="178" t="s">
        <v>1272</v>
      </c>
      <c r="D269" s="178" t="s">
        <v>1516</v>
      </c>
      <c r="E269" s="178" t="s">
        <v>1506</v>
      </c>
      <c r="F269" s="178" t="s">
        <v>1977</v>
      </c>
      <c r="G269" s="178">
        <v>2019</v>
      </c>
      <c r="H269" s="178" t="s">
        <v>568</v>
      </c>
      <c r="I269" s="178"/>
      <c r="J269" s="135"/>
      <c r="K269" s="116">
        <v>0</v>
      </c>
      <c r="L269" s="116">
        <v>0</v>
      </c>
      <c r="M269" s="116">
        <v>720</v>
      </c>
      <c r="N269" s="129">
        <v>0</v>
      </c>
      <c r="O269" s="129">
        <f t="shared" si="135"/>
        <v>1</v>
      </c>
      <c r="P269" s="129">
        <f t="shared" si="136"/>
        <v>0</v>
      </c>
      <c r="Q269" s="117"/>
      <c r="R269" s="152" t="str">
        <f t="shared" si="131"/>
        <v>PTP</v>
      </c>
    </row>
    <row r="270" spans="1:18" s="152" customFormat="1" ht="15" customHeight="1">
      <c r="A270" s="153"/>
      <c r="B270" s="18">
        <f t="shared" si="139"/>
        <v>52</v>
      </c>
      <c r="C270" s="178" t="s">
        <v>1272</v>
      </c>
      <c r="D270" s="178" t="s">
        <v>1517</v>
      </c>
      <c r="E270" s="178" t="s">
        <v>1503</v>
      </c>
      <c r="F270" s="178" t="s">
        <v>1978</v>
      </c>
      <c r="G270" s="178">
        <v>0</v>
      </c>
      <c r="H270" s="178" t="s">
        <v>568</v>
      </c>
      <c r="I270" s="178"/>
      <c r="J270" s="135"/>
      <c r="K270" s="116">
        <v>0</v>
      </c>
      <c r="L270" s="116">
        <v>0</v>
      </c>
      <c r="M270" s="116">
        <v>720</v>
      </c>
      <c r="N270" s="129">
        <v>0</v>
      </c>
      <c r="O270" s="129">
        <f t="shared" si="135"/>
        <v>1</v>
      </c>
      <c r="P270" s="129">
        <f t="shared" si="136"/>
        <v>0</v>
      </c>
      <c r="Q270" s="117"/>
      <c r="R270" s="152" t="str">
        <f t="shared" si="131"/>
        <v>PTP</v>
      </c>
    </row>
    <row r="271" spans="1:18" s="152" customFormat="1" ht="15" customHeight="1">
      <c r="A271" s="153"/>
      <c r="B271" s="18">
        <f t="shared" si="139"/>
        <v>53</v>
      </c>
      <c r="C271" s="178" t="s">
        <v>1272</v>
      </c>
      <c r="D271" s="178" t="s">
        <v>1518</v>
      </c>
      <c r="E271" s="178" t="s">
        <v>1506</v>
      </c>
      <c r="F271" s="178" t="s">
        <v>1979</v>
      </c>
      <c r="G271" s="178">
        <v>2019</v>
      </c>
      <c r="H271" s="178" t="s">
        <v>568</v>
      </c>
      <c r="I271" s="178"/>
      <c r="J271" s="135"/>
      <c r="K271" s="116">
        <v>0</v>
      </c>
      <c r="L271" s="116">
        <v>0</v>
      </c>
      <c r="M271" s="116">
        <v>720</v>
      </c>
      <c r="N271" s="129">
        <v>0</v>
      </c>
      <c r="O271" s="129">
        <f t="shared" si="135"/>
        <v>1</v>
      </c>
      <c r="P271" s="129">
        <f t="shared" si="136"/>
        <v>0</v>
      </c>
      <c r="Q271" s="117"/>
      <c r="R271" s="152" t="str">
        <f t="shared" si="131"/>
        <v>PTP</v>
      </c>
    </row>
    <row r="272" spans="1:18" s="152" customFormat="1" ht="15" customHeight="1">
      <c r="A272" s="153"/>
      <c r="B272" s="18">
        <f t="shared" si="139"/>
        <v>54</v>
      </c>
      <c r="C272" s="178" t="s">
        <v>1272</v>
      </c>
      <c r="D272" s="178" t="s">
        <v>1519</v>
      </c>
      <c r="E272" s="178" t="s">
        <v>1503</v>
      </c>
      <c r="F272" s="178" t="s">
        <v>1980</v>
      </c>
      <c r="G272" s="178">
        <v>2019</v>
      </c>
      <c r="H272" s="178" t="s">
        <v>568</v>
      </c>
      <c r="I272" s="178"/>
      <c r="J272" s="135"/>
      <c r="K272" s="116">
        <v>0</v>
      </c>
      <c r="L272" s="116">
        <v>0</v>
      </c>
      <c r="M272" s="116">
        <v>720</v>
      </c>
      <c r="N272" s="129">
        <v>0</v>
      </c>
      <c r="O272" s="129">
        <f t="shared" si="135"/>
        <v>1</v>
      </c>
      <c r="P272" s="129">
        <f t="shared" si="136"/>
        <v>0</v>
      </c>
      <c r="Q272" s="117"/>
      <c r="R272" s="152" t="str">
        <f t="shared" si="131"/>
        <v>PTP</v>
      </c>
    </row>
    <row r="273" spans="1:18" s="152" customFormat="1" ht="15" customHeight="1">
      <c r="A273" s="153"/>
      <c r="B273" s="18">
        <f t="shared" si="139"/>
        <v>55</v>
      </c>
      <c r="C273" s="178" t="s">
        <v>1272</v>
      </c>
      <c r="D273" s="178" t="s">
        <v>1520</v>
      </c>
      <c r="E273" s="178" t="s">
        <v>1521</v>
      </c>
      <c r="F273" s="178" t="s">
        <v>1981</v>
      </c>
      <c r="G273" s="178">
        <v>2019</v>
      </c>
      <c r="H273" s="178" t="s">
        <v>568</v>
      </c>
      <c r="I273" s="178"/>
      <c r="J273" s="135"/>
      <c r="K273" s="116">
        <v>0</v>
      </c>
      <c r="L273" s="116">
        <v>0</v>
      </c>
      <c r="M273" s="116">
        <v>720</v>
      </c>
      <c r="N273" s="129">
        <v>0</v>
      </c>
      <c r="O273" s="129">
        <f t="shared" si="135"/>
        <v>1</v>
      </c>
      <c r="P273" s="129">
        <f t="shared" si="136"/>
        <v>0</v>
      </c>
      <c r="Q273" s="117"/>
      <c r="R273" s="152" t="str">
        <f t="shared" si="131"/>
        <v>PTP</v>
      </c>
    </row>
    <row r="274" spans="1:18" s="152" customFormat="1" ht="15" customHeight="1">
      <c r="A274" s="153"/>
      <c r="B274" s="18">
        <f t="shared" si="139"/>
        <v>56</v>
      </c>
      <c r="C274" s="178" t="s">
        <v>1272</v>
      </c>
      <c r="D274" s="178" t="s">
        <v>1522</v>
      </c>
      <c r="E274" s="178" t="s">
        <v>1506</v>
      </c>
      <c r="F274" s="178" t="s">
        <v>1982</v>
      </c>
      <c r="G274" s="178">
        <v>2019</v>
      </c>
      <c r="H274" s="178" t="s">
        <v>568</v>
      </c>
      <c r="I274" s="178"/>
      <c r="J274" s="135"/>
      <c r="K274" s="116">
        <v>0</v>
      </c>
      <c r="L274" s="116">
        <v>0</v>
      </c>
      <c r="M274" s="116">
        <v>720</v>
      </c>
      <c r="N274" s="129">
        <v>0</v>
      </c>
      <c r="O274" s="129">
        <f t="shared" si="135"/>
        <v>1</v>
      </c>
      <c r="P274" s="129">
        <f t="shared" si="136"/>
        <v>0</v>
      </c>
      <c r="Q274" s="117"/>
      <c r="R274" s="152" t="str">
        <f t="shared" si="131"/>
        <v>PTP</v>
      </c>
    </row>
    <row r="275" spans="1:18" s="152" customFormat="1" ht="15" customHeight="1">
      <c r="A275" s="153"/>
      <c r="B275" s="18">
        <f t="shared" si="139"/>
        <v>57</v>
      </c>
      <c r="C275" s="178" t="s">
        <v>1272</v>
      </c>
      <c r="D275" s="178" t="s">
        <v>1523</v>
      </c>
      <c r="E275" s="178" t="s">
        <v>1524</v>
      </c>
      <c r="F275" s="178" t="s">
        <v>1983</v>
      </c>
      <c r="G275" s="178">
        <v>2020</v>
      </c>
      <c r="H275" s="178" t="s">
        <v>568</v>
      </c>
      <c r="I275" s="178"/>
      <c r="J275" s="135"/>
      <c r="K275" s="116">
        <v>0</v>
      </c>
      <c r="L275" s="116">
        <v>0</v>
      </c>
      <c r="M275" s="116">
        <v>720</v>
      </c>
      <c r="N275" s="129">
        <v>0</v>
      </c>
      <c r="O275" s="129">
        <f t="shared" si="135"/>
        <v>1</v>
      </c>
      <c r="P275" s="129">
        <f t="shared" si="136"/>
        <v>0</v>
      </c>
      <c r="Q275" s="117"/>
      <c r="R275" s="152" t="str">
        <f t="shared" si="131"/>
        <v>PTP</v>
      </c>
    </row>
    <row r="276" spans="1:18" s="152" customFormat="1" ht="15" customHeight="1">
      <c r="A276" s="153"/>
      <c r="B276" s="18">
        <f t="shared" si="139"/>
        <v>58</v>
      </c>
      <c r="C276" s="178" t="s">
        <v>1272</v>
      </c>
      <c r="D276" s="178" t="s">
        <v>1525</v>
      </c>
      <c r="E276" s="178" t="s">
        <v>1526</v>
      </c>
      <c r="F276" s="178" t="s">
        <v>1984</v>
      </c>
      <c r="G276" s="178">
        <v>2018</v>
      </c>
      <c r="H276" s="178" t="s">
        <v>568</v>
      </c>
      <c r="I276" s="178"/>
      <c r="J276" s="135"/>
      <c r="K276" s="116">
        <v>301.5</v>
      </c>
      <c r="L276" s="116">
        <v>33.216666666965466</v>
      </c>
      <c r="M276" s="116">
        <v>385.28333333303453</v>
      </c>
      <c r="N276" s="129">
        <f t="shared" si="134"/>
        <v>0.90076183836995727</v>
      </c>
      <c r="O276" s="129">
        <f t="shared" si="135"/>
        <v>0.95386574074032571</v>
      </c>
      <c r="P276" s="129">
        <f t="shared" si="136"/>
        <v>0.43900308200082194</v>
      </c>
      <c r="Q276" s="117"/>
      <c r="R276" s="152" t="str">
        <f t="shared" si="131"/>
        <v>PTP</v>
      </c>
    </row>
    <row r="277" spans="1:18" s="152" customFormat="1" ht="15" customHeight="1">
      <c r="A277" s="153"/>
      <c r="B277" s="18">
        <f t="shared" si="139"/>
        <v>59</v>
      </c>
      <c r="C277" s="178" t="s">
        <v>1272</v>
      </c>
      <c r="D277" s="178" t="s">
        <v>1528</v>
      </c>
      <c r="E277" s="178" t="s">
        <v>1527</v>
      </c>
      <c r="F277" s="178" t="s">
        <v>1985</v>
      </c>
      <c r="G277" s="178">
        <v>2018</v>
      </c>
      <c r="H277" s="178" t="s">
        <v>568</v>
      </c>
      <c r="I277" s="178"/>
      <c r="J277" s="135"/>
      <c r="K277" s="116">
        <v>334.39999999999964</v>
      </c>
      <c r="L277" s="116">
        <v>123.35000000011253</v>
      </c>
      <c r="M277" s="116">
        <v>262.24999999988785</v>
      </c>
      <c r="N277" s="129">
        <f t="shared" si="134"/>
        <v>0.73052976515547285</v>
      </c>
      <c r="O277" s="129">
        <f t="shared" si="135"/>
        <v>0.82868055555539932</v>
      </c>
      <c r="P277" s="129">
        <f t="shared" si="136"/>
        <v>0.56046258275381322</v>
      </c>
      <c r="Q277" s="117"/>
      <c r="R277" s="152" t="b">
        <f t="shared" si="131"/>
        <v>0</v>
      </c>
    </row>
    <row r="278" spans="1:18" s="152" customFormat="1" ht="15" customHeight="1">
      <c r="A278" s="153"/>
      <c r="B278" s="18">
        <f t="shared" si="139"/>
        <v>60</v>
      </c>
      <c r="C278" s="178" t="s">
        <v>1272</v>
      </c>
      <c r="D278" s="178" t="s">
        <v>1529</v>
      </c>
      <c r="E278" s="178" t="s">
        <v>1530</v>
      </c>
      <c r="F278" s="178" t="s">
        <v>1986</v>
      </c>
      <c r="G278" s="178">
        <v>2019</v>
      </c>
      <c r="H278" s="178" t="s">
        <v>568</v>
      </c>
      <c r="I278" s="178"/>
      <c r="J278" s="135"/>
      <c r="K278" s="116">
        <v>248.70000000000073</v>
      </c>
      <c r="L278" s="116">
        <v>27.433333333310053</v>
      </c>
      <c r="M278" s="116">
        <v>443.86666666668924</v>
      </c>
      <c r="N278" s="129">
        <f t="shared" si="134"/>
        <v>0.90065185900538769</v>
      </c>
      <c r="O278" s="129">
        <f t="shared" si="135"/>
        <v>0.96189814814818064</v>
      </c>
      <c r="P278" s="129">
        <f t="shared" si="136"/>
        <v>0.35909900370601</v>
      </c>
      <c r="Q278" s="117"/>
      <c r="R278" s="152" t="str">
        <f t="shared" si="131"/>
        <v>PTP</v>
      </c>
    </row>
    <row r="279" spans="1:18" s="152" customFormat="1" ht="15" customHeight="1">
      <c r="A279" s="153"/>
      <c r="B279" s="18">
        <f t="shared" si="139"/>
        <v>61</v>
      </c>
      <c r="C279" s="178" t="s">
        <v>1272</v>
      </c>
      <c r="D279" s="178" t="s">
        <v>1531</v>
      </c>
      <c r="E279" s="178" t="s">
        <v>1530</v>
      </c>
      <c r="F279" s="178" t="s">
        <v>1986</v>
      </c>
      <c r="G279" s="178">
        <v>2019</v>
      </c>
      <c r="H279" s="178" t="s">
        <v>568</v>
      </c>
      <c r="I279" s="178"/>
      <c r="J279" s="135"/>
      <c r="K279" s="116">
        <v>255.79999999999927</v>
      </c>
      <c r="L279" s="116">
        <v>155.48333333358556</v>
      </c>
      <c r="M279" s="116">
        <v>308.71666666641516</v>
      </c>
      <c r="N279" s="129">
        <f t="shared" si="134"/>
        <v>0.62195566722010664</v>
      </c>
      <c r="O279" s="129">
        <f t="shared" si="135"/>
        <v>0.78405092592557568</v>
      </c>
      <c r="P279" s="129">
        <f t="shared" si="136"/>
        <v>0.45313099701829923</v>
      </c>
      <c r="Q279" s="117"/>
      <c r="R279" s="152" t="b">
        <f t="shared" si="131"/>
        <v>0</v>
      </c>
    </row>
    <row r="280" spans="1:18" s="152" customFormat="1" ht="15" customHeight="1">
      <c r="A280" s="153"/>
      <c r="B280" s="18">
        <f t="shared" si="139"/>
        <v>62</v>
      </c>
      <c r="C280" s="178" t="s">
        <v>1272</v>
      </c>
      <c r="D280" s="178" t="s">
        <v>1532</v>
      </c>
      <c r="E280" s="178" t="s">
        <v>1526</v>
      </c>
      <c r="F280" s="178" t="s">
        <v>1984</v>
      </c>
      <c r="G280" s="178">
        <v>2015</v>
      </c>
      <c r="H280" s="178" t="s">
        <v>568</v>
      </c>
      <c r="I280" s="178"/>
      <c r="J280" s="135"/>
      <c r="K280" s="116">
        <v>132.59999999999854</v>
      </c>
      <c r="L280" s="116">
        <v>381.00000000007759</v>
      </c>
      <c r="M280" s="116">
        <v>206.39999999992386</v>
      </c>
      <c r="N280" s="129">
        <f t="shared" si="134"/>
        <v>0.25817757009341685</v>
      </c>
      <c r="O280" s="129">
        <f t="shared" si="135"/>
        <v>0.47083333333322558</v>
      </c>
      <c r="P280" s="129">
        <f t="shared" si="136"/>
        <v>0.39115044247796132</v>
      </c>
      <c r="Q280" s="117"/>
      <c r="R280" s="152" t="b">
        <f t="shared" si="131"/>
        <v>0</v>
      </c>
    </row>
    <row r="281" spans="1:18" s="152" customFormat="1" ht="15" customHeight="1">
      <c r="A281" s="153"/>
      <c r="B281" s="18">
        <f t="shared" si="139"/>
        <v>63</v>
      </c>
      <c r="C281" s="178" t="s">
        <v>1272</v>
      </c>
      <c r="D281" s="178" t="s">
        <v>1533</v>
      </c>
      <c r="E281" s="178" t="s">
        <v>1526</v>
      </c>
      <c r="F281" s="178" t="s">
        <v>1984</v>
      </c>
      <c r="G281" s="178">
        <v>2014</v>
      </c>
      <c r="H281" s="178" t="s">
        <v>568</v>
      </c>
      <c r="I281" s="178"/>
      <c r="J281" s="135"/>
      <c r="K281" s="116">
        <v>209.39999999999782</v>
      </c>
      <c r="L281" s="116">
        <v>164.91666666651145</v>
      </c>
      <c r="M281" s="116">
        <v>345.68333333349074</v>
      </c>
      <c r="N281" s="129">
        <f t="shared" si="134"/>
        <v>0.55941938643773781</v>
      </c>
      <c r="O281" s="129">
        <f t="shared" si="135"/>
        <v>0.7709490740742897</v>
      </c>
      <c r="P281" s="129">
        <f t="shared" si="136"/>
        <v>0.37724065455626349</v>
      </c>
      <c r="Q281" s="117"/>
      <c r="R281" s="152" t="b">
        <f t="shared" ref="R281:R344" si="140">IF(O281&gt;89.9999999999999%,"PTP")</f>
        <v>0</v>
      </c>
    </row>
    <row r="282" spans="1:18" s="152" customFormat="1" ht="15" customHeight="1">
      <c r="A282" s="153"/>
      <c r="B282" s="18">
        <f t="shared" si="139"/>
        <v>64</v>
      </c>
      <c r="C282" s="178" t="s">
        <v>1272</v>
      </c>
      <c r="D282" s="178" t="s">
        <v>1534</v>
      </c>
      <c r="E282" s="178" t="s">
        <v>1526</v>
      </c>
      <c r="F282" s="178" t="s">
        <v>1987</v>
      </c>
      <c r="G282" s="178">
        <v>2021</v>
      </c>
      <c r="H282" s="178" t="s">
        <v>568</v>
      </c>
      <c r="I282" s="178"/>
      <c r="J282" s="135"/>
      <c r="K282" s="116">
        <v>128.90000000000146</v>
      </c>
      <c r="L282" s="116">
        <v>443.89999999994956</v>
      </c>
      <c r="M282" s="116">
        <v>147.20000000004899</v>
      </c>
      <c r="N282" s="129">
        <f t="shared" si="134"/>
        <v>0.22503491620113908</v>
      </c>
      <c r="O282" s="129">
        <f t="shared" si="135"/>
        <v>0.38347222222229227</v>
      </c>
      <c r="P282" s="129">
        <f t="shared" si="136"/>
        <v>0.46685983339361792</v>
      </c>
      <c r="Q282" s="117"/>
      <c r="R282" s="152" t="b">
        <f t="shared" si="140"/>
        <v>0</v>
      </c>
    </row>
    <row r="283" spans="1:18" s="152" customFormat="1" ht="15" customHeight="1">
      <c r="A283" s="153"/>
      <c r="B283" s="18">
        <f t="shared" si="139"/>
        <v>65</v>
      </c>
      <c r="C283" s="178" t="s">
        <v>1272</v>
      </c>
      <c r="D283" s="178" t="s">
        <v>1535</v>
      </c>
      <c r="E283" s="178" t="s">
        <v>1527</v>
      </c>
      <c r="F283" s="178" t="s">
        <v>1988</v>
      </c>
      <c r="G283" s="178">
        <v>2021</v>
      </c>
      <c r="H283" s="178" t="s">
        <v>568</v>
      </c>
      <c r="I283" s="178"/>
      <c r="J283" s="135"/>
      <c r="K283" s="116">
        <v>202.5</v>
      </c>
      <c r="L283" s="116">
        <v>194.33333333304228</v>
      </c>
      <c r="M283" s="116">
        <v>323.16666666695772</v>
      </c>
      <c r="N283" s="129">
        <f t="shared" si="134"/>
        <v>0.51028979420449017</v>
      </c>
      <c r="O283" s="129">
        <f t="shared" si="135"/>
        <v>0.73009259259299697</v>
      </c>
      <c r="P283" s="129">
        <f t="shared" si="136"/>
        <v>0.38522511096998324</v>
      </c>
      <c r="Q283" s="117"/>
      <c r="R283" s="152" t="b">
        <f t="shared" si="140"/>
        <v>0</v>
      </c>
    </row>
    <row r="284" spans="1:18" s="152" customFormat="1" ht="15" customHeight="1">
      <c r="A284" s="153"/>
      <c r="B284" s="18">
        <f t="shared" si="139"/>
        <v>66</v>
      </c>
      <c r="C284" s="178" t="s">
        <v>1272</v>
      </c>
      <c r="D284" s="178" t="s">
        <v>1536</v>
      </c>
      <c r="E284" s="178" t="s">
        <v>1537</v>
      </c>
      <c r="F284" s="178" t="s">
        <v>1989</v>
      </c>
      <c r="G284" s="178">
        <v>2020</v>
      </c>
      <c r="H284" s="178" t="s">
        <v>568</v>
      </c>
      <c r="I284" s="178"/>
      <c r="J284" s="135"/>
      <c r="K284" s="116">
        <v>0</v>
      </c>
      <c r="L284" s="116">
        <v>0</v>
      </c>
      <c r="M284" s="116">
        <v>720</v>
      </c>
      <c r="N284" s="129">
        <v>0</v>
      </c>
      <c r="O284" s="129">
        <f t="shared" ref="O284:O347" si="141">+(K284+M284)/(K284+L284+M284)</f>
        <v>1</v>
      </c>
      <c r="P284" s="129">
        <f t="shared" ref="P284:P347" si="142">+K284/(K284+M284)</f>
        <v>0</v>
      </c>
      <c r="Q284" s="117"/>
      <c r="R284" s="152" t="str">
        <f t="shared" si="140"/>
        <v>PTP</v>
      </c>
    </row>
    <row r="285" spans="1:18" s="152" customFormat="1" ht="15" customHeight="1">
      <c r="A285" s="153"/>
      <c r="B285" s="18">
        <f t="shared" si="139"/>
        <v>67</v>
      </c>
      <c r="C285" s="178" t="s">
        <v>1272</v>
      </c>
      <c r="D285" s="178" t="s">
        <v>1538</v>
      </c>
      <c r="E285" s="178" t="s">
        <v>1526</v>
      </c>
      <c r="F285" s="178" t="s">
        <v>1989</v>
      </c>
      <c r="G285" s="178">
        <v>2022</v>
      </c>
      <c r="H285" s="178" t="s">
        <v>568</v>
      </c>
      <c r="I285" s="178"/>
      <c r="J285" s="135"/>
      <c r="K285" s="116">
        <v>0</v>
      </c>
      <c r="L285" s="116">
        <v>0</v>
      </c>
      <c r="M285" s="116">
        <v>720</v>
      </c>
      <c r="N285" s="129">
        <v>0</v>
      </c>
      <c r="O285" s="129">
        <f t="shared" si="141"/>
        <v>1</v>
      </c>
      <c r="P285" s="129">
        <f t="shared" si="142"/>
        <v>0</v>
      </c>
      <c r="Q285" s="117"/>
      <c r="R285" s="152" t="str">
        <f t="shared" si="140"/>
        <v>PTP</v>
      </c>
    </row>
    <row r="286" spans="1:18" s="152" customFormat="1" ht="15" customHeight="1">
      <c r="A286" s="153"/>
      <c r="B286" s="18">
        <f t="shared" si="139"/>
        <v>68</v>
      </c>
      <c r="C286" s="178" t="s">
        <v>1272</v>
      </c>
      <c r="D286" s="178" t="s">
        <v>1539</v>
      </c>
      <c r="E286" s="178" t="s">
        <v>1540</v>
      </c>
      <c r="F286" s="178"/>
      <c r="G286" s="178">
        <v>2020</v>
      </c>
      <c r="H286" s="178" t="s">
        <v>568</v>
      </c>
      <c r="I286" s="178"/>
      <c r="J286" s="135"/>
      <c r="K286" s="116">
        <v>0</v>
      </c>
      <c r="L286" s="116">
        <v>0</v>
      </c>
      <c r="M286" s="116">
        <v>720</v>
      </c>
      <c r="N286" s="129">
        <v>0</v>
      </c>
      <c r="O286" s="129">
        <f t="shared" si="141"/>
        <v>1</v>
      </c>
      <c r="P286" s="129">
        <f t="shared" si="142"/>
        <v>0</v>
      </c>
      <c r="Q286" s="117"/>
      <c r="R286" s="152" t="str">
        <f t="shared" si="140"/>
        <v>PTP</v>
      </c>
    </row>
    <row r="287" spans="1:18" s="152" customFormat="1" ht="15" customHeight="1">
      <c r="A287" s="153"/>
      <c r="B287" s="18">
        <f t="shared" si="139"/>
        <v>69</v>
      </c>
      <c r="C287" s="178" t="s">
        <v>1272</v>
      </c>
      <c r="D287" s="178" t="s">
        <v>1541</v>
      </c>
      <c r="E287" s="178" t="s">
        <v>1503</v>
      </c>
      <c r="F287" s="178" t="s">
        <v>1990</v>
      </c>
      <c r="G287" s="178">
        <v>1900</v>
      </c>
      <c r="H287" s="178" t="s">
        <v>568</v>
      </c>
      <c r="I287" s="178"/>
      <c r="J287" s="135"/>
      <c r="K287" s="116">
        <v>0</v>
      </c>
      <c r="L287" s="116">
        <v>0</v>
      </c>
      <c r="M287" s="116">
        <v>720</v>
      </c>
      <c r="N287" s="129">
        <v>0</v>
      </c>
      <c r="O287" s="129">
        <f t="shared" si="141"/>
        <v>1</v>
      </c>
      <c r="P287" s="129">
        <f t="shared" si="142"/>
        <v>0</v>
      </c>
      <c r="Q287" s="117"/>
      <c r="R287" s="152" t="str">
        <f t="shared" si="140"/>
        <v>PTP</v>
      </c>
    </row>
    <row r="288" spans="1:18" s="152" customFormat="1" ht="15" customHeight="1">
      <c r="A288" s="153"/>
      <c r="B288" s="18">
        <f t="shared" si="139"/>
        <v>70</v>
      </c>
      <c r="C288" s="178" t="s">
        <v>1272</v>
      </c>
      <c r="D288" s="178" t="s">
        <v>1542</v>
      </c>
      <c r="E288" s="178" t="s">
        <v>1506</v>
      </c>
      <c r="F288" s="178" t="s">
        <v>1991</v>
      </c>
      <c r="G288" s="178">
        <v>2020</v>
      </c>
      <c r="H288" s="178" t="s">
        <v>568</v>
      </c>
      <c r="I288" s="178"/>
      <c r="J288" s="135"/>
      <c r="K288" s="116">
        <v>0</v>
      </c>
      <c r="L288" s="116">
        <v>0</v>
      </c>
      <c r="M288" s="116">
        <v>720</v>
      </c>
      <c r="N288" s="129">
        <v>0</v>
      </c>
      <c r="O288" s="129">
        <f t="shared" si="141"/>
        <v>1</v>
      </c>
      <c r="P288" s="129">
        <f t="shared" si="142"/>
        <v>0</v>
      </c>
      <c r="Q288" s="117"/>
      <c r="R288" s="152" t="str">
        <f t="shared" si="140"/>
        <v>PTP</v>
      </c>
    </row>
    <row r="289" spans="1:18" s="152" customFormat="1" ht="15" customHeight="1">
      <c r="A289" s="153"/>
      <c r="B289" s="18">
        <f t="shared" si="139"/>
        <v>71</v>
      </c>
      <c r="C289" s="178" t="s">
        <v>1272</v>
      </c>
      <c r="D289" s="178" t="s">
        <v>1543</v>
      </c>
      <c r="E289" s="178" t="s">
        <v>1527</v>
      </c>
      <c r="F289" s="178" t="s">
        <v>1988</v>
      </c>
      <c r="G289" s="178">
        <v>1900</v>
      </c>
      <c r="H289" s="178" t="s">
        <v>568</v>
      </c>
      <c r="I289" s="178"/>
      <c r="J289" s="135"/>
      <c r="K289" s="116">
        <v>268.39999999999964</v>
      </c>
      <c r="L289" s="116">
        <v>77.550000000221189</v>
      </c>
      <c r="M289" s="116">
        <v>374.04999999977917</v>
      </c>
      <c r="N289" s="129">
        <f t="shared" ref="N284:N347" si="143">+K289/(K289+L289)</f>
        <v>0.77583465818710307</v>
      </c>
      <c r="O289" s="129">
        <f t="shared" si="141"/>
        <v>0.89229166666635951</v>
      </c>
      <c r="P289" s="129">
        <f t="shared" si="142"/>
        <v>0.41777570238943429</v>
      </c>
      <c r="Q289" s="117"/>
      <c r="R289" s="152" t="b">
        <f t="shared" si="140"/>
        <v>0</v>
      </c>
    </row>
    <row r="290" spans="1:18" s="152" customFormat="1" ht="15" customHeight="1">
      <c r="A290" s="153"/>
      <c r="B290" s="18">
        <f t="shared" si="139"/>
        <v>72</v>
      </c>
      <c r="C290" s="178" t="s">
        <v>1272</v>
      </c>
      <c r="D290" s="178" t="s">
        <v>1544</v>
      </c>
      <c r="E290" s="178" t="s">
        <v>1527</v>
      </c>
      <c r="F290" s="178" t="s">
        <v>1988</v>
      </c>
      <c r="G290" s="178">
        <v>1900</v>
      </c>
      <c r="H290" s="178" t="s">
        <v>568</v>
      </c>
      <c r="I290" s="178"/>
      <c r="J290" s="135"/>
      <c r="K290" s="116">
        <v>0</v>
      </c>
      <c r="L290" s="116">
        <v>708</v>
      </c>
      <c r="M290" s="116">
        <v>12</v>
      </c>
      <c r="N290" s="129">
        <f t="shared" si="143"/>
        <v>0</v>
      </c>
      <c r="O290" s="129">
        <f t="shared" si="141"/>
        <v>1.6666666666666666E-2</v>
      </c>
      <c r="P290" s="129">
        <f t="shared" si="142"/>
        <v>0</v>
      </c>
      <c r="Q290" s="117"/>
      <c r="R290" s="152" t="b">
        <f t="shared" si="140"/>
        <v>0</v>
      </c>
    </row>
    <row r="291" spans="1:18" s="152" customFormat="1" ht="15" customHeight="1">
      <c r="A291" s="153"/>
      <c r="B291" s="18">
        <f t="shared" si="139"/>
        <v>73</v>
      </c>
      <c r="C291" s="178" t="s">
        <v>1272</v>
      </c>
      <c r="D291" s="178" t="s">
        <v>1545</v>
      </c>
      <c r="E291" s="178" t="s">
        <v>1527</v>
      </c>
      <c r="F291" s="178"/>
      <c r="G291" s="178">
        <v>2020</v>
      </c>
      <c r="H291" s="178" t="s">
        <v>568</v>
      </c>
      <c r="I291" s="178"/>
      <c r="J291" s="135"/>
      <c r="K291" s="116">
        <v>271.60000000000036</v>
      </c>
      <c r="L291" s="116">
        <v>93.733333333430338</v>
      </c>
      <c r="M291" s="116">
        <v>354.66666666656931</v>
      </c>
      <c r="N291" s="129">
        <f t="shared" si="143"/>
        <v>0.74343065693410948</v>
      </c>
      <c r="O291" s="129">
        <f t="shared" si="141"/>
        <v>0.86981481481468015</v>
      </c>
      <c r="P291" s="129">
        <f t="shared" si="142"/>
        <v>0.43368107302540304</v>
      </c>
      <c r="Q291" s="117"/>
      <c r="R291" s="152" t="b">
        <f t="shared" si="140"/>
        <v>0</v>
      </c>
    </row>
    <row r="292" spans="1:18" s="152" customFormat="1" ht="15" customHeight="1">
      <c r="A292" s="153"/>
      <c r="B292" s="18">
        <f t="shared" si="139"/>
        <v>74</v>
      </c>
      <c r="C292" s="178" t="s">
        <v>1272</v>
      </c>
      <c r="D292" s="178" t="s">
        <v>1546</v>
      </c>
      <c r="E292" s="178" t="s">
        <v>1527</v>
      </c>
      <c r="F292" s="178" t="s">
        <v>1988</v>
      </c>
      <c r="G292" s="178">
        <v>2020</v>
      </c>
      <c r="H292" s="178" t="s">
        <v>568</v>
      </c>
      <c r="I292" s="178"/>
      <c r="J292" s="135"/>
      <c r="K292" s="116">
        <v>279.70000000000073</v>
      </c>
      <c r="L292" s="116">
        <v>109.66666666670548</v>
      </c>
      <c r="M292" s="116">
        <v>330.63333333329376</v>
      </c>
      <c r="N292" s="129">
        <f t="shared" si="143"/>
        <v>0.71834603201773561</v>
      </c>
      <c r="O292" s="129">
        <f t="shared" si="141"/>
        <v>0.84768518518513125</v>
      </c>
      <c r="P292" s="129">
        <f t="shared" si="142"/>
        <v>0.45827416712182173</v>
      </c>
      <c r="Q292" s="117"/>
      <c r="R292" s="152" t="b">
        <f t="shared" si="140"/>
        <v>0</v>
      </c>
    </row>
    <row r="293" spans="1:18" s="152" customFormat="1" ht="15" customHeight="1">
      <c r="A293" s="153"/>
      <c r="B293" s="18">
        <f t="shared" si="139"/>
        <v>75</v>
      </c>
      <c r="C293" s="178" t="s">
        <v>1272</v>
      </c>
      <c r="D293" s="178" t="s">
        <v>1547</v>
      </c>
      <c r="E293" s="178" t="s">
        <v>1527</v>
      </c>
      <c r="F293" s="178" t="s">
        <v>1988</v>
      </c>
      <c r="G293" s="178">
        <v>2020</v>
      </c>
      <c r="H293" s="178" t="s">
        <v>568</v>
      </c>
      <c r="I293" s="178"/>
      <c r="J293" s="135"/>
      <c r="K293" s="116">
        <v>246.79999999999927</v>
      </c>
      <c r="L293" s="116">
        <v>41.599999999976717</v>
      </c>
      <c r="M293" s="116">
        <v>431.60000000002401</v>
      </c>
      <c r="N293" s="129">
        <f t="shared" si="143"/>
        <v>0.85575589459091472</v>
      </c>
      <c r="O293" s="129">
        <f t="shared" si="141"/>
        <v>0.9422222222222546</v>
      </c>
      <c r="P293" s="129">
        <f t="shared" si="142"/>
        <v>0.36379716981130722</v>
      </c>
      <c r="Q293" s="117"/>
      <c r="R293" s="152" t="str">
        <f t="shared" si="140"/>
        <v>PTP</v>
      </c>
    </row>
    <row r="294" spans="1:18" s="152" customFormat="1" ht="15" customHeight="1">
      <c r="A294" s="153"/>
      <c r="B294" s="18">
        <f t="shared" si="139"/>
        <v>76</v>
      </c>
      <c r="C294" s="178" t="s">
        <v>1272</v>
      </c>
      <c r="D294" s="178" t="s">
        <v>1548</v>
      </c>
      <c r="E294" s="178" t="s">
        <v>1527</v>
      </c>
      <c r="F294" s="178" t="s">
        <v>1988</v>
      </c>
      <c r="G294" s="178">
        <v>2020</v>
      </c>
      <c r="H294" s="178" t="s">
        <v>568</v>
      </c>
      <c r="I294" s="178"/>
      <c r="J294" s="135"/>
      <c r="K294" s="116">
        <v>183.5</v>
      </c>
      <c r="L294" s="116">
        <v>162.4000000000388</v>
      </c>
      <c r="M294" s="116">
        <v>374.0999999999612</v>
      </c>
      <c r="N294" s="129">
        <f t="shared" si="143"/>
        <v>0.53050014455038863</v>
      </c>
      <c r="O294" s="129">
        <f t="shared" si="141"/>
        <v>0.77444444444439065</v>
      </c>
      <c r="P294" s="129">
        <f t="shared" si="142"/>
        <v>0.32908895265425531</v>
      </c>
      <c r="Q294" s="117"/>
      <c r="R294" s="152" t="b">
        <f t="shared" si="140"/>
        <v>0</v>
      </c>
    </row>
    <row r="295" spans="1:18" s="152" customFormat="1" ht="15" customHeight="1">
      <c r="A295" s="153"/>
      <c r="B295" s="18">
        <f t="shared" si="139"/>
        <v>77</v>
      </c>
      <c r="C295" s="178" t="s">
        <v>1272</v>
      </c>
      <c r="D295" s="178" t="s">
        <v>1549</v>
      </c>
      <c r="E295" s="178" t="s">
        <v>1527</v>
      </c>
      <c r="F295" s="178" t="s">
        <v>1988</v>
      </c>
      <c r="G295" s="178">
        <v>2020</v>
      </c>
      <c r="H295" s="178" t="s">
        <v>568</v>
      </c>
      <c r="I295" s="178"/>
      <c r="J295" s="135"/>
      <c r="K295" s="116">
        <v>304.20000000000073</v>
      </c>
      <c r="L295" s="116">
        <v>20.183333333504077</v>
      </c>
      <c r="M295" s="116">
        <v>395.61666666649518</v>
      </c>
      <c r="N295" s="129">
        <f t="shared" si="143"/>
        <v>0.93777937625188279</v>
      </c>
      <c r="O295" s="129">
        <f t="shared" si="141"/>
        <v>0.97196759259235532</v>
      </c>
      <c r="P295" s="129">
        <f t="shared" si="142"/>
        <v>0.43468527471491342</v>
      </c>
      <c r="Q295" s="117"/>
      <c r="R295" s="152" t="str">
        <f t="shared" si="140"/>
        <v>PTP</v>
      </c>
    </row>
    <row r="296" spans="1:18" s="152" customFormat="1" ht="15" customHeight="1">
      <c r="A296" s="153"/>
      <c r="B296" s="18">
        <f t="shared" si="139"/>
        <v>78</v>
      </c>
      <c r="C296" s="178" t="s">
        <v>1272</v>
      </c>
      <c r="D296" s="203" t="s">
        <v>1550</v>
      </c>
      <c r="E296" s="203" t="s">
        <v>1526</v>
      </c>
      <c r="F296" s="203" t="s">
        <v>1987</v>
      </c>
      <c r="G296" s="203">
        <v>2020</v>
      </c>
      <c r="H296" s="203" t="s">
        <v>568</v>
      </c>
      <c r="I296" s="203"/>
      <c r="J296" s="247"/>
      <c r="K296" s="207">
        <v>250.20000000000073</v>
      </c>
      <c r="L296" s="207">
        <v>130.45000000033372</v>
      </c>
      <c r="M296" s="207">
        <v>339.34999999966556</v>
      </c>
      <c r="N296" s="129">
        <f t="shared" si="143"/>
        <v>0.65729672927828953</v>
      </c>
      <c r="O296" s="129">
        <f t="shared" si="141"/>
        <v>0.81881944444398091</v>
      </c>
      <c r="P296" s="129">
        <f t="shared" si="142"/>
        <v>0.42439148503119728</v>
      </c>
      <c r="Q296" s="205"/>
      <c r="R296" s="152" t="b">
        <f t="shared" si="140"/>
        <v>0</v>
      </c>
    </row>
    <row r="297" spans="1:18" s="152" customFormat="1" ht="15" customHeight="1">
      <c r="A297" s="153"/>
      <c r="B297" s="18">
        <f t="shared" si="139"/>
        <v>79</v>
      </c>
      <c r="C297" s="178" t="s">
        <v>1272</v>
      </c>
      <c r="D297" s="203" t="s">
        <v>1551</v>
      </c>
      <c r="E297" s="203" t="s">
        <v>1526</v>
      </c>
      <c r="F297" s="203" t="s">
        <v>1987</v>
      </c>
      <c r="G297" s="203">
        <v>2020</v>
      </c>
      <c r="H297" s="203" t="s">
        <v>568</v>
      </c>
      <c r="I297" s="203"/>
      <c r="J297" s="247"/>
      <c r="K297" s="207">
        <v>117.5</v>
      </c>
      <c r="L297" s="207">
        <v>382.41666666684131</v>
      </c>
      <c r="M297" s="207">
        <v>220.08333333315869</v>
      </c>
      <c r="N297" s="129">
        <f t="shared" si="143"/>
        <v>0.23503917319545048</v>
      </c>
      <c r="O297" s="129">
        <f t="shared" si="141"/>
        <v>0.46886574074049819</v>
      </c>
      <c r="P297" s="129">
        <f t="shared" si="142"/>
        <v>0.34806220686268313</v>
      </c>
      <c r="Q297" s="205"/>
      <c r="R297" s="152" t="b">
        <f t="shared" si="140"/>
        <v>0</v>
      </c>
    </row>
    <row r="298" spans="1:18" s="152" customFormat="1" ht="15" customHeight="1">
      <c r="A298" s="153"/>
      <c r="B298" s="18">
        <f t="shared" si="139"/>
        <v>80</v>
      </c>
      <c r="C298" s="178" t="s">
        <v>1272</v>
      </c>
      <c r="D298" s="203" t="s">
        <v>1552</v>
      </c>
      <c r="E298" s="203" t="s">
        <v>1527</v>
      </c>
      <c r="F298" s="203" t="s">
        <v>1992</v>
      </c>
      <c r="G298" s="203">
        <v>2020</v>
      </c>
      <c r="H298" s="203" t="s">
        <v>568</v>
      </c>
      <c r="I298" s="203"/>
      <c r="J298" s="247"/>
      <c r="K298" s="207">
        <v>0</v>
      </c>
      <c r="L298" s="207">
        <v>0</v>
      </c>
      <c r="M298" s="207">
        <v>720</v>
      </c>
      <c r="N298" s="129">
        <v>0</v>
      </c>
      <c r="O298" s="129">
        <f t="shared" si="141"/>
        <v>1</v>
      </c>
      <c r="P298" s="129">
        <f t="shared" si="142"/>
        <v>0</v>
      </c>
      <c r="Q298" s="205"/>
      <c r="R298" s="152" t="str">
        <f t="shared" si="140"/>
        <v>PTP</v>
      </c>
    </row>
    <row r="299" spans="1:18" s="152" customFormat="1" ht="15" customHeight="1">
      <c r="A299" s="153"/>
      <c r="B299" s="18">
        <f t="shared" si="139"/>
        <v>81</v>
      </c>
      <c r="C299" s="178" t="s">
        <v>1272</v>
      </c>
      <c r="D299" s="203" t="s">
        <v>1553</v>
      </c>
      <c r="E299" s="203" t="s">
        <v>1506</v>
      </c>
      <c r="F299" s="203" t="s">
        <v>1976</v>
      </c>
      <c r="G299" s="203">
        <v>1900</v>
      </c>
      <c r="H299" s="203" t="s">
        <v>568</v>
      </c>
      <c r="I299" s="203"/>
      <c r="J299" s="247"/>
      <c r="K299" s="207">
        <v>0</v>
      </c>
      <c r="L299" s="207">
        <v>0</v>
      </c>
      <c r="M299" s="207">
        <v>720</v>
      </c>
      <c r="N299" s="129">
        <v>0</v>
      </c>
      <c r="O299" s="129">
        <f t="shared" si="141"/>
        <v>1</v>
      </c>
      <c r="P299" s="129">
        <f t="shared" si="142"/>
        <v>0</v>
      </c>
      <c r="Q299" s="205"/>
      <c r="R299" s="152" t="str">
        <f t="shared" si="140"/>
        <v>PTP</v>
      </c>
    </row>
    <row r="300" spans="1:18" s="152" customFormat="1" ht="15" customHeight="1">
      <c r="A300" s="153"/>
      <c r="B300" s="18">
        <f t="shared" si="139"/>
        <v>82</v>
      </c>
      <c r="C300" s="178" t="s">
        <v>1272</v>
      </c>
      <c r="D300" s="203" t="s">
        <v>1554</v>
      </c>
      <c r="E300" s="203" t="s">
        <v>1506</v>
      </c>
      <c r="F300" s="203" t="s">
        <v>1976</v>
      </c>
      <c r="G300" s="203">
        <v>2020</v>
      </c>
      <c r="H300" s="203" t="s">
        <v>568</v>
      </c>
      <c r="I300" s="203"/>
      <c r="J300" s="247"/>
      <c r="K300" s="207">
        <v>0</v>
      </c>
      <c r="L300" s="207">
        <v>0</v>
      </c>
      <c r="M300" s="207">
        <v>720</v>
      </c>
      <c r="N300" s="129">
        <v>0</v>
      </c>
      <c r="O300" s="129">
        <f t="shared" si="141"/>
        <v>1</v>
      </c>
      <c r="P300" s="129">
        <f t="shared" si="142"/>
        <v>0</v>
      </c>
      <c r="Q300" s="205"/>
      <c r="R300" s="152" t="str">
        <f t="shared" si="140"/>
        <v>PTP</v>
      </c>
    </row>
    <row r="301" spans="1:18" s="152" customFormat="1" ht="15" customHeight="1">
      <c r="A301" s="153"/>
      <c r="B301" s="18">
        <f t="shared" si="139"/>
        <v>83</v>
      </c>
      <c r="C301" s="178" t="s">
        <v>1272</v>
      </c>
      <c r="D301" s="203" t="s">
        <v>1555</v>
      </c>
      <c r="E301" s="203" t="s">
        <v>1506</v>
      </c>
      <c r="F301" s="203" t="s">
        <v>1993</v>
      </c>
      <c r="G301" s="203">
        <v>2021</v>
      </c>
      <c r="H301" s="203" t="s">
        <v>568</v>
      </c>
      <c r="I301" s="203"/>
      <c r="J301" s="247"/>
      <c r="K301" s="207">
        <v>168.89999999999964</v>
      </c>
      <c r="L301" s="207">
        <v>151.46666666676367</v>
      </c>
      <c r="M301" s="207">
        <v>399.63333333323669</v>
      </c>
      <c r="N301" s="129">
        <f t="shared" si="143"/>
        <v>0.52720840703344718</v>
      </c>
      <c r="O301" s="129">
        <f t="shared" si="141"/>
        <v>0.7896296296294949</v>
      </c>
      <c r="P301" s="129">
        <f t="shared" si="142"/>
        <v>0.29708020637903693</v>
      </c>
      <c r="Q301" s="205"/>
      <c r="R301" s="152" t="b">
        <f t="shared" si="140"/>
        <v>0</v>
      </c>
    </row>
    <row r="302" spans="1:18" s="152" customFormat="1" ht="15" customHeight="1">
      <c r="A302" s="153"/>
      <c r="B302" s="18">
        <f t="shared" si="139"/>
        <v>84</v>
      </c>
      <c r="C302" s="178" t="s">
        <v>1272</v>
      </c>
      <c r="D302" s="203" t="s">
        <v>2314</v>
      </c>
      <c r="E302" s="203" t="s">
        <v>1508</v>
      </c>
      <c r="F302" s="203" t="s">
        <v>1975</v>
      </c>
      <c r="G302" s="203">
        <v>2022</v>
      </c>
      <c r="H302" s="203" t="s">
        <v>568</v>
      </c>
      <c r="I302" s="203"/>
      <c r="J302" s="247"/>
      <c r="K302" s="207">
        <v>0</v>
      </c>
      <c r="L302" s="207">
        <v>0</v>
      </c>
      <c r="M302" s="207">
        <v>720</v>
      </c>
      <c r="N302" s="129">
        <v>0</v>
      </c>
      <c r="O302" s="129">
        <f t="shared" si="141"/>
        <v>1</v>
      </c>
      <c r="P302" s="129">
        <f t="shared" si="142"/>
        <v>0</v>
      </c>
      <c r="Q302" s="205"/>
      <c r="R302" s="152" t="str">
        <f t="shared" si="140"/>
        <v>PTP</v>
      </c>
    </row>
    <row r="303" spans="1:18" s="152" customFormat="1" ht="15" customHeight="1">
      <c r="A303" s="153"/>
      <c r="B303" s="18">
        <f t="shared" si="139"/>
        <v>85</v>
      </c>
      <c r="C303" s="178" t="s">
        <v>1272</v>
      </c>
      <c r="D303" s="203" t="s">
        <v>2315</v>
      </c>
      <c r="E303" s="203" t="s">
        <v>1508</v>
      </c>
      <c r="F303" s="203" t="s">
        <v>1975</v>
      </c>
      <c r="G303" s="203">
        <v>2022</v>
      </c>
      <c r="H303" s="203" t="s">
        <v>568</v>
      </c>
      <c r="I303" s="203"/>
      <c r="J303" s="247"/>
      <c r="K303" s="207">
        <v>99.9</v>
      </c>
      <c r="L303" s="207">
        <v>91.533333333449733</v>
      </c>
      <c r="M303" s="207">
        <v>528.5666666665503</v>
      </c>
      <c r="N303" s="129">
        <f t="shared" si="143"/>
        <v>0.5218526902312689</v>
      </c>
      <c r="O303" s="129">
        <f t="shared" si="141"/>
        <v>0.87287037037020876</v>
      </c>
      <c r="P303" s="129">
        <f t="shared" si="142"/>
        <v>0.15895831123371992</v>
      </c>
      <c r="Q303" s="205"/>
      <c r="R303" s="152" t="b">
        <f t="shared" si="140"/>
        <v>0</v>
      </c>
    </row>
    <row r="304" spans="1:18" s="152" customFormat="1" ht="15" customHeight="1">
      <c r="A304" s="153"/>
      <c r="B304" s="18">
        <f t="shared" si="139"/>
        <v>86</v>
      </c>
      <c r="C304" s="178" t="s">
        <v>1272</v>
      </c>
      <c r="D304" s="203" t="s">
        <v>2316</v>
      </c>
      <c r="E304" s="203" t="s">
        <v>1527</v>
      </c>
      <c r="F304" s="203" t="s">
        <v>2317</v>
      </c>
      <c r="G304" s="203">
        <v>2022</v>
      </c>
      <c r="H304" s="203" t="s">
        <v>568</v>
      </c>
      <c r="I304" s="203"/>
      <c r="J304" s="247"/>
      <c r="K304" s="207">
        <v>0</v>
      </c>
      <c r="L304" s="207">
        <v>720</v>
      </c>
      <c r="M304" s="207">
        <v>0</v>
      </c>
      <c r="N304" s="129">
        <f t="shared" si="143"/>
        <v>0</v>
      </c>
      <c r="O304" s="129">
        <f t="shared" si="141"/>
        <v>0</v>
      </c>
      <c r="P304" s="129">
        <v>0</v>
      </c>
      <c r="Q304" s="205"/>
      <c r="R304" s="152" t="b">
        <f t="shared" si="140"/>
        <v>0</v>
      </c>
    </row>
    <row r="305" spans="1:18" s="152" customFormat="1" ht="15" customHeight="1">
      <c r="A305" s="153"/>
      <c r="B305" s="18">
        <f t="shared" si="139"/>
        <v>87</v>
      </c>
      <c r="C305" s="178" t="s">
        <v>1272</v>
      </c>
      <c r="D305" s="203" t="s">
        <v>2318</v>
      </c>
      <c r="E305" s="203" t="s">
        <v>1527</v>
      </c>
      <c r="F305" s="203" t="s">
        <v>2317</v>
      </c>
      <c r="G305" s="203">
        <v>2022</v>
      </c>
      <c r="H305" s="203" t="s">
        <v>568</v>
      </c>
      <c r="I305" s="203"/>
      <c r="J305" s="247"/>
      <c r="K305" s="207">
        <v>0</v>
      </c>
      <c r="L305" s="207">
        <v>720</v>
      </c>
      <c r="M305" s="207">
        <v>0</v>
      </c>
      <c r="N305" s="129">
        <f t="shared" si="143"/>
        <v>0</v>
      </c>
      <c r="O305" s="129">
        <f t="shared" si="141"/>
        <v>0</v>
      </c>
      <c r="P305" s="129">
        <v>0</v>
      </c>
      <c r="Q305" s="205"/>
      <c r="R305" s="152" t="b">
        <f t="shared" si="140"/>
        <v>0</v>
      </c>
    </row>
    <row r="306" spans="1:18" s="152" customFormat="1" ht="15" customHeight="1">
      <c r="A306" s="153"/>
      <c r="B306" s="18">
        <f t="shared" si="139"/>
        <v>88</v>
      </c>
      <c r="C306" s="178" t="s">
        <v>1272</v>
      </c>
      <c r="D306" s="203" t="s">
        <v>2319</v>
      </c>
      <c r="E306" s="203" t="s">
        <v>1508</v>
      </c>
      <c r="F306" s="203"/>
      <c r="G306" s="203">
        <v>2022</v>
      </c>
      <c r="H306" s="203" t="s">
        <v>568</v>
      </c>
      <c r="I306" s="203"/>
      <c r="J306" s="247"/>
      <c r="K306" s="207">
        <v>123.40000000000002</v>
      </c>
      <c r="L306" s="207">
        <v>18.399999999883587</v>
      </c>
      <c r="M306" s="207">
        <v>578.20000000011646</v>
      </c>
      <c r="N306" s="129">
        <f t="shared" si="143"/>
        <v>0.87023977433075683</v>
      </c>
      <c r="O306" s="129">
        <f t="shared" si="141"/>
        <v>0.97444444444460621</v>
      </c>
      <c r="P306" s="129">
        <f t="shared" si="142"/>
        <v>0.17588369441274165</v>
      </c>
      <c r="Q306" s="205"/>
      <c r="R306" s="152" t="str">
        <f t="shared" si="140"/>
        <v>PTP</v>
      </c>
    </row>
    <row r="307" spans="1:18" s="152" customFormat="1" ht="15" customHeight="1">
      <c r="A307" s="153"/>
      <c r="B307" s="18">
        <f t="shared" si="139"/>
        <v>89</v>
      </c>
      <c r="C307" s="178" t="s">
        <v>1272</v>
      </c>
      <c r="D307" s="203" t="s">
        <v>2320</v>
      </c>
      <c r="E307" s="203" t="s">
        <v>1503</v>
      </c>
      <c r="F307" s="203"/>
      <c r="G307" s="203">
        <v>2022</v>
      </c>
      <c r="H307" s="203" t="s">
        <v>568</v>
      </c>
      <c r="I307" s="203"/>
      <c r="J307" s="247"/>
      <c r="K307" s="207">
        <v>0</v>
      </c>
      <c r="L307" s="207">
        <v>0</v>
      </c>
      <c r="M307" s="207">
        <v>720</v>
      </c>
      <c r="N307" s="129">
        <v>0</v>
      </c>
      <c r="O307" s="129">
        <f t="shared" si="141"/>
        <v>1</v>
      </c>
      <c r="P307" s="129">
        <f t="shared" si="142"/>
        <v>0</v>
      </c>
      <c r="Q307" s="205"/>
      <c r="R307" s="152" t="str">
        <f t="shared" si="140"/>
        <v>PTP</v>
      </c>
    </row>
    <row r="308" spans="1:18" s="152" customFormat="1" ht="15" customHeight="1">
      <c r="A308" s="153"/>
      <c r="B308" s="18">
        <f t="shared" si="139"/>
        <v>90</v>
      </c>
      <c r="C308" s="178" t="s">
        <v>1272</v>
      </c>
      <c r="D308" s="203" t="s">
        <v>2321</v>
      </c>
      <c r="E308" s="203" t="s">
        <v>1508</v>
      </c>
      <c r="F308" s="203" t="s">
        <v>1975</v>
      </c>
      <c r="G308" s="203">
        <v>2022</v>
      </c>
      <c r="H308" s="203" t="s">
        <v>568</v>
      </c>
      <c r="I308" s="203"/>
      <c r="J308" s="247"/>
      <c r="K308" s="207">
        <v>79.599999999999994</v>
      </c>
      <c r="L308" s="207">
        <v>36.783333333325565</v>
      </c>
      <c r="M308" s="207">
        <v>603.6166666666744</v>
      </c>
      <c r="N308" s="129">
        <f t="shared" si="143"/>
        <v>0.68394672776748078</v>
      </c>
      <c r="O308" s="129">
        <f t="shared" si="141"/>
        <v>0.94891203703704785</v>
      </c>
      <c r="P308" s="129">
        <f t="shared" si="142"/>
        <v>0.11650769643597554</v>
      </c>
      <c r="Q308" s="205"/>
      <c r="R308" s="152" t="str">
        <f t="shared" si="140"/>
        <v>PTP</v>
      </c>
    </row>
    <row r="309" spans="1:18" s="152" customFormat="1" ht="15" customHeight="1">
      <c r="A309" s="153"/>
      <c r="B309" s="18">
        <f t="shared" si="139"/>
        <v>91</v>
      </c>
      <c r="C309" s="178" t="s">
        <v>1272</v>
      </c>
      <c r="D309" s="203" t="s">
        <v>2322</v>
      </c>
      <c r="E309" s="203" t="s">
        <v>1526</v>
      </c>
      <c r="F309" s="203" t="s">
        <v>2323</v>
      </c>
      <c r="G309" s="203">
        <v>2022</v>
      </c>
      <c r="H309" s="203" t="s">
        <v>568</v>
      </c>
      <c r="I309" s="203"/>
      <c r="J309" s="247"/>
      <c r="K309" s="207">
        <v>0</v>
      </c>
      <c r="L309" s="207">
        <v>0</v>
      </c>
      <c r="M309" s="207">
        <v>720</v>
      </c>
      <c r="N309" s="129">
        <v>0</v>
      </c>
      <c r="O309" s="129">
        <f t="shared" si="141"/>
        <v>1</v>
      </c>
      <c r="P309" s="129">
        <f t="shared" si="142"/>
        <v>0</v>
      </c>
      <c r="Q309" s="205"/>
      <c r="R309" s="152" t="str">
        <f t="shared" si="140"/>
        <v>PTP</v>
      </c>
    </row>
    <row r="310" spans="1:18" s="152" customFormat="1" ht="15" customHeight="1">
      <c r="A310" s="153"/>
      <c r="B310" s="18">
        <f t="shared" si="139"/>
        <v>92</v>
      </c>
      <c r="C310" s="178" t="s">
        <v>1272</v>
      </c>
      <c r="D310" s="203" t="s">
        <v>2324</v>
      </c>
      <c r="E310" s="203" t="s">
        <v>2325</v>
      </c>
      <c r="F310" s="203" t="s">
        <v>2326</v>
      </c>
      <c r="G310" s="203">
        <v>2022</v>
      </c>
      <c r="H310" s="203" t="s">
        <v>568</v>
      </c>
      <c r="I310" s="203"/>
      <c r="J310" s="247"/>
      <c r="K310" s="207">
        <v>0</v>
      </c>
      <c r="L310" s="207">
        <v>708</v>
      </c>
      <c r="M310" s="207">
        <v>12</v>
      </c>
      <c r="N310" s="129">
        <f t="shared" si="143"/>
        <v>0</v>
      </c>
      <c r="O310" s="129">
        <f t="shared" si="141"/>
        <v>1.6666666666666666E-2</v>
      </c>
      <c r="P310" s="129">
        <f t="shared" si="142"/>
        <v>0</v>
      </c>
      <c r="Q310" s="205"/>
      <c r="R310" s="152" t="b">
        <f t="shared" si="140"/>
        <v>0</v>
      </c>
    </row>
    <row r="311" spans="1:18" s="152" customFormat="1" ht="15" customHeight="1">
      <c r="A311" s="153"/>
      <c r="B311" s="18">
        <f t="shared" si="139"/>
        <v>93</v>
      </c>
      <c r="C311" s="178" t="s">
        <v>1272</v>
      </c>
      <c r="D311" s="203" t="s">
        <v>1557</v>
      </c>
      <c r="E311" s="203" t="s">
        <v>1924</v>
      </c>
      <c r="F311" s="203" t="s">
        <v>1994</v>
      </c>
      <c r="G311" s="203">
        <v>2019</v>
      </c>
      <c r="H311" s="203" t="s">
        <v>1556</v>
      </c>
      <c r="I311" s="203"/>
      <c r="J311" s="247"/>
      <c r="K311" s="207">
        <v>0</v>
      </c>
      <c r="L311" s="207">
        <v>0</v>
      </c>
      <c r="M311" s="207">
        <v>720</v>
      </c>
      <c r="N311" s="129">
        <v>0</v>
      </c>
      <c r="O311" s="129">
        <f t="shared" si="141"/>
        <v>1</v>
      </c>
      <c r="P311" s="129">
        <f t="shared" si="142"/>
        <v>0</v>
      </c>
      <c r="Q311" s="205"/>
      <c r="R311" s="152" t="str">
        <f t="shared" si="140"/>
        <v>PTP</v>
      </c>
    </row>
    <row r="312" spans="1:18" s="152" customFormat="1" ht="15" customHeight="1">
      <c r="A312" s="153"/>
      <c r="B312" s="18">
        <f t="shared" si="139"/>
        <v>94</v>
      </c>
      <c r="C312" s="178" t="s">
        <v>1272</v>
      </c>
      <c r="D312" s="203" t="s">
        <v>1558</v>
      </c>
      <c r="E312" s="203" t="s">
        <v>1924</v>
      </c>
      <c r="F312" s="203" t="s">
        <v>1994</v>
      </c>
      <c r="G312" s="203">
        <v>2019</v>
      </c>
      <c r="H312" s="203" t="s">
        <v>1556</v>
      </c>
      <c r="I312" s="203"/>
      <c r="J312" s="247"/>
      <c r="K312" s="207">
        <v>0</v>
      </c>
      <c r="L312" s="207">
        <v>0</v>
      </c>
      <c r="M312" s="207">
        <v>720</v>
      </c>
      <c r="N312" s="129">
        <v>0</v>
      </c>
      <c r="O312" s="129">
        <f t="shared" si="141"/>
        <v>1</v>
      </c>
      <c r="P312" s="129">
        <f t="shared" si="142"/>
        <v>0</v>
      </c>
      <c r="Q312" s="205"/>
      <c r="R312" s="152" t="str">
        <f t="shared" si="140"/>
        <v>PTP</v>
      </c>
    </row>
    <row r="313" spans="1:18" s="152" customFormat="1" ht="15" customHeight="1">
      <c r="A313" s="153"/>
      <c r="B313" s="18">
        <f t="shared" si="139"/>
        <v>95</v>
      </c>
      <c r="C313" s="178" t="s">
        <v>1272</v>
      </c>
      <c r="D313" s="203" t="s">
        <v>1559</v>
      </c>
      <c r="E313" s="203" t="s">
        <v>629</v>
      </c>
      <c r="F313" s="203" t="s">
        <v>1995</v>
      </c>
      <c r="G313" s="203">
        <v>2020</v>
      </c>
      <c r="H313" s="203" t="s">
        <v>1556</v>
      </c>
      <c r="I313" s="203"/>
      <c r="J313" s="247"/>
      <c r="K313" s="207">
        <v>290</v>
      </c>
      <c r="L313" s="207">
        <v>0</v>
      </c>
      <c r="M313" s="207">
        <v>430</v>
      </c>
      <c r="N313" s="129">
        <f t="shared" si="143"/>
        <v>1</v>
      </c>
      <c r="O313" s="129">
        <f t="shared" si="141"/>
        <v>1</v>
      </c>
      <c r="P313" s="129">
        <f t="shared" si="142"/>
        <v>0.40277777777777779</v>
      </c>
      <c r="Q313" s="205"/>
      <c r="R313" s="152" t="str">
        <f t="shared" si="140"/>
        <v>PTP</v>
      </c>
    </row>
    <row r="314" spans="1:18" s="152" customFormat="1" ht="15" customHeight="1">
      <c r="A314" s="153"/>
      <c r="B314" s="18">
        <f t="shared" si="139"/>
        <v>96</v>
      </c>
      <c r="C314" s="178" t="s">
        <v>1272</v>
      </c>
      <c r="D314" s="203" t="s">
        <v>1560</v>
      </c>
      <c r="E314" s="203" t="s">
        <v>629</v>
      </c>
      <c r="F314" s="203" t="s">
        <v>1995</v>
      </c>
      <c r="G314" s="203">
        <v>2020</v>
      </c>
      <c r="H314" s="203" t="s">
        <v>1556</v>
      </c>
      <c r="I314" s="203"/>
      <c r="J314" s="247"/>
      <c r="K314" s="207">
        <v>50</v>
      </c>
      <c r="L314" s="207">
        <v>246.45</v>
      </c>
      <c r="M314" s="207">
        <v>423.55</v>
      </c>
      <c r="N314" s="129">
        <f t="shared" si="143"/>
        <v>0.168662506324844</v>
      </c>
      <c r="O314" s="129">
        <f t="shared" si="141"/>
        <v>0.65770833333333334</v>
      </c>
      <c r="P314" s="129">
        <f t="shared" si="142"/>
        <v>0.10558547143912997</v>
      </c>
      <c r="Q314" s="205"/>
      <c r="R314" s="152" t="b">
        <f t="shared" si="140"/>
        <v>0</v>
      </c>
    </row>
    <row r="315" spans="1:18" s="152" customFormat="1" ht="15" customHeight="1">
      <c r="A315" s="153"/>
      <c r="B315" s="18">
        <f t="shared" si="139"/>
        <v>97</v>
      </c>
      <c r="C315" s="178" t="s">
        <v>1272</v>
      </c>
      <c r="D315" s="203" t="s">
        <v>1561</v>
      </c>
      <c r="E315" s="203" t="s">
        <v>629</v>
      </c>
      <c r="F315" s="203" t="s">
        <v>1995</v>
      </c>
      <c r="G315" s="203">
        <v>2020</v>
      </c>
      <c r="H315" s="203" t="s">
        <v>1556</v>
      </c>
      <c r="I315" s="203"/>
      <c r="J315" s="247"/>
      <c r="K315" s="207">
        <v>22.899999999999977</v>
      </c>
      <c r="L315" s="207">
        <v>5.4500000001280569</v>
      </c>
      <c r="M315" s="207">
        <v>691.64999999987197</v>
      </c>
      <c r="N315" s="129">
        <f t="shared" si="143"/>
        <v>0.80776014108982563</v>
      </c>
      <c r="O315" s="129">
        <f t="shared" si="141"/>
        <v>0.99243055555537774</v>
      </c>
      <c r="P315" s="129">
        <f t="shared" si="142"/>
        <v>3.2048142187396378E-2</v>
      </c>
      <c r="Q315" s="205"/>
      <c r="R315" s="152" t="str">
        <f t="shared" si="140"/>
        <v>PTP</v>
      </c>
    </row>
    <row r="316" spans="1:18" s="152" customFormat="1" ht="15" customHeight="1">
      <c r="A316" s="153"/>
      <c r="B316" s="18">
        <f t="shared" si="139"/>
        <v>98</v>
      </c>
      <c r="C316" s="178" t="s">
        <v>1272</v>
      </c>
      <c r="D316" s="203" t="s">
        <v>1562</v>
      </c>
      <c r="E316" s="203" t="s">
        <v>629</v>
      </c>
      <c r="F316" s="203" t="s">
        <v>1995</v>
      </c>
      <c r="G316" s="203">
        <v>2020</v>
      </c>
      <c r="H316" s="203" t="s">
        <v>1556</v>
      </c>
      <c r="I316" s="203"/>
      <c r="J316" s="247"/>
      <c r="K316" s="207">
        <v>179.89999999999964</v>
      </c>
      <c r="L316" s="207">
        <v>23.883333333341092</v>
      </c>
      <c r="M316" s="207">
        <v>516.21666666665931</v>
      </c>
      <c r="N316" s="129">
        <f t="shared" si="143"/>
        <v>0.88280035985929395</v>
      </c>
      <c r="O316" s="129">
        <f t="shared" si="141"/>
        <v>0.966828703703693</v>
      </c>
      <c r="P316" s="129">
        <f t="shared" si="142"/>
        <v>0.25843369167045988</v>
      </c>
      <c r="Q316" s="205"/>
      <c r="R316" s="152" t="str">
        <f t="shared" si="140"/>
        <v>PTP</v>
      </c>
    </row>
    <row r="317" spans="1:18" s="152" customFormat="1" ht="15" customHeight="1">
      <c r="A317" s="153"/>
      <c r="B317" s="18">
        <f t="shared" si="139"/>
        <v>99</v>
      </c>
      <c r="C317" s="178" t="s">
        <v>1272</v>
      </c>
      <c r="D317" s="203" t="s">
        <v>1563</v>
      </c>
      <c r="E317" s="203" t="s">
        <v>629</v>
      </c>
      <c r="F317" s="203" t="s">
        <v>1995</v>
      </c>
      <c r="G317" s="203">
        <v>2020</v>
      </c>
      <c r="H317" s="203" t="s">
        <v>1556</v>
      </c>
      <c r="I317" s="203"/>
      <c r="J317" s="247"/>
      <c r="K317" s="207">
        <v>391</v>
      </c>
      <c r="L317" s="207">
        <v>0.99999999994179234</v>
      </c>
      <c r="M317" s="207">
        <v>328.00000000005821</v>
      </c>
      <c r="N317" s="129">
        <f t="shared" si="143"/>
        <v>0.99744897959198486</v>
      </c>
      <c r="O317" s="129">
        <f t="shared" si="141"/>
        <v>0.99861111111119194</v>
      </c>
      <c r="P317" s="129">
        <f t="shared" si="142"/>
        <v>0.5438108484005123</v>
      </c>
      <c r="Q317" s="205"/>
      <c r="R317" s="152" t="str">
        <f t="shared" si="140"/>
        <v>PTP</v>
      </c>
    </row>
    <row r="318" spans="1:18" s="152" customFormat="1" ht="15" customHeight="1">
      <c r="A318" s="153"/>
      <c r="B318" s="18">
        <f t="shared" si="139"/>
        <v>100</v>
      </c>
      <c r="C318" s="178" t="s">
        <v>1272</v>
      </c>
      <c r="D318" s="203" t="s">
        <v>1564</v>
      </c>
      <c r="E318" s="203" t="s">
        <v>629</v>
      </c>
      <c r="F318" s="203" t="s">
        <v>1995</v>
      </c>
      <c r="G318" s="203">
        <v>2021</v>
      </c>
      <c r="H318" s="203" t="s">
        <v>1556</v>
      </c>
      <c r="I318" s="203"/>
      <c r="J318" s="247"/>
      <c r="K318" s="207">
        <v>290</v>
      </c>
      <c r="L318" s="207">
        <v>0</v>
      </c>
      <c r="M318" s="207">
        <v>430</v>
      </c>
      <c r="N318" s="129">
        <f t="shared" si="143"/>
        <v>1</v>
      </c>
      <c r="O318" s="129">
        <f t="shared" si="141"/>
        <v>1</v>
      </c>
      <c r="P318" s="129">
        <f t="shared" si="142"/>
        <v>0.40277777777777779</v>
      </c>
      <c r="Q318" s="205"/>
      <c r="R318" s="152" t="str">
        <f t="shared" si="140"/>
        <v>PTP</v>
      </c>
    </row>
    <row r="319" spans="1:18" s="152" customFormat="1" ht="15" customHeight="1">
      <c r="A319" s="153"/>
      <c r="B319" s="18">
        <f t="shared" si="139"/>
        <v>101</v>
      </c>
      <c r="C319" s="178" t="s">
        <v>1272</v>
      </c>
      <c r="D319" s="203" t="s">
        <v>1580</v>
      </c>
      <c r="E319" s="203" t="s">
        <v>629</v>
      </c>
      <c r="F319" s="203" t="s">
        <v>1995</v>
      </c>
      <c r="G319" s="203">
        <v>2020</v>
      </c>
      <c r="H319" s="203" t="s">
        <v>1556</v>
      </c>
      <c r="I319" s="203"/>
      <c r="J319" s="247"/>
      <c r="K319" s="207">
        <v>0</v>
      </c>
      <c r="L319" s="207">
        <v>72</v>
      </c>
      <c r="M319" s="207">
        <v>648</v>
      </c>
      <c r="N319" s="129">
        <f t="shared" si="143"/>
        <v>0</v>
      </c>
      <c r="O319" s="129">
        <f t="shared" si="141"/>
        <v>0.9</v>
      </c>
      <c r="P319" s="129">
        <f t="shared" si="142"/>
        <v>0</v>
      </c>
      <c r="Q319" s="205"/>
      <c r="R319" s="152" t="str">
        <f t="shared" si="140"/>
        <v>PTP</v>
      </c>
    </row>
    <row r="320" spans="1:18" s="152" customFormat="1" ht="15" customHeight="1">
      <c r="A320" s="153"/>
      <c r="B320" s="18">
        <f t="shared" si="139"/>
        <v>102</v>
      </c>
      <c r="C320" s="178" t="s">
        <v>1272</v>
      </c>
      <c r="D320" s="203" t="s">
        <v>1581</v>
      </c>
      <c r="E320" s="203" t="s">
        <v>629</v>
      </c>
      <c r="F320" s="203" t="s">
        <v>1995</v>
      </c>
      <c r="G320" s="203">
        <v>2020</v>
      </c>
      <c r="H320" s="203" t="s">
        <v>1556</v>
      </c>
      <c r="I320" s="203"/>
      <c r="J320" s="247"/>
      <c r="K320" s="207">
        <v>260</v>
      </c>
      <c r="L320" s="207">
        <v>61.883333333333333</v>
      </c>
      <c r="M320" s="207">
        <v>398.11666666666667</v>
      </c>
      <c r="N320" s="129">
        <f t="shared" si="143"/>
        <v>0.80774607777144936</v>
      </c>
      <c r="O320" s="129">
        <f t="shared" si="141"/>
        <v>0.91405092592592596</v>
      </c>
      <c r="P320" s="129">
        <f t="shared" si="142"/>
        <v>0.39506673082280241</v>
      </c>
      <c r="Q320" s="205"/>
      <c r="R320" s="152" t="str">
        <f t="shared" si="140"/>
        <v>PTP</v>
      </c>
    </row>
    <row r="321" spans="1:18" s="152" customFormat="1" ht="15" customHeight="1">
      <c r="A321" s="153"/>
      <c r="B321" s="18">
        <f t="shared" si="139"/>
        <v>103</v>
      </c>
      <c r="C321" s="178" t="s">
        <v>1272</v>
      </c>
      <c r="D321" s="203" t="s">
        <v>1582</v>
      </c>
      <c r="E321" s="203" t="s">
        <v>629</v>
      </c>
      <c r="F321" s="203" t="s">
        <v>1995</v>
      </c>
      <c r="G321" s="203">
        <v>2020</v>
      </c>
      <c r="H321" s="203" t="s">
        <v>1556</v>
      </c>
      <c r="I321" s="203"/>
      <c r="J321" s="247"/>
      <c r="K321" s="207">
        <v>0</v>
      </c>
      <c r="L321" s="207">
        <v>0</v>
      </c>
      <c r="M321" s="207">
        <v>720</v>
      </c>
      <c r="N321" s="129">
        <v>0</v>
      </c>
      <c r="O321" s="129">
        <f t="shared" si="141"/>
        <v>1</v>
      </c>
      <c r="P321" s="129">
        <f t="shared" si="142"/>
        <v>0</v>
      </c>
      <c r="Q321" s="205"/>
      <c r="R321" s="152" t="str">
        <f t="shared" si="140"/>
        <v>PTP</v>
      </c>
    </row>
    <row r="322" spans="1:18" s="152" customFormat="1" ht="15" customHeight="1">
      <c r="A322" s="153"/>
      <c r="B322" s="18">
        <f t="shared" si="139"/>
        <v>104</v>
      </c>
      <c r="C322" s="178" t="s">
        <v>1272</v>
      </c>
      <c r="D322" s="203" t="s">
        <v>1565</v>
      </c>
      <c r="E322" s="203" t="s">
        <v>629</v>
      </c>
      <c r="F322" s="203" t="s">
        <v>1995</v>
      </c>
      <c r="G322" s="203">
        <v>2022</v>
      </c>
      <c r="H322" s="203" t="s">
        <v>1556</v>
      </c>
      <c r="I322" s="203"/>
      <c r="J322" s="247"/>
      <c r="K322" s="207">
        <v>347</v>
      </c>
      <c r="L322" s="207">
        <v>0</v>
      </c>
      <c r="M322" s="207">
        <v>373</v>
      </c>
      <c r="N322" s="129">
        <f t="shared" si="143"/>
        <v>1</v>
      </c>
      <c r="O322" s="129">
        <f t="shared" si="141"/>
        <v>1</v>
      </c>
      <c r="P322" s="129">
        <f t="shared" si="142"/>
        <v>0.48194444444444445</v>
      </c>
      <c r="Q322" s="205"/>
      <c r="R322" s="152" t="str">
        <f t="shared" si="140"/>
        <v>PTP</v>
      </c>
    </row>
    <row r="323" spans="1:18" s="152" customFormat="1" ht="15" customHeight="1">
      <c r="A323" s="153"/>
      <c r="B323" s="18">
        <f t="shared" si="139"/>
        <v>105</v>
      </c>
      <c r="C323" s="178" t="s">
        <v>1272</v>
      </c>
      <c r="D323" s="203" t="s">
        <v>1566</v>
      </c>
      <c r="E323" s="203" t="s">
        <v>629</v>
      </c>
      <c r="F323" s="203" t="s">
        <v>1995</v>
      </c>
      <c r="G323" s="203">
        <v>2022</v>
      </c>
      <c r="H323" s="203" t="s">
        <v>1556</v>
      </c>
      <c r="I323" s="203"/>
      <c r="J323" s="247"/>
      <c r="K323" s="207">
        <v>381</v>
      </c>
      <c r="L323" s="207">
        <v>0</v>
      </c>
      <c r="M323" s="207">
        <v>339</v>
      </c>
      <c r="N323" s="129">
        <f t="shared" si="143"/>
        <v>1</v>
      </c>
      <c r="O323" s="129">
        <f t="shared" si="141"/>
        <v>1</v>
      </c>
      <c r="P323" s="129">
        <f t="shared" si="142"/>
        <v>0.52916666666666667</v>
      </c>
      <c r="Q323" s="205"/>
      <c r="R323" s="152" t="str">
        <f t="shared" si="140"/>
        <v>PTP</v>
      </c>
    </row>
    <row r="324" spans="1:18" s="152" customFormat="1" ht="15" customHeight="1">
      <c r="A324" s="153"/>
      <c r="B324" s="18">
        <f t="shared" si="139"/>
        <v>106</v>
      </c>
      <c r="C324" s="178" t="s">
        <v>1272</v>
      </c>
      <c r="D324" s="203" t="s">
        <v>1567</v>
      </c>
      <c r="E324" s="203" t="s">
        <v>629</v>
      </c>
      <c r="F324" s="203" t="s">
        <v>1995</v>
      </c>
      <c r="G324" s="203">
        <v>2022</v>
      </c>
      <c r="H324" s="203" t="s">
        <v>1556</v>
      </c>
      <c r="I324" s="203"/>
      <c r="J324" s="247"/>
      <c r="K324" s="207">
        <v>276</v>
      </c>
      <c r="L324" s="207">
        <v>0</v>
      </c>
      <c r="M324" s="207">
        <v>444</v>
      </c>
      <c r="N324" s="129">
        <f t="shared" si="143"/>
        <v>1</v>
      </c>
      <c r="O324" s="129">
        <f t="shared" si="141"/>
        <v>1</v>
      </c>
      <c r="P324" s="129">
        <f t="shared" si="142"/>
        <v>0.38333333333333336</v>
      </c>
      <c r="Q324" s="205"/>
      <c r="R324" s="152" t="str">
        <f t="shared" si="140"/>
        <v>PTP</v>
      </c>
    </row>
    <row r="325" spans="1:18" s="152" customFormat="1" ht="15" customHeight="1">
      <c r="A325" s="153"/>
      <c r="B325" s="18">
        <f t="shared" si="139"/>
        <v>107</v>
      </c>
      <c r="C325" s="178" t="s">
        <v>1272</v>
      </c>
      <c r="D325" s="203" t="s">
        <v>1568</v>
      </c>
      <c r="E325" s="203" t="s">
        <v>629</v>
      </c>
      <c r="F325" s="203" t="s">
        <v>1995</v>
      </c>
      <c r="G325" s="203">
        <v>2022</v>
      </c>
      <c r="H325" s="203" t="s">
        <v>1556</v>
      </c>
      <c r="I325" s="203"/>
      <c r="J325" s="247"/>
      <c r="K325" s="207">
        <v>226</v>
      </c>
      <c r="L325" s="207">
        <v>0</v>
      </c>
      <c r="M325" s="207">
        <v>494</v>
      </c>
      <c r="N325" s="129">
        <f t="shared" si="143"/>
        <v>1</v>
      </c>
      <c r="O325" s="129">
        <f t="shared" si="141"/>
        <v>1</v>
      </c>
      <c r="P325" s="129">
        <f t="shared" si="142"/>
        <v>0.31388888888888888</v>
      </c>
      <c r="Q325" s="205"/>
      <c r="R325" s="152" t="str">
        <f t="shared" si="140"/>
        <v>PTP</v>
      </c>
    </row>
    <row r="326" spans="1:18" s="152" customFormat="1" ht="15" customHeight="1">
      <c r="A326" s="153"/>
      <c r="B326" s="18">
        <f t="shared" si="139"/>
        <v>108</v>
      </c>
      <c r="C326" s="178" t="s">
        <v>1272</v>
      </c>
      <c r="D326" s="203" t="s">
        <v>1569</v>
      </c>
      <c r="E326" s="203" t="s">
        <v>629</v>
      </c>
      <c r="F326" s="203" t="s">
        <v>1995</v>
      </c>
      <c r="G326" s="203">
        <v>2022</v>
      </c>
      <c r="H326" s="203" t="s">
        <v>1556</v>
      </c>
      <c r="I326" s="203"/>
      <c r="J326" s="247"/>
      <c r="K326" s="207">
        <v>278</v>
      </c>
      <c r="L326" s="207">
        <v>0</v>
      </c>
      <c r="M326" s="207">
        <v>442</v>
      </c>
      <c r="N326" s="129">
        <f t="shared" si="143"/>
        <v>1</v>
      </c>
      <c r="O326" s="129">
        <f t="shared" si="141"/>
        <v>1</v>
      </c>
      <c r="P326" s="129">
        <f t="shared" si="142"/>
        <v>0.38611111111111113</v>
      </c>
      <c r="Q326" s="205"/>
      <c r="R326" s="152" t="str">
        <f t="shared" si="140"/>
        <v>PTP</v>
      </c>
    </row>
    <row r="327" spans="1:18" s="152" customFormat="1" ht="15" customHeight="1">
      <c r="A327" s="153"/>
      <c r="B327" s="18">
        <f t="shared" si="139"/>
        <v>109</v>
      </c>
      <c r="C327" s="178" t="s">
        <v>1272</v>
      </c>
      <c r="D327" s="203" t="s">
        <v>1570</v>
      </c>
      <c r="E327" s="203" t="s">
        <v>629</v>
      </c>
      <c r="F327" s="203" t="s">
        <v>1995</v>
      </c>
      <c r="G327" s="203">
        <v>2022</v>
      </c>
      <c r="H327" s="203" t="s">
        <v>1556</v>
      </c>
      <c r="I327" s="203"/>
      <c r="J327" s="247"/>
      <c r="K327" s="207">
        <v>285</v>
      </c>
      <c r="L327" s="207">
        <v>0</v>
      </c>
      <c r="M327" s="207">
        <v>435</v>
      </c>
      <c r="N327" s="129">
        <f t="shared" si="143"/>
        <v>1</v>
      </c>
      <c r="O327" s="129">
        <f t="shared" si="141"/>
        <v>1</v>
      </c>
      <c r="P327" s="129">
        <f t="shared" si="142"/>
        <v>0.39583333333333331</v>
      </c>
      <c r="Q327" s="205"/>
      <c r="R327" s="152" t="str">
        <f t="shared" si="140"/>
        <v>PTP</v>
      </c>
    </row>
    <row r="328" spans="1:18" s="152" customFormat="1" ht="15" customHeight="1">
      <c r="A328" s="153"/>
      <c r="B328" s="18">
        <f t="shared" si="139"/>
        <v>110</v>
      </c>
      <c r="C328" s="178" t="s">
        <v>1272</v>
      </c>
      <c r="D328" s="203" t="s">
        <v>1571</v>
      </c>
      <c r="E328" s="203" t="s">
        <v>629</v>
      </c>
      <c r="F328" s="203" t="s">
        <v>1995</v>
      </c>
      <c r="G328" s="203">
        <v>2022</v>
      </c>
      <c r="H328" s="203" t="s">
        <v>1556</v>
      </c>
      <c r="I328" s="203"/>
      <c r="J328" s="247"/>
      <c r="K328" s="207">
        <v>213</v>
      </c>
      <c r="L328" s="207">
        <v>0</v>
      </c>
      <c r="M328" s="207">
        <v>507</v>
      </c>
      <c r="N328" s="129">
        <f t="shared" si="143"/>
        <v>1</v>
      </c>
      <c r="O328" s="129">
        <f t="shared" si="141"/>
        <v>1</v>
      </c>
      <c r="P328" s="129">
        <f t="shared" si="142"/>
        <v>0.29583333333333334</v>
      </c>
      <c r="Q328" s="205"/>
      <c r="R328" s="152" t="str">
        <f t="shared" si="140"/>
        <v>PTP</v>
      </c>
    </row>
    <row r="329" spans="1:18" s="152" customFormat="1" ht="15" customHeight="1">
      <c r="A329" s="153"/>
      <c r="B329" s="18">
        <f t="shared" si="139"/>
        <v>111</v>
      </c>
      <c r="C329" s="178" t="s">
        <v>1272</v>
      </c>
      <c r="D329" s="203" t="s">
        <v>1572</v>
      </c>
      <c r="E329" s="203" t="s">
        <v>629</v>
      </c>
      <c r="F329" s="203" t="s">
        <v>1995</v>
      </c>
      <c r="G329" s="203">
        <v>2022</v>
      </c>
      <c r="H329" s="203" t="s">
        <v>1556</v>
      </c>
      <c r="I329" s="203"/>
      <c r="J329" s="247"/>
      <c r="K329" s="207">
        <v>250</v>
      </c>
      <c r="L329" s="207">
        <v>0</v>
      </c>
      <c r="M329" s="207">
        <v>470</v>
      </c>
      <c r="N329" s="129">
        <f t="shared" si="143"/>
        <v>1</v>
      </c>
      <c r="O329" s="129">
        <f t="shared" si="141"/>
        <v>1</v>
      </c>
      <c r="P329" s="129">
        <f t="shared" si="142"/>
        <v>0.34722222222222221</v>
      </c>
      <c r="Q329" s="205"/>
      <c r="R329" s="152" t="str">
        <f t="shared" si="140"/>
        <v>PTP</v>
      </c>
    </row>
    <row r="330" spans="1:18" s="152" customFormat="1" ht="15" customHeight="1">
      <c r="A330" s="153"/>
      <c r="B330" s="18">
        <f t="shared" si="139"/>
        <v>112</v>
      </c>
      <c r="C330" s="178" t="s">
        <v>1272</v>
      </c>
      <c r="D330" s="203" t="s">
        <v>1573</v>
      </c>
      <c r="E330" s="203" t="s">
        <v>629</v>
      </c>
      <c r="F330" s="203" t="s">
        <v>1995</v>
      </c>
      <c r="G330" s="203">
        <v>2022</v>
      </c>
      <c r="H330" s="203" t="s">
        <v>1556</v>
      </c>
      <c r="I330" s="203"/>
      <c r="J330" s="247"/>
      <c r="K330" s="207">
        <v>0</v>
      </c>
      <c r="L330" s="207">
        <v>0</v>
      </c>
      <c r="M330" s="207">
        <v>720</v>
      </c>
      <c r="N330" s="129">
        <v>0</v>
      </c>
      <c r="O330" s="129">
        <f t="shared" si="141"/>
        <v>1</v>
      </c>
      <c r="P330" s="129">
        <f t="shared" si="142"/>
        <v>0</v>
      </c>
      <c r="Q330" s="205"/>
      <c r="R330" s="152" t="str">
        <f t="shared" si="140"/>
        <v>PTP</v>
      </c>
    </row>
    <row r="331" spans="1:18" s="152" customFormat="1" ht="15" customHeight="1">
      <c r="A331" s="153"/>
      <c r="B331" s="18">
        <f t="shared" si="139"/>
        <v>113</v>
      </c>
      <c r="C331" s="178" t="s">
        <v>1272</v>
      </c>
      <c r="D331" s="203" t="s">
        <v>1574</v>
      </c>
      <c r="E331" s="203" t="s">
        <v>629</v>
      </c>
      <c r="F331" s="203" t="s">
        <v>1995</v>
      </c>
      <c r="G331" s="203">
        <v>2022</v>
      </c>
      <c r="H331" s="203" t="s">
        <v>1556</v>
      </c>
      <c r="I331" s="203"/>
      <c r="J331" s="247"/>
      <c r="K331" s="207">
        <v>247</v>
      </c>
      <c r="L331" s="207">
        <v>0</v>
      </c>
      <c r="M331" s="207">
        <v>473</v>
      </c>
      <c r="N331" s="129">
        <f t="shared" si="143"/>
        <v>1</v>
      </c>
      <c r="O331" s="129">
        <f t="shared" si="141"/>
        <v>1</v>
      </c>
      <c r="P331" s="129">
        <f t="shared" si="142"/>
        <v>0.34305555555555556</v>
      </c>
      <c r="Q331" s="205"/>
      <c r="R331" s="152" t="str">
        <f t="shared" si="140"/>
        <v>PTP</v>
      </c>
    </row>
    <row r="332" spans="1:18" s="152" customFormat="1" ht="15" customHeight="1">
      <c r="A332" s="153"/>
      <c r="B332" s="18">
        <f t="shared" si="139"/>
        <v>114</v>
      </c>
      <c r="C332" s="178" t="s">
        <v>1272</v>
      </c>
      <c r="D332" s="203" t="s">
        <v>1575</v>
      </c>
      <c r="E332" s="203" t="s">
        <v>629</v>
      </c>
      <c r="F332" s="203" t="s">
        <v>1995</v>
      </c>
      <c r="G332" s="203">
        <v>2022</v>
      </c>
      <c r="H332" s="203" t="s">
        <v>1556</v>
      </c>
      <c r="I332" s="203"/>
      <c r="J332" s="247"/>
      <c r="K332" s="207">
        <v>280</v>
      </c>
      <c r="L332" s="207">
        <v>0</v>
      </c>
      <c r="M332" s="207">
        <v>440</v>
      </c>
      <c r="N332" s="129">
        <f t="shared" si="143"/>
        <v>1</v>
      </c>
      <c r="O332" s="129">
        <f t="shared" si="141"/>
        <v>1</v>
      </c>
      <c r="P332" s="129">
        <f t="shared" si="142"/>
        <v>0.3888888888888889</v>
      </c>
      <c r="Q332" s="205"/>
      <c r="R332" s="152" t="str">
        <f t="shared" si="140"/>
        <v>PTP</v>
      </c>
    </row>
    <row r="333" spans="1:18" s="152" customFormat="1" ht="15" customHeight="1">
      <c r="A333" s="153"/>
      <c r="B333" s="18">
        <f t="shared" si="139"/>
        <v>115</v>
      </c>
      <c r="C333" s="178" t="s">
        <v>1272</v>
      </c>
      <c r="D333" s="203" t="s">
        <v>1576</v>
      </c>
      <c r="E333" s="203" t="s">
        <v>629</v>
      </c>
      <c r="F333" s="203" t="s">
        <v>1995</v>
      </c>
      <c r="G333" s="203">
        <v>2022</v>
      </c>
      <c r="H333" s="203" t="s">
        <v>1556</v>
      </c>
      <c r="I333" s="203"/>
      <c r="J333" s="247"/>
      <c r="K333" s="207">
        <v>238</v>
      </c>
      <c r="L333" s="207">
        <v>0</v>
      </c>
      <c r="M333" s="207">
        <v>482</v>
      </c>
      <c r="N333" s="129">
        <f t="shared" si="143"/>
        <v>1</v>
      </c>
      <c r="O333" s="129">
        <f t="shared" si="141"/>
        <v>1</v>
      </c>
      <c r="P333" s="129">
        <f t="shared" si="142"/>
        <v>0.33055555555555555</v>
      </c>
      <c r="Q333" s="205"/>
      <c r="R333" s="152" t="str">
        <f t="shared" si="140"/>
        <v>PTP</v>
      </c>
    </row>
    <row r="334" spans="1:18" s="152" customFormat="1" ht="15" customHeight="1">
      <c r="A334" s="153"/>
      <c r="B334" s="18">
        <f t="shared" si="139"/>
        <v>116</v>
      </c>
      <c r="C334" s="178" t="s">
        <v>1272</v>
      </c>
      <c r="D334" s="203" t="s">
        <v>1577</v>
      </c>
      <c r="E334" s="203" t="s">
        <v>629</v>
      </c>
      <c r="F334" s="203" t="s">
        <v>1995</v>
      </c>
      <c r="G334" s="203">
        <v>2022</v>
      </c>
      <c r="H334" s="203" t="s">
        <v>1556</v>
      </c>
      <c r="I334" s="203"/>
      <c r="J334" s="247"/>
      <c r="K334" s="207">
        <v>277</v>
      </c>
      <c r="L334" s="207">
        <v>0</v>
      </c>
      <c r="M334" s="207">
        <v>443</v>
      </c>
      <c r="N334" s="129">
        <f t="shared" si="143"/>
        <v>1</v>
      </c>
      <c r="O334" s="129">
        <f t="shared" si="141"/>
        <v>1</v>
      </c>
      <c r="P334" s="129">
        <f t="shared" si="142"/>
        <v>0.38472222222222224</v>
      </c>
      <c r="Q334" s="205"/>
      <c r="R334" s="152" t="str">
        <f t="shared" si="140"/>
        <v>PTP</v>
      </c>
    </row>
    <row r="335" spans="1:18" s="152" customFormat="1" ht="15" customHeight="1">
      <c r="A335" s="153"/>
      <c r="B335" s="18">
        <f t="shared" si="139"/>
        <v>117</v>
      </c>
      <c r="C335" s="178" t="s">
        <v>1272</v>
      </c>
      <c r="D335" s="203" t="s">
        <v>1578</v>
      </c>
      <c r="E335" s="203" t="s">
        <v>629</v>
      </c>
      <c r="F335" s="203" t="s">
        <v>1995</v>
      </c>
      <c r="G335" s="203">
        <v>2022</v>
      </c>
      <c r="H335" s="203" t="s">
        <v>1556</v>
      </c>
      <c r="I335" s="203"/>
      <c r="J335" s="247"/>
      <c r="K335" s="207">
        <v>305</v>
      </c>
      <c r="L335" s="207">
        <v>0</v>
      </c>
      <c r="M335" s="207">
        <v>415</v>
      </c>
      <c r="N335" s="129">
        <f t="shared" si="143"/>
        <v>1</v>
      </c>
      <c r="O335" s="129">
        <f t="shared" si="141"/>
        <v>1</v>
      </c>
      <c r="P335" s="129">
        <f t="shared" si="142"/>
        <v>0.4236111111111111</v>
      </c>
      <c r="Q335" s="205"/>
      <c r="R335" s="152" t="str">
        <f t="shared" si="140"/>
        <v>PTP</v>
      </c>
    </row>
    <row r="336" spans="1:18" s="152" customFormat="1" ht="15" customHeight="1">
      <c r="A336" s="153"/>
      <c r="B336" s="18">
        <f t="shared" si="139"/>
        <v>118</v>
      </c>
      <c r="C336" s="178" t="s">
        <v>1272</v>
      </c>
      <c r="D336" s="203" t="s">
        <v>1579</v>
      </c>
      <c r="E336" s="203" t="s">
        <v>629</v>
      </c>
      <c r="F336" s="203" t="s">
        <v>1995</v>
      </c>
      <c r="G336" s="203">
        <v>2022</v>
      </c>
      <c r="H336" s="203" t="s">
        <v>1556</v>
      </c>
      <c r="I336" s="203"/>
      <c r="J336" s="247"/>
      <c r="K336" s="207">
        <v>244</v>
      </c>
      <c r="L336" s="207">
        <v>0</v>
      </c>
      <c r="M336" s="207">
        <v>476</v>
      </c>
      <c r="N336" s="129">
        <f t="shared" si="143"/>
        <v>1</v>
      </c>
      <c r="O336" s="129">
        <f t="shared" si="141"/>
        <v>1</v>
      </c>
      <c r="P336" s="129">
        <f t="shared" si="142"/>
        <v>0.33888888888888891</v>
      </c>
      <c r="Q336" s="205"/>
      <c r="R336" s="152" t="str">
        <f t="shared" si="140"/>
        <v>PTP</v>
      </c>
    </row>
    <row r="337" spans="1:18" s="152" customFormat="1" ht="15" customHeight="1">
      <c r="A337" s="153"/>
      <c r="B337" s="18">
        <f t="shared" si="139"/>
        <v>119</v>
      </c>
      <c r="C337" s="178" t="s">
        <v>1272</v>
      </c>
      <c r="D337" s="203" t="s">
        <v>1908</v>
      </c>
      <c r="E337" s="203" t="s">
        <v>629</v>
      </c>
      <c r="F337" s="203" t="s">
        <v>1995</v>
      </c>
      <c r="G337" s="203">
        <v>2022</v>
      </c>
      <c r="H337" s="203" t="s">
        <v>1556</v>
      </c>
      <c r="I337" s="203"/>
      <c r="J337" s="247"/>
      <c r="K337" s="207">
        <v>254</v>
      </c>
      <c r="L337" s="207">
        <v>0</v>
      </c>
      <c r="M337" s="207">
        <v>466</v>
      </c>
      <c r="N337" s="129">
        <f t="shared" si="143"/>
        <v>1</v>
      </c>
      <c r="O337" s="129">
        <f t="shared" si="141"/>
        <v>1</v>
      </c>
      <c r="P337" s="129">
        <f t="shared" si="142"/>
        <v>0.3527777777777778</v>
      </c>
      <c r="Q337" s="205"/>
      <c r="R337" s="152" t="str">
        <f t="shared" si="140"/>
        <v>PTP</v>
      </c>
    </row>
    <row r="338" spans="1:18" s="152" customFormat="1" ht="15" customHeight="1">
      <c r="A338" s="153"/>
      <c r="B338" s="18">
        <f t="shared" si="139"/>
        <v>120</v>
      </c>
      <c r="C338" s="178" t="s">
        <v>1272</v>
      </c>
      <c r="D338" s="203" t="s">
        <v>2327</v>
      </c>
      <c r="E338" s="203" t="s">
        <v>1925</v>
      </c>
      <c r="F338" s="203" t="s">
        <v>2328</v>
      </c>
      <c r="G338" s="203">
        <v>2018</v>
      </c>
      <c r="H338" s="203" t="s">
        <v>1583</v>
      </c>
      <c r="I338" s="203"/>
      <c r="J338" s="247"/>
      <c r="K338" s="207">
        <v>0</v>
      </c>
      <c r="L338" s="207">
        <v>0</v>
      </c>
      <c r="M338" s="207">
        <v>720</v>
      </c>
      <c r="N338" s="129">
        <v>0</v>
      </c>
      <c r="O338" s="129">
        <f t="shared" si="141"/>
        <v>1</v>
      </c>
      <c r="P338" s="129">
        <f t="shared" si="142"/>
        <v>0</v>
      </c>
      <c r="Q338" s="205"/>
      <c r="R338" s="152" t="str">
        <f t="shared" si="140"/>
        <v>PTP</v>
      </c>
    </row>
    <row r="339" spans="1:18" s="152" customFormat="1" ht="15" customHeight="1">
      <c r="A339" s="153"/>
      <c r="B339" s="18">
        <f t="shared" si="139"/>
        <v>121</v>
      </c>
      <c r="C339" s="178" t="s">
        <v>1272</v>
      </c>
      <c r="D339" s="203" t="s">
        <v>1585</v>
      </c>
      <c r="E339" s="203" t="s">
        <v>1926</v>
      </c>
      <c r="F339" s="203" t="s">
        <v>1996</v>
      </c>
      <c r="G339" s="203">
        <v>2018</v>
      </c>
      <c r="H339" s="203" t="s">
        <v>1583</v>
      </c>
      <c r="I339" s="203"/>
      <c r="J339" s="247"/>
      <c r="K339" s="207">
        <v>44.2</v>
      </c>
      <c r="L339" s="207">
        <v>49.084000000000003</v>
      </c>
      <c r="M339" s="207">
        <v>626.71599999999989</v>
      </c>
      <c r="N339" s="129">
        <f t="shared" si="143"/>
        <v>0.4738218772779898</v>
      </c>
      <c r="O339" s="129">
        <f t="shared" si="141"/>
        <v>0.93182777777777781</v>
      </c>
      <c r="P339" s="129">
        <f t="shared" si="142"/>
        <v>6.5880080367736057E-2</v>
      </c>
      <c r="Q339" s="205"/>
      <c r="R339" s="152" t="str">
        <f t="shared" si="140"/>
        <v>PTP</v>
      </c>
    </row>
    <row r="340" spans="1:18" s="152" customFormat="1" ht="15" customHeight="1">
      <c r="A340" s="153"/>
      <c r="B340" s="18">
        <f t="shared" si="139"/>
        <v>122</v>
      </c>
      <c r="C340" s="178" t="s">
        <v>1272</v>
      </c>
      <c r="D340" s="203" t="s">
        <v>1586</v>
      </c>
      <c r="E340" s="203" t="s">
        <v>317</v>
      </c>
      <c r="F340" s="203" t="s">
        <v>1997</v>
      </c>
      <c r="G340" s="203">
        <v>2018</v>
      </c>
      <c r="H340" s="203" t="s">
        <v>1587</v>
      </c>
      <c r="I340" s="203"/>
      <c r="J340" s="247"/>
      <c r="K340" s="207">
        <v>0</v>
      </c>
      <c r="L340" s="207">
        <v>0</v>
      </c>
      <c r="M340" s="207">
        <v>720</v>
      </c>
      <c r="N340" s="129">
        <v>0</v>
      </c>
      <c r="O340" s="129">
        <f t="shared" si="141"/>
        <v>1</v>
      </c>
      <c r="P340" s="129">
        <f t="shared" si="142"/>
        <v>0</v>
      </c>
      <c r="Q340" s="205"/>
      <c r="R340" s="152" t="str">
        <f t="shared" si="140"/>
        <v>PTP</v>
      </c>
    </row>
    <row r="341" spans="1:18" s="152" customFormat="1" ht="15" customHeight="1">
      <c r="A341" s="153"/>
      <c r="B341" s="18">
        <f t="shared" si="139"/>
        <v>123</v>
      </c>
      <c r="C341" s="178" t="s">
        <v>1272</v>
      </c>
      <c r="D341" s="203" t="s">
        <v>1588</v>
      </c>
      <c r="E341" s="203" t="s">
        <v>317</v>
      </c>
      <c r="F341" s="203" t="s">
        <v>1998</v>
      </c>
      <c r="G341" s="203">
        <v>2018</v>
      </c>
      <c r="H341" s="203" t="s">
        <v>1583</v>
      </c>
      <c r="I341" s="203"/>
      <c r="J341" s="247"/>
      <c r="K341" s="207">
        <v>523.5</v>
      </c>
      <c r="L341" s="207">
        <v>9.5</v>
      </c>
      <c r="M341" s="207">
        <v>187</v>
      </c>
      <c r="N341" s="129">
        <f t="shared" si="143"/>
        <v>0.98217636022514077</v>
      </c>
      <c r="O341" s="129">
        <f t="shared" si="141"/>
        <v>0.9868055555555556</v>
      </c>
      <c r="P341" s="129">
        <f t="shared" si="142"/>
        <v>0.73680506685432789</v>
      </c>
      <c r="Q341" s="205"/>
      <c r="R341" s="152" t="str">
        <f t="shared" si="140"/>
        <v>PTP</v>
      </c>
    </row>
    <row r="342" spans="1:18" s="152" customFormat="1" ht="15" customHeight="1">
      <c r="A342" s="153"/>
      <c r="B342" s="18">
        <f t="shared" si="139"/>
        <v>124</v>
      </c>
      <c r="C342" s="178" t="s">
        <v>1272</v>
      </c>
      <c r="D342" s="203" t="s">
        <v>1589</v>
      </c>
      <c r="E342" s="203" t="s">
        <v>317</v>
      </c>
      <c r="F342" s="203" t="s">
        <v>1999</v>
      </c>
      <c r="G342" s="203">
        <v>2018</v>
      </c>
      <c r="H342" s="203" t="s">
        <v>1583</v>
      </c>
      <c r="I342" s="203"/>
      <c r="J342" s="247"/>
      <c r="K342" s="207">
        <v>103</v>
      </c>
      <c r="L342" s="207">
        <v>6.883</v>
      </c>
      <c r="M342" s="207">
        <v>610.11699999999996</v>
      </c>
      <c r="N342" s="129">
        <f t="shared" si="143"/>
        <v>0.93736064723387602</v>
      </c>
      <c r="O342" s="129">
        <f t="shared" si="141"/>
        <v>0.99044027777777777</v>
      </c>
      <c r="P342" s="129">
        <f t="shared" si="142"/>
        <v>0.14443632671777562</v>
      </c>
      <c r="Q342" s="205"/>
      <c r="R342" s="152" t="str">
        <f t="shared" si="140"/>
        <v>PTP</v>
      </c>
    </row>
    <row r="343" spans="1:18" s="152" customFormat="1" ht="15" customHeight="1">
      <c r="A343" s="153"/>
      <c r="B343" s="18">
        <f t="shared" si="139"/>
        <v>125</v>
      </c>
      <c r="C343" s="178" t="s">
        <v>1272</v>
      </c>
      <c r="D343" s="203" t="s">
        <v>1590</v>
      </c>
      <c r="E343" s="203" t="s">
        <v>1926</v>
      </c>
      <c r="F343" s="203" t="s">
        <v>2000</v>
      </c>
      <c r="G343" s="203">
        <v>2018</v>
      </c>
      <c r="H343" s="203" t="s">
        <v>1583</v>
      </c>
      <c r="I343" s="203"/>
      <c r="J343" s="247"/>
      <c r="K343" s="207">
        <v>34.900000000000006</v>
      </c>
      <c r="L343" s="207">
        <v>0</v>
      </c>
      <c r="M343" s="207">
        <v>685.1</v>
      </c>
      <c r="N343" s="129">
        <f t="shared" si="143"/>
        <v>1</v>
      </c>
      <c r="O343" s="129">
        <f t="shared" si="141"/>
        <v>1</v>
      </c>
      <c r="P343" s="129">
        <f t="shared" si="142"/>
        <v>4.8472222222222229E-2</v>
      </c>
      <c r="Q343" s="205"/>
      <c r="R343" s="152" t="str">
        <f t="shared" si="140"/>
        <v>PTP</v>
      </c>
    </row>
    <row r="344" spans="1:18" s="152" customFormat="1" ht="15" customHeight="1">
      <c r="A344" s="153"/>
      <c r="B344" s="18">
        <f t="shared" si="139"/>
        <v>126</v>
      </c>
      <c r="C344" s="178" t="s">
        <v>1272</v>
      </c>
      <c r="D344" s="203" t="s">
        <v>1591</v>
      </c>
      <c r="E344" s="203" t="s">
        <v>1926</v>
      </c>
      <c r="F344" s="203" t="s">
        <v>2001</v>
      </c>
      <c r="G344" s="203">
        <v>2018</v>
      </c>
      <c r="H344" s="203" t="s">
        <v>1587</v>
      </c>
      <c r="I344" s="203"/>
      <c r="J344" s="247"/>
      <c r="K344" s="207">
        <v>0</v>
      </c>
      <c r="L344" s="207">
        <v>0</v>
      </c>
      <c r="M344" s="207">
        <v>720</v>
      </c>
      <c r="N344" s="129">
        <v>0</v>
      </c>
      <c r="O344" s="129">
        <f t="shared" si="141"/>
        <v>1</v>
      </c>
      <c r="P344" s="129">
        <f t="shared" si="142"/>
        <v>0</v>
      </c>
      <c r="Q344" s="205"/>
      <c r="R344" s="152" t="str">
        <f t="shared" si="140"/>
        <v>PTP</v>
      </c>
    </row>
    <row r="345" spans="1:18" s="152" customFormat="1" ht="15" customHeight="1">
      <c r="A345" s="153"/>
      <c r="B345" s="18">
        <f t="shared" si="139"/>
        <v>127</v>
      </c>
      <c r="C345" s="178" t="s">
        <v>1272</v>
      </c>
      <c r="D345" s="203" t="s">
        <v>1592</v>
      </c>
      <c r="E345" s="203" t="s">
        <v>1926</v>
      </c>
      <c r="F345" s="203" t="s">
        <v>2002</v>
      </c>
      <c r="G345" s="203">
        <v>2018</v>
      </c>
      <c r="H345" s="203" t="s">
        <v>1587</v>
      </c>
      <c r="I345" s="203"/>
      <c r="J345" s="247"/>
      <c r="K345" s="207">
        <v>0</v>
      </c>
      <c r="L345" s="207">
        <v>0</v>
      </c>
      <c r="M345" s="207">
        <v>720</v>
      </c>
      <c r="N345" s="129">
        <v>0</v>
      </c>
      <c r="O345" s="129">
        <f t="shared" si="141"/>
        <v>1</v>
      </c>
      <c r="P345" s="129">
        <f t="shared" si="142"/>
        <v>0</v>
      </c>
      <c r="Q345" s="205"/>
      <c r="R345" s="152" t="str">
        <f t="shared" ref="R345:R408" si="144">IF(O345&gt;89.9999999999999%,"PTP")</f>
        <v>PTP</v>
      </c>
    </row>
    <row r="346" spans="1:18" s="152" customFormat="1" ht="15" customHeight="1">
      <c r="A346" s="153"/>
      <c r="B346" s="18">
        <f t="shared" si="139"/>
        <v>128</v>
      </c>
      <c r="C346" s="178" t="s">
        <v>1272</v>
      </c>
      <c r="D346" s="203" t="s">
        <v>1593</v>
      </c>
      <c r="E346" s="203" t="s">
        <v>1926</v>
      </c>
      <c r="F346" s="203" t="s">
        <v>2003</v>
      </c>
      <c r="G346" s="203">
        <v>2018</v>
      </c>
      <c r="H346" s="203" t="s">
        <v>1587</v>
      </c>
      <c r="I346" s="203"/>
      <c r="J346" s="247"/>
      <c r="K346" s="207">
        <v>0</v>
      </c>
      <c r="L346" s="207">
        <v>0</v>
      </c>
      <c r="M346" s="207">
        <v>720</v>
      </c>
      <c r="N346" s="129">
        <v>0</v>
      </c>
      <c r="O346" s="129">
        <f t="shared" si="141"/>
        <v>1</v>
      </c>
      <c r="P346" s="129">
        <f t="shared" si="142"/>
        <v>0</v>
      </c>
      <c r="Q346" s="205"/>
      <c r="R346" s="152" t="str">
        <f t="shared" si="144"/>
        <v>PTP</v>
      </c>
    </row>
    <row r="347" spans="1:18" s="152" customFormat="1" ht="15" customHeight="1">
      <c r="A347" s="153"/>
      <c r="B347" s="18">
        <f t="shared" si="139"/>
        <v>129</v>
      </c>
      <c r="C347" s="178" t="s">
        <v>1272</v>
      </c>
      <c r="D347" s="203" t="s">
        <v>1594</v>
      </c>
      <c r="E347" s="203">
        <v>0</v>
      </c>
      <c r="F347" s="203" t="s">
        <v>2004</v>
      </c>
      <c r="G347" s="203">
        <v>2018</v>
      </c>
      <c r="H347" s="203" t="s">
        <v>1587</v>
      </c>
      <c r="I347" s="203"/>
      <c r="J347" s="247"/>
      <c r="K347" s="207">
        <v>0</v>
      </c>
      <c r="L347" s="207">
        <v>0</v>
      </c>
      <c r="M347" s="207">
        <v>720</v>
      </c>
      <c r="N347" s="129">
        <v>0</v>
      </c>
      <c r="O347" s="129">
        <f t="shared" si="141"/>
        <v>1</v>
      </c>
      <c r="P347" s="129">
        <f t="shared" si="142"/>
        <v>0</v>
      </c>
      <c r="Q347" s="205"/>
      <c r="R347" s="152" t="str">
        <f t="shared" si="144"/>
        <v>PTP</v>
      </c>
    </row>
    <row r="348" spans="1:18" s="152" customFormat="1" ht="15" customHeight="1">
      <c r="A348" s="153"/>
      <c r="B348" s="18">
        <f t="shared" si="139"/>
        <v>130</v>
      </c>
      <c r="C348" s="178" t="s">
        <v>1272</v>
      </c>
      <c r="D348" s="203" t="s">
        <v>1595</v>
      </c>
      <c r="E348" s="203" t="s">
        <v>1596</v>
      </c>
      <c r="F348" s="203" t="s">
        <v>2005</v>
      </c>
      <c r="G348" s="203">
        <v>2019</v>
      </c>
      <c r="H348" s="203" t="s">
        <v>1583</v>
      </c>
      <c r="I348" s="203"/>
      <c r="J348" s="247"/>
      <c r="K348" s="207">
        <v>613.29999999999995</v>
      </c>
      <c r="L348" s="207">
        <v>1</v>
      </c>
      <c r="M348" s="207">
        <v>105.70000000000005</v>
      </c>
      <c r="N348" s="129">
        <f t="shared" ref="N348:N411" si="145">+K348/(K348+L348)</f>
        <v>0.99837213088067722</v>
      </c>
      <c r="O348" s="129">
        <f t="shared" ref="O348:O411" si="146">+(K348+M348)/(K348+L348+M348)</f>
        <v>0.99861111111111112</v>
      </c>
      <c r="P348" s="129">
        <f t="shared" ref="P348:P411" si="147">+K348/(K348+M348)</f>
        <v>0.85299026425591096</v>
      </c>
      <c r="Q348" s="205"/>
      <c r="R348" s="152" t="str">
        <f t="shared" si="144"/>
        <v>PTP</v>
      </c>
    </row>
    <row r="349" spans="1:18" s="152" customFormat="1" ht="15" customHeight="1">
      <c r="A349" s="153"/>
      <c r="B349" s="18">
        <f t="shared" si="139"/>
        <v>131</v>
      </c>
      <c r="C349" s="178" t="s">
        <v>1272</v>
      </c>
      <c r="D349" s="203" t="s">
        <v>1597</v>
      </c>
      <c r="E349" s="203" t="s">
        <v>1926</v>
      </c>
      <c r="F349" s="203" t="s">
        <v>2006</v>
      </c>
      <c r="G349" s="203">
        <v>2019</v>
      </c>
      <c r="H349" s="203" t="s">
        <v>1587</v>
      </c>
      <c r="I349" s="203"/>
      <c r="J349" s="247"/>
      <c r="K349" s="207">
        <v>0</v>
      </c>
      <c r="L349" s="207">
        <v>0</v>
      </c>
      <c r="M349" s="207">
        <v>720</v>
      </c>
      <c r="N349" s="129">
        <v>0</v>
      </c>
      <c r="O349" s="129">
        <f t="shared" si="146"/>
        <v>1</v>
      </c>
      <c r="P349" s="129">
        <f t="shared" si="147"/>
        <v>0</v>
      </c>
      <c r="Q349" s="205"/>
      <c r="R349" s="152" t="str">
        <f t="shared" si="144"/>
        <v>PTP</v>
      </c>
    </row>
    <row r="350" spans="1:18" s="152" customFormat="1" ht="15" customHeight="1">
      <c r="A350" s="153"/>
      <c r="B350" s="18">
        <f t="shared" si="139"/>
        <v>132</v>
      </c>
      <c r="C350" s="178" t="s">
        <v>1272</v>
      </c>
      <c r="D350" s="203" t="s">
        <v>1598</v>
      </c>
      <c r="E350" s="203" t="s">
        <v>1926</v>
      </c>
      <c r="F350" s="203" t="s">
        <v>2007</v>
      </c>
      <c r="G350" s="203">
        <v>2020</v>
      </c>
      <c r="H350" s="203" t="s">
        <v>1587</v>
      </c>
      <c r="I350" s="203"/>
      <c r="J350" s="247"/>
      <c r="K350" s="207">
        <v>0</v>
      </c>
      <c r="L350" s="207">
        <v>0</v>
      </c>
      <c r="M350" s="207">
        <v>720</v>
      </c>
      <c r="N350" s="129">
        <v>0</v>
      </c>
      <c r="O350" s="129">
        <f t="shared" si="146"/>
        <v>1</v>
      </c>
      <c r="P350" s="129">
        <f t="shared" si="147"/>
        <v>0</v>
      </c>
      <c r="Q350" s="205"/>
      <c r="R350" s="152" t="str">
        <f t="shared" si="144"/>
        <v>PTP</v>
      </c>
    </row>
    <row r="351" spans="1:18" s="152" customFormat="1" ht="15" customHeight="1">
      <c r="A351" s="153"/>
      <c r="B351" s="18">
        <f t="shared" si="139"/>
        <v>133</v>
      </c>
      <c r="C351" s="178" t="s">
        <v>1272</v>
      </c>
      <c r="D351" s="203" t="s">
        <v>1599</v>
      </c>
      <c r="E351" s="203" t="s">
        <v>1600</v>
      </c>
      <c r="F351" s="203" t="s">
        <v>2008</v>
      </c>
      <c r="G351" s="203">
        <v>2020</v>
      </c>
      <c r="H351" s="203" t="s">
        <v>1583</v>
      </c>
      <c r="I351" s="203"/>
      <c r="J351" s="247"/>
      <c r="K351" s="207">
        <v>224.00000000000003</v>
      </c>
      <c r="L351" s="207">
        <v>14.9</v>
      </c>
      <c r="M351" s="207">
        <v>481.1</v>
      </c>
      <c r="N351" s="129">
        <f t="shared" si="145"/>
        <v>0.93763080786940145</v>
      </c>
      <c r="O351" s="129">
        <f t="shared" si="146"/>
        <v>0.97930555555555554</v>
      </c>
      <c r="P351" s="129">
        <f t="shared" si="147"/>
        <v>0.3176854346901149</v>
      </c>
      <c r="Q351" s="205"/>
      <c r="R351" s="152" t="str">
        <f t="shared" si="144"/>
        <v>PTP</v>
      </c>
    </row>
    <row r="352" spans="1:18" s="152" customFormat="1" ht="15" customHeight="1">
      <c r="A352" s="153"/>
      <c r="B352" s="18">
        <f t="shared" si="139"/>
        <v>134</v>
      </c>
      <c r="C352" s="178" t="s">
        <v>1272</v>
      </c>
      <c r="D352" s="203" t="s">
        <v>1601</v>
      </c>
      <c r="E352" s="203" t="s">
        <v>1602</v>
      </c>
      <c r="F352" s="203" t="s">
        <v>2009</v>
      </c>
      <c r="G352" s="203">
        <v>2021</v>
      </c>
      <c r="H352" s="203" t="s">
        <v>1583</v>
      </c>
      <c r="I352" s="203"/>
      <c r="J352" s="247"/>
      <c r="K352" s="207">
        <v>0</v>
      </c>
      <c r="L352" s="207">
        <v>0</v>
      </c>
      <c r="M352" s="207">
        <v>720</v>
      </c>
      <c r="N352" s="129">
        <v>0</v>
      </c>
      <c r="O352" s="129">
        <f t="shared" si="146"/>
        <v>1</v>
      </c>
      <c r="P352" s="129">
        <f t="shared" si="147"/>
        <v>0</v>
      </c>
      <c r="Q352" s="205"/>
      <c r="R352" s="152" t="str">
        <f t="shared" si="144"/>
        <v>PTP</v>
      </c>
    </row>
    <row r="353" spans="1:18" s="152" customFormat="1" ht="15" customHeight="1">
      <c r="A353" s="153"/>
      <c r="B353" s="18">
        <f t="shared" si="139"/>
        <v>135</v>
      </c>
      <c r="C353" s="178" t="s">
        <v>1272</v>
      </c>
      <c r="D353" s="203" t="s">
        <v>1603</v>
      </c>
      <c r="E353" s="203" t="s">
        <v>1602</v>
      </c>
      <c r="F353" s="203" t="s">
        <v>2009</v>
      </c>
      <c r="G353" s="203">
        <v>2021</v>
      </c>
      <c r="H353" s="203" t="s">
        <v>1583</v>
      </c>
      <c r="I353" s="203"/>
      <c r="J353" s="247"/>
      <c r="K353" s="207">
        <v>248.5</v>
      </c>
      <c r="L353" s="207">
        <v>27.1</v>
      </c>
      <c r="M353" s="207">
        <v>444.4</v>
      </c>
      <c r="N353" s="129">
        <f t="shared" si="145"/>
        <v>0.90166908563134973</v>
      </c>
      <c r="O353" s="129">
        <f t="shared" si="146"/>
        <v>0.96236111111111111</v>
      </c>
      <c r="P353" s="129">
        <f t="shared" si="147"/>
        <v>0.35863761004473949</v>
      </c>
      <c r="Q353" s="205"/>
      <c r="R353" s="152" t="str">
        <f t="shared" si="144"/>
        <v>PTP</v>
      </c>
    </row>
    <row r="354" spans="1:18" s="152" customFormat="1" ht="15" customHeight="1">
      <c r="A354" s="153"/>
      <c r="B354" s="18">
        <f t="shared" si="139"/>
        <v>136</v>
      </c>
      <c r="C354" s="178" t="s">
        <v>1272</v>
      </c>
      <c r="D354" s="203" t="s">
        <v>1604</v>
      </c>
      <c r="E354" s="203" t="s">
        <v>1605</v>
      </c>
      <c r="F354" s="203" t="s">
        <v>2010</v>
      </c>
      <c r="G354" s="203">
        <v>2021</v>
      </c>
      <c r="H354" s="203" t="s">
        <v>1583</v>
      </c>
      <c r="I354" s="203"/>
      <c r="J354" s="247"/>
      <c r="K354" s="207">
        <v>0</v>
      </c>
      <c r="L354" s="207">
        <v>0</v>
      </c>
      <c r="M354" s="207">
        <v>720</v>
      </c>
      <c r="N354" s="129">
        <v>0</v>
      </c>
      <c r="O354" s="129">
        <f t="shared" si="146"/>
        <v>1</v>
      </c>
      <c r="P354" s="129">
        <f t="shared" si="147"/>
        <v>0</v>
      </c>
      <c r="Q354" s="205"/>
      <c r="R354" s="152" t="str">
        <f t="shared" si="144"/>
        <v>PTP</v>
      </c>
    </row>
    <row r="355" spans="1:18" s="152" customFormat="1" ht="15" customHeight="1">
      <c r="A355" s="153"/>
      <c r="B355" s="18">
        <f t="shared" si="139"/>
        <v>137</v>
      </c>
      <c r="C355" s="178" t="s">
        <v>1272</v>
      </c>
      <c r="D355" s="203" t="s">
        <v>1606</v>
      </c>
      <c r="E355" s="203" t="s">
        <v>1602</v>
      </c>
      <c r="F355" s="203" t="s">
        <v>2011</v>
      </c>
      <c r="G355" s="203">
        <v>2021</v>
      </c>
      <c r="H355" s="203" t="s">
        <v>1583</v>
      </c>
      <c r="I355" s="203"/>
      <c r="J355" s="247"/>
      <c r="K355" s="207">
        <v>43</v>
      </c>
      <c r="L355" s="207">
        <v>0</v>
      </c>
      <c r="M355" s="207">
        <v>677</v>
      </c>
      <c r="N355" s="129">
        <f t="shared" si="145"/>
        <v>1</v>
      </c>
      <c r="O355" s="129">
        <f t="shared" si="146"/>
        <v>1</v>
      </c>
      <c r="P355" s="129">
        <f t="shared" si="147"/>
        <v>5.9722222222222225E-2</v>
      </c>
      <c r="Q355" s="205"/>
      <c r="R355" s="152" t="str">
        <f t="shared" si="144"/>
        <v>PTP</v>
      </c>
    </row>
    <row r="356" spans="1:18" s="152" customFormat="1" ht="15" customHeight="1">
      <c r="A356" s="153"/>
      <c r="B356" s="18">
        <f t="shared" si="139"/>
        <v>138</v>
      </c>
      <c r="C356" s="178" t="s">
        <v>1272</v>
      </c>
      <c r="D356" s="203" t="s">
        <v>1607</v>
      </c>
      <c r="E356" s="203">
        <v>0</v>
      </c>
      <c r="F356" s="203" t="s">
        <v>2012</v>
      </c>
      <c r="G356" s="203">
        <v>1900</v>
      </c>
      <c r="H356" s="203" t="s">
        <v>1587</v>
      </c>
      <c r="I356" s="203"/>
      <c r="J356" s="247"/>
      <c r="K356" s="207">
        <v>0</v>
      </c>
      <c r="L356" s="207">
        <v>0</v>
      </c>
      <c r="M356" s="207">
        <v>720</v>
      </c>
      <c r="N356" s="129">
        <v>0</v>
      </c>
      <c r="O356" s="129">
        <f t="shared" si="146"/>
        <v>1</v>
      </c>
      <c r="P356" s="129">
        <f t="shared" si="147"/>
        <v>0</v>
      </c>
      <c r="Q356" s="205"/>
      <c r="R356" s="152" t="str">
        <f t="shared" si="144"/>
        <v>PTP</v>
      </c>
    </row>
    <row r="357" spans="1:18" s="152" customFormat="1" ht="15" customHeight="1">
      <c r="A357" s="153"/>
      <c r="B357" s="18">
        <f t="shared" si="139"/>
        <v>139</v>
      </c>
      <c r="C357" s="178" t="s">
        <v>1272</v>
      </c>
      <c r="D357" s="203" t="s">
        <v>1608</v>
      </c>
      <c r="E357" s="203" t="s">
        <v>1926</v>
      </c>
      <c r="F357" s="203" t="s">
        <v>2013</v>
      </c>
      <c r="G357" s="203">
        <v>1900</v>
      </c>
      <c r="H357" s="203" t="s">
        <v>1587</v>
      </c>
      <c r="I357" s="203"/>
      <c r="J357" s="247"/>
      <c r="K357" s="207">
        <v>0</v>
      </c>
      <c r="L357" s="207">
        <v>0</v>
      </c>
      <c r="M357" s="207">
        <v>720</v>
      </c>
      <c r="N357" s="129">
        <v>0</v>
      </c>
      <c r="O357" s="129">
        <f t="shared" si="146"/>
        <v>1</v>
      </c>
      <c r="P357" s="129">
        <f t="shared" si="147"/>
        <v>0</v>
      </c>
      <c r="Q357" s="205"/>
      <c r="R357" s="152" t="str">
        <f t="shared" si="144"/>
        <v>PTP</v>
      </c>
    </row>
    <row r="358" spans="1:18" s="152" customFormat="1" ht="15" customHeight="1">
      <c r="A358" s="153"/>
      <c r="B358" s="18">
        <f t="shared" si="139"/>
        <v>140</v>
      </c>
      <c r="C358" s="178" t="s">
        <v>1272</v>
      </c>
      <c r="D358" s="203" t="s">
        <v>1909</v>
      </c>
      <c r="E358" s="203" t="s">
        <v>1926</v>
      </c>
      <c r="F358" s="203" t="s">
        <v>2014</v>
      </c>
      <c r="G358" s="203">
        <v>1900</v>
      </c>
      <c r="H358" s="203" t="s">
        <v>1583</v>
      </c>
      <c r="I358" s="203"/>
      <c r="J358" s="247"/>
      <c r="K358" s="207">
        <v>1.4</v>
      </c>
      <c r="L358" s="207">
        <v>0</v>
      </c>
      <c r="M358" s="207">
        <v>718.6</v>
      </c>
      <c r="N358" s="129">
        <f t="shared" si="145"/>
        <v>1</v>
      </c>
      <c r="O358" s="129">
        <f t="shared" si="146"/>
        <v>1</v>
      </c>
      <c r="P358" s="129">
        <f t="shared" si="147"/>
        <v>1.9444444444444444E-3</v>
      </c>
      <c r="Q358" s="205"/>
      <c r="R358" s="152" t="str">
        <f t="shared" si="144"/>
        <v>PTP</v>
      </c>
    </row>
    <row r="359" spans="1:18" s="152" customFormat="1" ht="15" customHeight="1">
      <c r="A359" s="153"/>
      <c r="B359" s="18">
        <f t="shared" si="139"/>
        <v>141</v>
      </c>
      <c r="C359" s="178" t="s">
        <v>1272</v>
      </c>
      <c r="D359" s="203" t="s">
        <v>1609</v>
      </c>
      <c r="E359" s="203" t="s">
        <v>1610</v>
      </c>
      <c r="F359" s="203" t="s">
        <v>2015</v>
      </c>
      <c r="G359" s="203">
        <v>1900</v>
      </c>
      <c r="H359" s="203" t="s">
        <v>1587</v>
      </c>
      <c r="I359" s="203"/>
      <c r="J359" s="247"/>
      <c r="K359" s="207">
        <v>0</v>
      </c>
      <c r="L359" s="207">
        <v>0</v>
      </c>
      <c r="M359" s="207">
        <v>720</v>
      </c>
      <c r="N359" s="129">
        <v>0</v>
      </c>
      <c r="O359" s="129">
        <f t="shared" si="146"/>
        <v>1</v>
      </c>
      <c r="P359" s="129">
        <f t="shared" si="147"/>
        <v>0</v>
      </c>
      <c r="Q359" s="205"/>
      <c r="R359" s="152" t="str">
        <f t="shared" si="144"/>
        <v>PTP</v>
      </c>
    </row>
    <row r="360" spans="1:18" s="152" customFormat="1" ht="15" customHeight="1">
      <c r="A360" s="153"/>
      <c r="B360" s="18">
        <f t="shared" si="139"/>
        <v>142</v>
      </c>
      <c r="C360" s="178" t="s">
        <v>1272</v>
      </c>
      <c r="D360" s="203" t="s">
        <v>1910</v>
      </c>
      <c r="E360" s="203" t="s">
        <v>1584</v>
      </c>
      <c r="F360" s="203" t="s">
        <v>2016</v>
      </c>
      <c r="G360" s="203">
        <v>1900</v>
      </c>
      <c r="H360" s="203" t="s">
        <v>1583</v>
      </c>
      <c r="I360" s="203"/>
      <c r="J360" s="247"/>
      <c r="K360" s="207">
        <v>0</v>
      </c>
      <c r="L360" s="207">
        <v>0</v>
      </c>
      <c r="M360" s="207">
        <v>720</v>
      </c>
      <c r="N360" s="129">
        <v>0</v>
      </c>
      <c r="O360" s="129">
        <f t="shared" si="146"/>
        <v>1</v>
      </c>
      <c r="P360" s="129">
        <f t="shared" si="147"/>
        <v>0</v>
      </c>
      <c r="Q360" s="205"/>
      <c r="R360" s="152" t="str">
        <f t="shared" si="144"/>
        <v>PTP</v>
      </c>
    </row>
    <row r="361" spans="1:18" s="152" customFormat="1" ht="15" customHeight="1">
      <c r="A361" s="153"/>
      <c r="B361" s="18">
        <f t="shared" si="139"/>
        <v>143</v>
      </c>
      <c r="C361" s="178" t="s">
        <v>1272</v>
      </c>
      <c r="D361" s="203" t="s">
        <v>1611</v>
      </c>
      <c r="E361" s="203" t="s">
        <v>1584</v>
      </c>
      <c r="F361" s="203" t="s">
        <v>2017</v>
      </c>
      <c r="G361" s="203">
        <v>1900</v>
      </c>
      <c r="H361" s="203" t="s">
        <v>1587</v>
      </c>
      <c r="I361" s="203"/>
      <c r="J361" s="247"/>
      <c r="K361" s="207">
        <v>0</v>
      </c>
      <c r="L361" s="207">
        <v>0</v>
      </c>
      <c r="M361" s="207">
        <v>720</v>
      </c>
      <c r="N361" s="129">
        <v>0</v>
      </c>
      <c r="O361" s="129">
        <f t="shared" si="146"/>
        <v>1</v>
      </c>
      <c r="P361" s="129">
        <f t="shared" si="147"/>
        <v>0</v>
      </c>
      <c r="Q361" s="205"/>
      <c r="R361" s="152" t="str">
        <f t="shared" si="144"/>
        <v>PTP</v>
      </c>
    </row>
    <row r="362" spans="1:18" s="152" customFormat="1" ht="15" customHeight="1">
      <c r="A362" s="153"/>
      <c r="B362" s="18">
        <f t="shared" si="139"/>
        <v>144</v>
      </c>
      <c r="C362" s="178" t="s">
        <v>1272</v>
      </c>
      <c r="D362" s="203" t="s">
        <v>1612</v>
      </c>
      <c r="E362" s="203" t="s">
        <v>1584</v>
      </c>
      <c r="F362" s="203" t="s">
        <v>2018</v>
      </c>
      <c r="G362" s="203">
        <v>1900</v>
      </c>
      <c r="H362" s="203" t="s">
        <v>1583</v>
      </c>
      <c r="I362" s="203"/>
      <c r="J362" s="247"/>
      <c r="K362" s="207">
        <v>0</v>
      </c>
      <c r="L362" s="207">
        <v>0</v>
      </c>
      <c r="M362" s="207">
        <v>720</v>
      </c>
      <c r="N362" s="129">
        <v>0</v>
      </c>
      <c r="O362" s="129">
        <f t="shared" si="146"/>
        <v>1</v>
      </c>
      <c r="P362" s="129">
        <f t="shared" si="147"/>
        <v>0</v>
      </c>
      <c r="Q362" s="205"/>
      <c r="R362" s="152" t="str">
        <f t="shared" si="144"/>
        <v>PTP</v>
      </c>
    </row>
    <row r="363" spans="1:18" s="152" customFormat="1" ht="15" customHeight="1">
      <c r="A363" s="153"/>
      <c r="B363" s="18">
        <f t="shared" si="139"/>
        <v>145</v>
      </c>
      <c r="C363" s="178" t="s">
        <v>1272</v>
      </c>
      <c r="D363" s="203" t="s">
        <v>1613</v>
      </c>
      <c r="E363" s="203" t="s">
        <v>1584</v>
      </c>
      <c r="F363" s="203" t="s">
        <v>2019</v>
      </c>
      <c r="G363" s="203">
        <v>1900</v>
      </c>
      <c r="H363" s="203" t="s">
        <v>1587</v>
      </c>
      <c r="I363" s="203"/>
      <c r="J363" s="247"/>
      <c r="K363" s="207">
        <v>0</v>
      </c>
      <c r="L363" s="207">
        <v>0</v>
      </c>
      <c r="M363" s="207">
        <v>720</v>
      </c>
      <c r="N363" s="129">
        <v>0</v>
      </c>
      <c r="O363" s="129">
        <f t="shared" si="146"/>
        <v>1</v>
      </c>
      <c r="P363" s="129">
        <f t="shared" si="147"/>
        <v>0</v>
      </c>
      <c r="Q363" s="205"/>
      <c r="R363" s="152" t="str">
        <f t="shared" si="144"/>
        <v>PTP</v>
      </c>
    </row>
    <row r="364" spans="1:18" s="152" customFormat="1" ht="15" customHeight="1">
      <c r="A364" s="153"/>
      <c r="B364" s="18">
        <f t="shared" si="139"/>
        <v>146</v>
      </c>
      <c r="C364" s="178" t="s">
        <v>1272</v>
      </c>
      <c r="D364" s="203" t="s">
        <v>1615</v>
      </c>
      <c r="E364" s="203" t="s">
        <v>1584</v>
      </c>
      <c r="F364" s="203" t="s">
        <v>2020</v>
      </c>
      <c r="G364" s="203">
        <v>1900</v>
      </c>
      <c r="H364" s="203" t="s">
        <v>1587</v>
      </c>
      <c r="I364" s="203"/>
      <c r="J364" s="247"/>
      <c r="K364" s="207">
        <v>0</v>
      </c>
      <c r="L364" s="207">
        <v>0</v>
      </c>
      <c r="M364" s="207">
        <v>720</v>
      </c>
      <c r="N364" s="129">
        <v>0</v>
      </c>
      <c r="O364" s="129">
        <f t="shared" si="146"/>
        <v>1</v>
      </c>
      <c r="P364" s="129">
        <f t="shared" si="147"/>
        <v>0</v>
      </c>
      <c r="Q364" s="205"/>
      <c r="R364" s="152" t="str">
        <f t="shared" si="144"/>
        <v>PTP</v>
      </c>
    </row>
    <row r="365" spans="1:18" s="152" customFormat="1" ht="15" customHeight="1">
      <c r="A365" s="153"/>
      <c r="B365" s="18">
        <f t="shared" si="139"/>
        <v>147</v>
      </c>
      <c r="C365" s="178" t="s">
        <v>1272</v>
      </c>
      <c r="D365" s="203" t="s">
        <v>1616</v>
      </c>
      <c r="E365" s="203" t="s">
        <v>1584</v>
      </c>
      <c r="F365" s="203" t="s">
        <v>2016</v>
      </c>
      <c r="G365" s="203">
        <v>1900</v>
      </c>
      <c r="H365" s="203" t="s">
        <v>1583</v>
      </c>
      <c r="I365" s="203"/>
      <c r="J365" s="247"/>
      <c r="K365" s="207">
        <v>0</v>
      </c>
      <c r="L365" s="207">
        <v>0</v>
      </c>
      <c r="M365" s="207">
        <v>720</v>
      </c>
      <c r="N365" s="129">
        <v>0</v>
      </c>
      <c r="O365" s="129">
        <f t="shared" si="146"/>
        <v>1</v>
      </c>
      <c r="P365" s="129">
        <f t="shared" si="147"/>
        <v>0</v>
      </c>
      <c r="Q365" s="205"/>
      <c r="R365" s="152" t="str">
        <f t="shared" si="144"/>
        <v>PTP</v>
      </c>
    </row>
    <row r="366" spans="1:18" s="152" customFormat="1" ht="15" customHeight="1">
      <c r="A366" s="153"/>
      <c r="B366" s="18">
        <f t="shared" si="139"/>
        <v>148</v>
      </c>
      <c r="C366" s="178" t="s">
        <v>1272</v>
      </c>
      <c r="D366" s="203" t="s">
        <v>1617</v>
      </c>
      <c r="E366" s="203" t="s">
        <v>1584</v>
      </c>
      <c r="F366" s="203" t="s">
        <v>2021</v>
      </c>
      <c r="G366" s="203">
        <v>1900</v>
      </c>
      <c r="H366" s="203" t="s">
        <v>1587</v>
      </c>
      <c r="I366" s="203"/>
      <c r="J366" s="247"/>
      <c r="K366" s="207">
        <v>0</v>
      </c>
      <c r="L366" s="207">
        <v>0</v>
      </c>
      <c r="M366" s="207">
        <v>720</v>
      </c>
      <c r="N366" s="129">
        <v>0</v>
      </c>
      <c r="O366" s="129">
        <f t="shared" si="146"/>
        <v>1</v>
      </c>
      <c r="P366" s="129">
        <f t="shared" si="147"/>
        <v>0</v>
      </c>
      <c r="Q366" s="205"/>
      <c r="R366" s="152" t="str">
        <f t="shared" si="144"/>
        <v>PTP</v>
      </c>
    </row>
    <row r="367" spans="1:18" s="152" customFormat="1" ht="15" customHeight="1">
      <c r="A367" s="153"/>
      <c r="B367" s="18">
        <f t="shared" si="139"/>
        <v>149</v>
      </c>
      <c r="C367" s="178" t="s">
        <v>1272</v>
      </c>
      <c r="D367" s="203" t="s">
        <v>1618</v>
      </c>
      <c r="E367" s="203" t="s">
        <v>1619</v>
      </c>
      <c r="F367" s="203" t="s">
        <v>2022</v>
      </c>
      <c r="G367" s="203">
        <v>1900</v>
      </c>
      <c r="H367" s="203" t="s">
        <v>1583</v>
      </c>
      <c r="I367" s="203"/>
      <c r="J367" s="247"/>
      <c r="K367" s="207">
        <v>0</v>
      </c>
      <c r="L367" s="207">
        <v>0</v>
      </c>
      <c r="M367" s="207">
        <v>720</v>
      </c>
      <c r="N367" s="129">
        <v>0</v>
      </c>
      <c r="O367" s="129">
        <f t="shared" si="146"/>
        <v>1</v>
      </c>
      <c r="P367" s="129">
        <f t="shared" si="147"/>
        <v>0</v>
      </c>
      <c r="Q367" s="205"/>
      <c r="R367" s="152" t="str">
        <f t="shared" si="144"/>
        <v>PTP</v>
      </c>
    </row>
    <row r="368" spans="1:18" s="152" customFormat="1" ht="15" customHeight="1">
      <c r="A368" s="153"/>
      <c r="B368" s="18">
        <f t="shared" si="139"/>
        <v>150</v>
      </c>
      <c r="C368" s="178" t="s">
        <v>1272</v>
      </c>
      <c r="D368" s="203" t="s">
        <v>1620</v>
      </c>
      <c r="E368" s="203">
        <v>0</v>
      </c>
      <c r="F368" s="203" t="s">
        <v>2023</v>
      </c>
      <c r="G368" s="203">
        <v>1900</v>
      </c>
      <c r="H368" s="203" t="s">
        <v>1587</v>
      </c>
      <c r="I368" s="203"/>
      <c r="J368" s="247"/>
      <c r="K368" s="207">
        <v>0</v>
      </c>
      <c r="L368" s="207">
        <v>0</v>
      </c>
      <c r="M368" s="207">
        <v>720</v>
      </c>
      <c r="N368" s="129">
        <v>0</v>
      </c>
      <c r="O368" s="129">
        <f t="shared" si="146"/>
        <v>1</v>
      </c>
      <c r="P368" s="129">
        <f t="shared" si="147"/>
        <v>0</v>
      </c>
      <c r="Q368" s="205"/>
      <c r="R368" s="152" t="str">
        <f t="shared" si="144"/>
        <v>PTP</v>
      </c>
    </row>
    <row r="369" spans="1:18" s="152" customFormat="1" ht="15" customHeight="1">
      <c r="A369" s="153"/>
      <c r="B369" s="18">
        <f t="shared" si="139"/>
        <v>151</v>
      </c>
      <c r="C369" s="178" t="s">
        <v>1272</v>
      </c>
      <c r="D369" s="203" t="s">
        <v>1621</v>
      </c>
      <c r="E369" s="203" t="s">
        <v>1926</v>
      </c>
      <c r="F369" s="203" t="s">
        <v>2024</v>
      </c>
      <c r="G369" s="203">
        <v>1900</v>
      </c>
      <c r="H369" s="203" t="s">
        <v>1583</v>
      </c>
      <c r="I369" s="203"/>
      <c r="J369" s="247"/>
      <c r="K369" s="207">
        <v>5</v>
      </c>
      <c r="L369" s="207">
        <v>24</v>
      </c>
      <c r="M369" s="207">
        <v>691</v>
      </c>
      <c r="N369" s="129">
        <f t="shared" si="145"/>
        <v>0.17241379310344829</v>
      </c>
      <c r="O369" s="129">
        <f t="shared" si="146"/>
        <v>0.96666666666666667</v>
      </c>
      <c r="P369" s="129">
        <f t="shared" si="147"/>
        <v>7.1839080459770114E-3</v>
      </c>
      <c r="Q369" s="205"/>
      <c r="R369" s="152" t="str">
        <f t="shared" si="144"/>
        <v>PTP</v>
      </c>
    </row>
    <row r="370" spans="1:18" s="152" customFormat="1" ht="15" customHeight="1">
      <c r="A370" s="153"/>
      <c r="B370" s="18">
        <f t="shared" si="139"/>
        <v>152</v>
      </c>
      <c r="C370" s="178" t="s">
        <v>1272</v>
      </c>
      <c r="D370" s="203" t="s">
        <v>1623</v>
      </c>
      <c r="E370" s="203" t="s">
        <v>1622</v>
      </c>
      <c r="F370" s="203" t="s">
        <v>2024</v>
      </c>
      <c r="G370" s="203">
        <v>1900</v>
      </c>
      <c r="H370" s="203" t="s">
        <v>1583</v>
      </c>
      <c r="I370" s="203"/>
      <c r="J370" s="247"/>
      <c r="K370" s="207">
        <v>226.10000000000002</v>
      </c>
      <c r="L370" s="207">
        <v>201</v>
      </c>
      <c r="M370" s="207">
        <v>292.89999999999998</v>
      </c>
      <c r="N370" s="129">
        <f t="shared" si="145"/>
        <v>0.5293842191524234</v>
      </c>
      <c r="O370" s="129">
        <f t="shared" si="146"/>
        <v>0.72083333333333333</v>
      </c>
      <c r="P370" s="129">
        <f t="shared" si="147"/>
        <v>0.4356454720616571</v>
      </c>
      <c r="Q370" s="205"/>
      <c r="R370" s="152" t="b">
        <f t="shared" si="144"/>
        <v>0</v>
      </c>
    </row>
    <row r="371" spans="1:18" s="152" customFormat="1" ht="15" customHeight="1">
      <c r="A371" s="153"/>
      <c r="B371" s="18">
        <f t="shared" si="139"/>
        <v>153</v>
      </c>
      <c r="C371" s="178" t="s">
        <v>1272</v>
      </c>
      <c r="D371" s="203" t="s">
        <v>1624</v>
      </c>
      <c r="E371" s="203" t="s">
        <v>1622</v>
      </c>
      <c r="F371" s="203" t="s">
        <v>2024</v>
      </c>
      <c r="G371" s="203">
        <v>1900</v>
      </c>
      <c r="H371" s="203" t="s">
        <v>1583</v>
      </c>
      <c r="I371" s="203"/>
      <c r="J371" s="247"/>
      <c r="K371" s="207">
        <v>331.4</v>
      </c>
      <c r="L371" s="207">
        <v>15.183000000000002</v>
      </c>
      <c r="M371" s="207">
        <v>373.41700000000003</v>
      </c>
      <c r="N371" s="129">
        <f t="shared" si="145"/>
        <v>0.95619231179832831</v>
      </c>
      <c r="O371" s="129">
        <f t="shared" si="146"/>
        <v>0.97891249999999996</v>
      </c>
      <c r="P371" s="129">
        <f t="shared" si="147"/>
        <v>0.47019297207643967</v>
      </c>
      <c r="Q371" s="205"/>
      <c r="R371" s="152" t="str">
        <f t="shared" si="144"/>
        <v>PTP</v>
      </c>
    </row>
    <row r="372" spans="1:18" s="152" customFormat="1" ht="15" customHeight="1">
      <c r="A372" s="153"/>
      <c r="B372" s="18">
        <f t="shared" si="139"/>
        <v>154</v>
      </c>
      <c r="C372" s="178" t="s">
        <v>1272</v>
      </c>
      <c r="D372" s="203" t="s">
        <v>1625</v>
      </c>
      <c r="E372" s="203" t="s">
        <v>1626</v>
      </c>
      <c r="F372" s="203" t="s">
        <v>2025</v>
      </c>
      <c r="G372" s="203">
        <v>1900</v>
      </c>
      <c r="H372" s="203" t="s">
        <v>1583</v>
      </c>
      <c r="I372" s="203"/>
      <c r="J372" s="247"/>
      <c r="K372" s="207">
        <v>72</v>
      </c>
      <c r="L372" s="207">
        <v>50.7</v>
      </c>
      <c r="M372" s="207">
        <v>597.29999999999995</v>
      </c>
      <c r="N372" s="129">
        <f t="shared" si="145"/>
        <v>0.58679706601466997</v>
      </c>
      <c r="O372" s="129">
        <f t="shared" si="146"/>
        <v>0.92958333333333332</v>
      </c>
      <c r="P372" s="129">
        <f t="shared" si="147"/>
        <v>0.10757507844016137</v>
      </c>
      <c r="Q372" s="205"/>
      <c r="R372" s="152" t="str">
        <f t="shared" si="144"/>
        <v>PTP</v>
      </c>
    </row>
    <row r="373" spans="1:18" s="152" customFormat="1" ht="15" customHeight="1">
      <c r="A373" s="153"/>
      <c r="B373" s="18">
        <f t="shared" si="139"/>
        <v>155</v>
      </c>
      <c r="C373" s="178" t="s">
        <v>1272</v>
      </c>
      <c r="D373" s="203" t="s">
        <v>1911</v>
      </c>
      <c r="E373" s="203" t="s">
        <v>1626</v>
      </c>
      <c r="F373" s="203" t="s">
        <v>2025</v>
      </c>
      <c r="G373" s="203">
        <v>1900</v>
      </c>
      <c r="H373" s="203" t="s">
        <v>1583</v>
      </c>
      <c r="I373" s="203"/>
      <c r="J373" s="247"/>
      <c r="K373" s="207">
        <v>0</v>
      </c>
      <c r="L373" s="207">
        <v>0</v>
      </c>
      <c r="M373" s="207">
        <v>720</v>
      </c>
      <c r="N373" s="129">
        <v>0</v>
      </c>
      <c r="O373" s="129">
        <f t="shared" si="146"/>
        <v>1</v>
      </c>
      <c r="P373" s="129">
        <f t="shared" si="147"/>
        <v>0</v>
      </c>
      <c r="Q373" s="205"/>
      <c r="R373" s="152" t="str">
        <f t="shared" si="144"/>
        <v>PTP</v>
      </c>
    </row>
    <row r="374" spans="1:18" s="152" customFormat="1" ht="15" customHeight="1">
      <c r="A374" s="153"/>
      <c r="B374" s="18">
        <f t="shared" si="139"/>
        <v>156</v>
      </c>
      <c r="C374" s="178" t="s">
        <v>1272</v>
      </c>
      <c r="D374" s="203" t="s">
        <v>1627</v>
      </c>
      <c r="E374" s="203" t="s">
        <v>1626</v>
      </c>
      <c r="F374" s="203" t="s">
        <v>2025</v>
      </c>
      <c r="G374" s="203">
        <v>1900</v>
      </c>
      <c r="H374" s="203" t="s">
        <v>1583</v>
      </c>
      <c r="I374" s="203"/>
      <c r="J374" s="247"/>
      <c r="K374" s="207">
        <v>0</v>
      </c>
      <c r="L374" s="207">
        <v>0</v>
      </c>
      <c r="M374" s="207">
        <v>720</v>
      </c>
      <c r="N374" s="129">
        <v>0</v>
      </c>
      <c r="O374" s="129">
        <f t="shared" si="146"/>
        <v>1</v>
      </c>
      <c r="P374" s="129">
        <f t="shared" si="147"/>
        <v>0</v>
      </c>
      <c r="Q374" s="205"/>
      <c r="R374" s="152" t="str">
        <f t="shared" si="144"/>
        <v>PTP</v>
      </c>
    </row>
    <row r="375" spans="1:18" s="152" customFormat="1" ht="15" customHeight="1">
      <c r="A375" s="153"/>
      <c r="B375" s="18">
        <f t="shared" si="139"/>
        <v>157</v>
      </c>
      <c r="C375" s="178" t="s">
        <v>1272</v>
      </c>
      <c r="D375" s="203" t="s">
        <v>1628</v>
      </c>
      <c r="E375" s="203" t="s">
        <v>1626</v>
      </c>
      <c r="F375" s="203" t="s">
        <v>2025</v>
      </c>
      <c r="G375" s="203">
        <v>1900</v>
      </c>
      <c r="H375" s="203" t="s">
        <v>1583</v>
      </c>
      <c r="I375" s="203"/>
      <c r="J375" s="247"/>
      <c r="K375" s="207">
        <v>0</v>
      </c>
      <c r="L375" s="207">
        <v>0</v>
      </c>
      <c r="M375" s="207">
        <v>720</v>
      </c>
      <c r="N375" s="129">
        <v>0</v>
      </c>
      <c r="O375" s="129">
        <f t="shared" si="146"/>
        <v>1</v>
      </c>
      <c r="P375" s="129">
        <f t="shared" si="147"/>
        <v>0</v>
      </c>
      <c r="Q375" s="205"/>
      <c r="R375" s="152" t="str">
        <f t="shared" si="144"/>
        <v>PTP</v>
      </c>
    </row>
    <row r="376" spans="1:18" s="152" customFormat="1" ht="15" customHeight="1">
      <c r="A376" s="153"/>
      <c r="B376" s="18">
        <f t="shared" si="139"/>
        <v>158</v>
      </c>
      <c r="C376" s="178" t="s">
        <v>1272</v>
      </c>
      <c r="D376" s="203" t="s">
        <v>1629</v>
      </c>
      <c r="E376" s="203" t="s">
        <v>1626</v>
      </c>
      <c r="F376" s="203" t="s">
        <v>2025</v>
      </c>
      <c r="G376" s="203">
        <v>1900</v>
      </c>
      <c r="H376" s="203" t="s">
        <v>1583</v>
      </c>
      <c r="I376" s="203"/>
      <c r="J376" s="247"/>
      <c r="K376" s="207">
        <v>0</v>
      </c>
      <c r="L376" s="207">
        <v>0</v>
      </c>
      <c r="M376" s="207">
        <v>720</v>
      </c>
      <c r="N376" s="129">
        <v>0</v>
      </c>
      <c r="O376" s="129">
        <f t="shared" si="146"/>
        <v>1</v>
      </c>
      <c r="P376" s="129">
        <f t="shared" si="147"/>
        <v>0</v>
      </c>
      <c r="Q376" s="205"/>
      <c r="R376" s="152" t="str">
        <f t="shared" si="144"/>
        <v>PTP</v>
      </c>
    </row>
    <row r="377" spans="1:18" s="152" customFormat="1" ht="15" customHeight="1">
      <c r="A377" s="153"/>
      <c r="B377" s="18">
        <f t="shared" si="139"/>
        <v>159</v>
      </c>
      <c r="C377" s="178" t="s">
        <v>1272</v>
      </c>
      <c r="D377" s="203" t="s">
        <v>1912</v>
      </c>
      <c r="E377" s="203" t="s">
        <v>1626</v>
      </c>
      <c r="F377" s="203" t="s">
        <v>2025</v>
      </c>
      <c r="G377" s="203">
        <v>1900</v>
      </c>
      <c r="H377" s="203" t="s">
        <v>1583</v>
      </c>
      <c r="I377" s="203"/>
      <c r="J377" s="247"/>
      <c r="K377" s="207">
        <v>0</v>
      </c>
      <c r="L377" s="207">
        <v>0</v>
      </c>
      <c r="M377" s="207">
        <v>720</v>
      </c>
      <c r="N377" s="129">
        <v>0</v>
      </c>
      <c r="O377" s="129">
        <f t="shared" si="146"/>
        <v>1</v>
      </c>
      <c r="P377" s="129">
        <f t="shared" si="147"/>
        <v>0</v>
      </c>
      <c r="Q377" s="205"/>
      <c r="R377" s="152" t="str">
        <f t="shared" si="144"/>
        <v>PTP</v>
      </c>
    </row>
    <row r="378" spans="1:18" s="152" customFormat="1" ht="15" customHeight="1">
      <c r="A378" s="153"/>
      <c r="B378" s="18">
        <f t="shared" si="139"/>
        <v>160</v>
      </c>
      <c r="C378" s="178" t="s">
        <v>1272</v>
      </c>
      <c r="D378" s="203" t="s">
        <v>1630</v>
      </c>
      <c r="E378" s="203" t="s">
        <v>1626</v>
      </c>
      <c r="F378" s="203" t="s">
        <v>2025</v>
      </c>
      <c r="G378" s="203">
        <v>1900</v>
      </c>
      <c r="H378" s="203" t="s">
        <v>1583</v>
      </c>
      <c r="I378" s="203"/>
      <c r="J378" s="247"/>
      <c r="K378" s="207">
        <v>0</v>
      </c>
      <c r="L378" s="207">
        <v>0</v>
      </c>
      <c r="M378" s="207">
        <v>720</v>
      </c>
      <c r="N378" s="129">
        <v>0</v>
      </c>
      <c r="O378" s="129">
        <f t="shared" si="146"/>
        <v>1</v>
      </c>
      <c r="P378" s="129">
        <f t="shared" si="147"/>
        <v>0</v>
      </c>
      <c r="Q378" s="205"/>
      <c r="R378" s="152" t="str">
        <f t="shared" si="144"/>
        <v>PTP</v>
      </c>
    </row>
    <row r="379" spans="1:18" s="152" customFormat="1" ht="15" customHeight="1">
      <c r="A379" s="153"/>
      <c r="B379" s="18">
        <f t="shared" si="139"/>
        <v>161</v>
      </c>
      <c r="C379" s="178" t="s">
        <v>1272</v>
      </c>
      <c r="D379" s="203" t="s">
        <v>1631</v>
      </c>
      <c r="E379" s="203" t="s">
        <v>1626</v>
      </c>
      <c r="F379" s="203" t="s">
        <v>2025</v>
      </c>
      <c r="G379" s="203">
        <v>1900</v>
      </c>
      <c r="H379" s="203" t="s">
        <v>1583</v>
      </c>
      <c r="I379" s="203"/>
      <c r="J379" s="247"/>
      <c r="K379" s="207">
        <v>0</v>
      </c>
      <c r="L379" s="207">
        <v>0</v>
      </c>
      <c r="M379" s="207">
        <v>720</v>
      </c>
      <c r="N379" s="129">
        <v>0</v>
      </c>
      <c r="O379" s="129">
        <f t="shared" si="146"/>
        <v>1</v>
      </c>
      <c r="P379" s="129">
        <f t="shared" si="147"/>
        <v>0</v>
      </c>
      <c r="Q379" s="205"/>
      <c r="R379" s="152" t="str">
        <f t="shared" si="144"/>
        <v>PTP</v>
      </c>
    </row>
    <row r="380" spans="1:18" s="152" customFormat="1" ht="15" customHeight="1">
      <c r="A380" s="153"/>
      <c r="B380" s="18">
        <f t="shared" si="139"/>
        <v>162</v>
      </c>
      <c r="C380" s="178" t="s">
        <v>1272</v>
      </c>
      <c r="D380" s="203" t="s">
        <v>1632</v>
      </c>
      <c r="E380" s="203" t="s">
        <v>1626</v>
      </c>
      <c r="F380" s="203" t="s">
        <v>2025</v>
      </c>
      <c r="G380" s="203">
        <v>1900</v>
      </c>
      <c r="H380" s="203" t="s">
        <v>1583</v>
      </c>
      <c r="I380" s="203"/>
      <c r="J380" s="247"/>
      <c r="K380" s="207">
        <v>0</v>
      </c>
      <c r="L380" s="207">
        <v>0</v>
      </c>
      <c r="M380" s="207">
        <v>720</v>
      </c>
      <c r="N380" s="129">
        <v>0</v>
      </c>
      <c r="O380" s="129">
        <f t="shared" si="146"/>
        <v>1</v>
      </c>
      <c r="P380" s="129">
        <f t="shared" si="147"/>
        <v>0</v>
      </c>
      <c r="Q380" s="205"/>
      <c r="R380" s="152" t="str">
        <f t="shared" si="144"/>
        <v>PTP</v>
      </c>
    </row>
    <row r="381" spans="1:18" s="152" customFormat="1" ht="15" customHeight="1">
      <c r="A381" s="153"/>
      <c r="B381" s="18">
        <f t="shared" si="139"/>
        <v>163</v>
      </c>
      <c r="C381" s="178" t="s">
        <v>1272</v>
      </c>
      <c r="D381" s="203" t="s">
        <v>1633</v>
      </c>
      <c r="E381" s="203" t="s">
        <v>1605</v>
      </c>
      <c r="F381" s="203" t="s">
        <v>2010</v>
      </c>
      <c r="G381" s="203">
        <v>2021</v>
      </c>
      <c r="H381" s="203" t="s">
        <v>1583</v>
      </c>
      <c r="I381" s="203"/>
      <c r="J381" s="247"/>
      <c r="K381" s="207">
        <v>0</v>
      </c>
      <c r="L381" s="207">
        <v>0</v>
      </c>
      <c r="M381" s="207">
        <v>720</v>
      </c>
      <c r="N381" s="129">
        <v>0</v>
      </c>
      <c r="O381" s="129">
        <f t="shared" si="146"/>
        <v>1</v>
      </c>
      <c r="P381" s="129">
        <f t="shared" si="147"/>
        <v>0</v>
      </c>
      <c r="Q381" s="205"/>
      <c r="R381" s="152" t="str">
        <f t="shared" si="144"/>
        <v>PTP</v>
      </c>
    </row>
    <row r="382" spans="1:18" s="152" customFormat="1" ht="15" customHeight="1">
      <c r="A382" s="153"/>
      <c r="B382" s="18">
        <f t="shared" si="139"/>
        <v>164</v>
      </c>
      <c r="C382" s="178" t="s">
        <v>1272</v>
      </c>
      <c r="D382" s="203" t="s">
        <v>1634</v>
      </c>
      <c r="E382" s="203">
        <v>0</v>
      </c>
      <c r="F382" s="203" t="s">
        <v>2026</v>
      </c>
      <c r="G382" s="203">
        <v>1900</v>
      </c>
      <c r="H382" s="203" t="s">
        <v>1587</v>
      </c>
      <c r="I382" s="203"/>
      <c r="J382" s="247"/>
      <c r="K382" s="207">
        <v>0</v>
      </c>
      <c r="L382" s="207">
        <v>0</v>
      </c>
      <c r="M382" s="207">
        <v>720</v>
      </c>
      <c r="N382" s="129">
        <v>0</v>
      </c>
      <c r="O382" s="129">
        <f t="shared" si="146"/>
        <v>1</v>
      </c>
      <c r="P382" s="129">
        <f t="shared" si="147"/>
        <v>0</v>
      </c>
      <c r="Q382" s="205"/>
      <c r="R382" s="152" t="str">
        <f t="shared" si="144"/>
        <v>PTP</v>
      </c>
    </row>
    <row r="383" spans="1:18" s="152" customFormat="1" ht="15" customHeight="1">
      <c r="A383" s="153"/>
      <c r="B383" s="18">
        <f t="shared" si="139"/>
        <v>165</v>
      </c>
      <c r="C383" s="178" t="s">
        <v>1272</v>
      </c>
      <c r="D383" s="203" t="s">
        <v>1635</v>
      </c>
      <c r="E383" s="203" t="s">
        <v>1926</v>
      </c>
      <c r="F383" s="203" t="s">
        <v>2011</v>
      </c>
      <c r="G383" s="203">
        <v>2021</v>
      </c>
      <c r="H383" s="203" t="s">
        <v>1583</v>
      </c>
      <c r="I383" s="203"/>
      <c r="J383" s="247"/>
      <c r="K383" s="207">
        <v>301.00000000000006</v>
      </c>
      <c r="L383" s="207">
        <v>2</v>
      </c>
      <c r="M383" s="207">
        <v>416.99999999999994</v>
      </c>
      <c r="N383" s="129">
        <f t="shared" si="145"/>
        <v>0.99339933993399343</v>
      </c>
      <c r="O383" s="129">
        <f t="shared" si="146"/>
        <v>0.99722222222222223</v>
      </c>
      <c r="P383" s="129">
        <f t="shared" si="147"/>
        <v>0.41922005571030646</v>
      </c>
      <c r="Q383" s="205"/>
      <c r="R383" s="152" t="str">
        <f t="shared" si="144"/>
        <v>PTP</v>
      </c>
    </row>
    <row r="384" spans="1:18" s="152" customFormat="1" ht="15" customHeight="1">
      <c r="A384" s="153"/>
      <c r="B384" s="18">
        <f t="shared" si="139"/>
        <v>166</v>
      </c>
      <c r="C384" s="178" t="s">
        <v>1272</v>
      </c>
      <c r="D384" s="203" t="s">
        <v>1636</v>
      </c>
      <c r="E384" s="203" t="s">
        <v>1602</v>
      </c>
      <c r="F384" s="203" t="s">
        <v>2011</v>
      </c>
      <c r="G384" s="203">
        <v>2021</v>
      </c>
      <c r="H384" s="203" t="s">
        <v>1583</v>
      </c>
      <c r="I384" s="203"/>
      <c r="J384" s="247"/>
      <c r="K384" s="207">
        <v>297.19999999999993</v>
      </c>
      <c r="L384" s="207">
        <v>28.5</v>
      </c>
      <c r="M384" s="207">
        <v>394.30000000000007</v>
      </c>
      <c r="N384" s="129">
        <f t="shared" si="145"/>
        <v>0.91249616211237328</v>
      </c>
      <c r="O384" s="129">
        <f t="shared" si="146"/>
        <v>0.9604166666666667</v>
      </c>
      <c r="P384" s="129">
        <f t="shared" si="147"/>
        <v>0.42979031091829345</v>
      </c>
      <c r="Q384" s="205"/>
      <c r="R384" s="152" t="str">
        <f t="shared" si="144"/>
        <v>PTP</v>
      </c>
    </row>
    <row r="385" spans="1:18" s="152" customFormat="1" ht="15" customHeight="1">
      <c r="A385" s="153"/>
      <c r="B385" s="18">
        <f t="shared" si="139"/>
        <v>167</v>
      </c>
      <c r="C385" s="178" t="s">
        <v>1272</v>
      </c>
      <c r="D385" s="203" t="s">
        <v>1637</v>
      </c>
      <c r="E385" s="203" t="s">
        <v>1602</v>
      </c>
      <c r="F385" s="203" t="s">
        <v>2011</v>
      </c>
      <c r="G385" s="203">
        <v>2021</v>
      </c>
      <c r="H385" s="203" t="s">
        <v>1583</v>
      </c>
      <c r="I385" s="203"/>
      <c r="J385" s="247"/>
      <c r="K385" s="207">
        <v>290.39999999999998</v>
      </c>
      <c r="L385" s="207">
        <v>28</v>
      </c>
      <c r="M385" s="207">
        <v>401.6</v>
      </c>
      <c r="N385" s="129">
        <f t="shared" si="145"/>
        <v>0.9120603015075377</v>
      </c>
      <c r="O385" s="129">
        <f t="shared" si="146"/>
        <v>0.96111111111111114</v>
      </c>
      <c r="P385" s="129">
        <f t="shared" si="147"/>
        <v>0.4196531791907514</v>
      </c>
      <c r="Q385" s="205"/>
      <c r="R385" s="152" t="str">
        <f t="shared" si="144"/>
        <v>PTP</v>
      </c>
    </row>
    <row r="386" spans="1:18" s="152" customFormat="1" ht="15" customHeight="1">
      <c r="A386" s="153"/>
      <c r="B386" s="18">
        <f t="shared" si="139"/>
        <v>168</v>
      </c>
      <c r="C386" s="178" t="s">
        <v>1272</v>
      </c>
      <c r="D386" s="203" t="s">
        <v>1638</v>
      </c>
      <c r="E386" s="203" t="s">
        <v>1602</v>
      </c>
      <c r="F386" s="203" t="s">
        <v>2011</v>
      </c>
      <c r="G386" s="203">
        <v>1900</v>
      </c>
      <c r="H386" s="203" t="s">
        <v>1583</v>
      </c>
      <c r="I386" s="203"/>
      <c r="J386" s="247"/>
      <c r="K386" s="207">
        <v>0</v>
      </c>
      <c r="L386" s="207">
        <v>0</v>
      </c>
      <c r="M386" s="207">
        <v>720</v>
      </c>
      <c r="N386" s="129">
        <v>0</v>
      </c>
      <c r="O386" s="129">
        <f t="shared" si="146"/>
        <v>1</v>
      </c>
      <c r="P386" s="129">
        <f t="shared" si="147"/>
        <v>0</v>
      </c>
      <c r="Q386" s="205"/>
      <c r="R386" s="152" t="str">
        <f t="shared" si="144"/>
        <v>PTP</v>
      </c>
    </row>
    <row r="387" spans="1:18" s="152" customFormat="1" ht="15" customHeight="1">
      <c r="A387" s="153"/>
      <c r="B387" s="18">
        <f t="shared" si="139"/>
        <v>169</v>
      </c>
      <c r="C387" s="178" t="s">
        <v>1272</v>
      </c>
      <c r="D387" s="203" t="s">
        <v>1639</v>
      </c>
      <c r="E387" s="203" t="s">
        <v>1602</v>
      </c>
      <c r="F387" s="203" t="s">
        <v>2011</v>
      </c>
      <c r="G387" s="203">
        <v>1900</v>
      </c>
      <c r="H387" s="203" t="s">
        <v>1583</v>
      </c>
      <c r="I387" s="203"/>
      <c r="J387" s="247"/>
      <c r="K387" s="207">
        <v>0</v>
      </c>
      <c r="L387" s="207">
        <v>720</v>
      </c>
      <c r="M387" s="207">
        <v>0</v>
      </c>
      <c r="N387" s="129">
        <f t="shared" si="145"/>
        <v>0</v>
      </c>
      <c r="O387" s="129">
        <f t="shared" si="146"/>
        <v>0</v>
      </c>
      <c r="P387" s="129">
        <v>0</v>
      </c>
      <c r="Q387" s="205"/>
      <c r="R387" s="152" t="b">
        <f t="shared" si="144"/>
        <v>0</v>
      </c>
    </row>
    <row r="388" spans="1:18" s="152" customFormat="1" ht="15" customHeight="1">
      <c r="A388" s="153"/>
      <c r="B388" s="18">
        <f t="shared" si="139"/>
        <v>170</v>
      </c>
      <c r="C388" s="178" t="s">
        <v>1272</v>
      </c>
      <c r="D388" s="203" t="s">
        <v>1640</v>
      </c>
      <c r="E388" s="203" t="s">
        <v>1584</v>
      </c>
      <c r="F388" s="203" t="s">
        <v>2016</v>
      </c>
      <c r="G388" s="203">
        <v>1900</v>
      </c>
      <c r="H388" s="203" t="s">
        <v>1583</v>
      </c>
      <c r="I388" s="203"/>
      <c r="J388" s="247"/>
      <c r="K388" s="207">
        <v>265.7</v>
      </c>
      <c r="L388" s="207">
        <v>255.53400000000002</v>
      </c>
      <c r="M388" s="207">
        <v>198.76599999999999</v>
      </c>
      <c r="N388" s="129">
        <f t="shared" si="145"/>
        <v>0.50975185809060797</v>
      </c>
      <c r="O388" s="129">
        <f t="shared" si="146"/>
        <v>0.64509166666666673</v>
      </c>
      <c r="P388" s="129">
        <f t="shared" si="147"/>
        <v>0.57205478980162161</v>
      </c>
      <c r="Q388" s="205"/>
      <c r="R388" s="152" t="b">
        <f t="shared" si="144"/>
        <v>0</v>
      </c>
    </row>
    <row r="389" spans="1:18" s="152" customFormat="1" ht="15" customHeight="1">
      <c r="A389" s="153"/>
      <c r="B389" s="18">
        <f t="shared" si="139"/>
        <v>171</v>
      </c>
      <c r="C389" s="178" t="s">
        <v>1272</v>
      </c>
      <c r="D389" s="203" t="s">
        <v>1641</v>
      </c>
      <c r="E389" s="203" t="s">
        <v>1602</v>
      </c>
      <c r="F389" s="203" t="s">
        <v>2011</v>
      </c>
      <c r="G389" s="203">
        <v>2021</v>
      </c>
      <c r="H389" s="203" t="s">
        <v>1583</v>
      </c>
      <c r="I389" s="203"/>
      <c r="J389" s="247"/>
      <c r="K389" s="207">
        <v>0</v>
      </c>
      <c r="L389" s="207">
        <v>720</v>
      </c>
      <c r="M389" s="207">
        <v>0</v>
      </c>
      <c r="N389" s="129">
        <f t="shared" si="145"/>
        <v>0</v>
      </c>
      <c r="O389" s="129">
        <f t="shared" si="146"/>
        <v>0</v>
      </c>
      <c r="P389" s="129">
        <v>0</v>
      </c>
      <c r="Q389" s="205"/>
      <c r="R389" s="152" t="b">
        <f t="shared" si="144"/>
        <v>0</v>
      </c>
    </row>
    <row r="390" spans="1:18" s="152" customFormat="1" ht="15" customHeight="1">
      <c r="A390" s="153"/>
      <c r="B390" s="18">
        <f t="shared" si="139"/>
        <v>172</v>
      </c>
      <c r="C390" s="178" t="s">
        <v>1272</v>
      </c>
      <c r="D390" s="203" t="s">
        <v>1642</v>
      </c>
      <c r="E390" s="203" t="s">
        <v>1622</v>
      </c>
      <c r="F390" s="203" t="s">
        <v>2027</v>
      </c>
      <c r="G390" s="203">
        <v>1900</v>
      </c>
      <c r="H390" s="203" t="s">
        <v>1583</v>
      </c>
      <c r="I390" s="203"/>
      <c r="J390" s="247"/>
      <c r="K390" s="207">
        <v>152.4</v>
      </c>
      <c r="L390" s="207">
        <v>28.667000000000002</v>
      </c>
      <c r="M390" s="207">
        <v>538.93299999999999</v>
      </c>
      <c r="N390" s="129">
        <f t="shared" si="145"/>
        <v>0.84167739013735243</v>
      </c>
      <c r="O390" s="129">
        <f t="shared" si="146"/>
        <v>0.96018472222222218</v>
      </c>
      <c r="P390" s="129">
        <f t="shared" si="147"/>
        <v>0.22044369356012228</v>
      </c>
      <c r="Q390" s="205"/>
      <c r="R390" s="152" t="str">
        <f t="shared" si="144"/>
        <v>PTP</v>
      </c>
    </row>
    <row r="391" spans="1:18" s="152" customFormat="1" ht="15" customHeight="1">
      <c r="A391" s="153"/>
      <c r="B391" s="18">
        <f t="shared" si="139"/>
        <v>173</v>
      </c>
      <c r="C391" s="178" t="s">
        <v>1272</v>
      </c>
      <c r="D391" s="203" t="s">
        <v>1643</v>
      </c>
      <c r="E391" s="203" t="s">
        <v>1622</v>
      </c>
      <c r="F391" s="203" t="s">
        <v>2027</v>
      </c>
      <c r="G391" s="203">
        <v>1900</v>
      </c>
      <c r="H391" s="203" t="s">
        <v>1583</v>
      </c>
      <c r="I391" s="203"/>
      <c r="J391" s="247"/>
      <c r="K391" s="207">
        <v>0</v>
      </c>
      <c r="L391" s="207">
        <v>720</v>
      </c>
      <c r="M391" s="207">
        <v>0</v>
      </c>
      <c r="N391" s="129">
        <f t="shared" si="145"/>
        <v>0</v>
      </c>
      <c r="O391" s="129">
        <f t="shared" si="146"/>
        <v>0</v>
      </c>
      <c r="P391" s="129">
        <v>0</v>
      </c>
      <c r="Q391" s="205"/>
      <c r="R391" s="152" t="b">
        <f t="shared" si="144"/>
        <v>0</v>
      </c>
    </row>
    <row r="392" spans="1:18" s="152" customFormat="1" ht="15" customHeight="1">
      <c r="A392" s="153"/>
      <c r="B392" s="18">
        <f t="shared" si="139"/>
        <v>174</v>
      </c>
      <c r="C392" s="178" t="s">
        <v>1272</v>
      </c>
      <c r="D392" s="203" t="s">
        <v>1644</v>
      </c>
      <c r="E392" s="203" t="s">
        <v>1605</v>
      </c>
      <c r="F392" s="203" t="s">
        <v>2028</v>
      </c>
      <c r="G392" s="203">
        <v>1900</v>
      </c>
      <c r="H392" s="203" t="s">
        <v>2208</v>
      </c>
      <c r="I392" s="203"/>
      <c r="J392" s="247"/>
      <c r="K392" s="207">
        <v>277</v>
      </c>
      <c r="L392" s="207">
        <v>3</v>
      </c>
      <c r="M392" s="207">
        <v>440</v>
      </c>
      <c r="N392" s="129">
        <f t="shared" si="145"/>
        <v>0.98928571428571432</v>
      </c>
      <c r="O392" s="129">
        <f t="shared" si="146"/>
        <v>0.99583333333333335</v>
      </c>
      <c r="P392" s="129">
        <f t="shared" si="147"/>
        <v>0.38633193863319387</v>
      </c>
      <c r="Q392" s="205"/>
      <c r="R392" s="152" t="str">
        <f t="shared" si="144"/>
        <v>PTP</v>
      </c>
    </row>
    <row r="393" spans="1:18" s="152" customFormat="1" ht="15" customHeight="1">
      <c r="A393" s="153"/>
      <c r="B393" s="18">
        <f t="shared" si="139"/>
        <v>175</v>
      </c>
      <c r="C393" s="178" t="s">
        <v>1272</v>
      </c>
      <c r="D393" s="203" t="s">
        <v>1645</v>
      </c>
      <c r="E393" s="203">
        <v>0</v>
      </c>
      <c r="F393" s="203" t="s">
        <v>2029</v>
      </c>
      <c r="G393" s="203">
        <v>1900</v>
      </c>
      <c r="H393" s="203" t="s">
        <v>1587</v>
      </c>
      <c r="I393" s="203"/>
      <c r="J393" s="247"/>
      <c r="K393" s="207">
        <v>0</v>
      </c>
      <c r="L393" s="207">
        <v>0</v>
      </c>
      <c r="M393" s="207">
        <v>720</v>
      </c>
      <c r="N393" s="129">
        <v>0</v>
      </c>
      <c r="O393" s="129">
        <f t="shared" si="146"/>
        <v>1</v>
      </c>
      <c r="P393" s="129">
        <f t="shared" si="147"/>
        <v>0</v>
      </c>
      <c r="Q393" s="205"/>
      <c r="R393" s="152" t="str">
        <f t="shared" si="144"/>
        <v>PTP</v>
      </c>
    </row>
    <row r="394" spans="1:18" s="152" customFormat="1" ht="15" customHeight="1">
      <c r="A394" s="153"/>
      <c r="B394" s="18">
        <f t="shared" si="139"/>
        <v>176</v>
      </c>
      <c r="C394" s="178" t="s">
        <v>1272</v>
      </c>
      <c r="D394" s="203" t="s">
        <v>1646</v>
      </c>
      <c r="E394" s="203" t="s">
        <v>1602</v>
      </c>
      <c r="F394" s="203" t="s">
        <v>2011</v>
      </c>
      <c r="G394" s="203">
        <v>1900</v>
      </c>
      <c r="H394" s="203" t="s">
        <v>1583</v>
      </c>
      <c r="I394" s="203"/>
      <c r="J394" s="247"/>
      <c r="K394" s="207">
        <v>0</v>
      </c>
      <c r="L394" s="207">
        <v>0</v>
      </c>
      <c r="M394" s="207">
        <v>720</v>
      </c>
      <c r="N394" s="129">
        <v>0</v>
      </c>
      <c r="O394" s="129">
        <f t="shared" si="146"/>
        <v>1</v>
      </c>
      <c r="P394" s="129">
        <f t="shared" si="147"/>
        <v>0</v>
      </c>
      <c r="Q394" s="205"/>
      <c r="R394" s="152" t="str">
        <f t="shared" si="144"/>
        <v>PTP</v>
      </c>
    </row>
    <row r="395" spans="1:18" s="152" customFormat="1" ht="15" customHeight="1">
      <c r="A395" s="153"/>
      <c r="B395" s="18">
        <f t="shared" si="139"/>
        <v>177</v>
      </c>
      <c r="C395" s="178" t="s">
        <v>1272</v>
      </c>
      <c r="D395" s="203" t="s">
        <v>1647</v>
      </c>
      <c r="E395" s="203" t="s">
        <v>1926</v>
      </c>
      <c r="F395" s="203" t="s">
        <v>2030</v>
      </c>
      <c r="G395" s="203">
        <v>2021</v>
      </c>
      <c r="H395" s="203" t="s">
        <v>1583</v>
      </c>
      <c r="I395" s="203"/>
      <c r="J395" s="247"/>
      <c r="K395" s="207">
        <v>0</v>
      </c>
      <c r="L395" s="207">
        <v>0</v>
      </c>
      <c r="M395" s="207">
        <v>720</v>
      </c>
      <c r="N395" s="129">
        <v>0</v>
      </c>
      <c r="O395" s="129">
        <f t="shared" si="146"/>
        <v>1</v>
      </c>
      <c r="P395" s="129">
        <f t="shared" si="147"/>
        <v>0</v>
      </c>
      <c r="Q395" s="205"/>
      <c r="R395" s="152" t="str">
        <f t="shared" si="144"/>
        <v>PTP</v>
      </c>
    </row>
    <row r="396" spans="1:18" s="152" customFormat="1" ht="15" customHeight="1">
      <c r="A396" s="153"/>
      <c r="B396" s="18">
        <f t="shared" si="139"/>
        <v>178</v>
      </c>
      <c r="C396" s="178" t="s">
        <v>1272</v>
      </c>
      <c r="D396" s="203" t="s">
        <v>1648</v>
      </c>
      <c r="E396" s="203" t="s">
        <v>1622</v>
      </c>
      <c r="F396" s="203" t="s">
        <v>2031</v>
      </c>
      <c r="G396" s="203">
        <v>1900</v>
      </c>
      <c r="H396" s="203" t="s">
        <v>1583</v>
      </c>
      <c r="I396" s="203"/>
      <c r="J396" s="247"/>
      <c r="K396" s="207">
        <v>0</v>
      </c>
      <c r="L396" s="207">
        <v>0</v>
      </c>
      <c r="M396" s="207">
        <v>720</v>
      </c>
      <c r="N396" s="129">
        <v>0</v>
      </c>
      <c r="O396" s="129">
        <f t="shared" si="146"/>
        <v>1</v>
      </c>
      <c r="P396" s="129">
        <f t="shared" si="147"/>
        <v>0</v>
      </c>
      <c r="Q396" s="205"/>
      <c r="R396" s="152" t="str">
        <f t="shared" si="144"/>
        <v>PTP</v>
      </c>
    </row>
    <row r="397" spans="1:18" s="152" customFormat="1" ht="15" customHeight="1">
      <c r="A397" s="153"/>
      <c r="B397" s="18">
        <f t="shared" si="139"/>
        <v>179</v>
      </c>
      <c r="C397" s="178" t="s">
        <v>1272</v>
      </c>
      <c r="D397" s="203" t="s">
        <v>1649</v>
      </c>
      <c r="E397" s="203" t="s">
        <v>1622</v>
      </c>
      <c r="F397" s="203" t="s">
        <v>2032</v>
      </c>
      <c r="G397" s="203">
        <v>2021</v>
      </c>
      <c r="H397" s="203" t="s">
        <v>1583</v>
      </c>
      <c r="I397" s="203"/>
      <c r="J397" s="247"/>
      <c r="K397" s="207">
        <v>0</v>
      </c>
      <c r="L397" s="207">
        <v>0</v>
      </c>
      <c r="M397" s="207">
        <v>720</v>
      </c>
      <c r="N397" s="129">
        <v>0</v>
      </c>
      <c r="O397" s="129">
        <f t="shared" si="146"/>
        <v>1</v>
      </c>
      <c r="P397" s="129">
        <f t="shared" si="147"/>
        <v>0</v>
      </c>
      <c r="Q397" s="205"/>
      <c r="R397" s="152" t="str">
        <f t="shared" si="144"/>
        <v>PTP</v>
      </c>
    </row>
    <row r="398" spans="1:18" s="152" customFormat="1" ht="15" customHeight="1">
      <c r="A398" s="153"/>
      <c r="B398" s="18">
        <f t="shared" si="139"/>
        <v>180</v>
      </c>
      <c r="C398" s="178" t="s">
        <v>1272</v>
      </c>
      <c r="D398" s="203" t="s">
        <v>1650</v>
      </c>
      <c r="E398" s="203" t="s">
        <v>1622</v>
      </c>
      <c r="F398" s="203" t="s">
        <v>2033</v>
      </c>
      <c r="G398" s="203">
        <v>2021</v>
      </c>
      <c r="H398" s="203" t="s">
        <v>1583</v>
      </c>
      <c r="I398" s="203"/>
      <c r="J398" s="247"/>
      <c r="K398" s="207">
        <v>0</v>
      </c>
      <c r="L398" s="207">
        <v>0</v>
      </c>
      <c r="M398" s="207">
        <v>720</v>
      </c>
      <c r="N398" s="129">
        <v>0</v>
      </c>
      <c r="O398" s="129">
        <f t="shared" si="146"/>
        <v>1</v>
      </c>
      <c r="P398" s="129">
        <f t="shared" si="147"/>
        <v>0</v>
      </c>
      <c r="Q398" s="205"/>
      <c r="R398" s="152" t="str">
        <f t="shared" si="144"/>
        <v>PTP</v>
      </c>
    </row>
    <row r="399" spans="1:18" s="152" customFormat="1" ht="15" customHeight="1">
      <c r="A399" s="153"/>
      <c r="B399" s="18">
        <f t="shared" si="139"/>
        <v>181</v>
      </c>
      <c r="C399" s="178" t="s">
        <v>1272</v>
      </c>
      <c r="D399" s="203" t="s">
        <v>1913</v>
      </c>
      <c r="E399" s="203" t="s">
        <v>1927</v>
      </c>
      <c r="F399" s="203" t="s">
        <v>2034</v>
      </c>
      <c r="G399" s="203">
        <v>1900</v>
      </c>
      <c r="H399" s="203" t="s">
        <v>2208</v>
      </c>
      <c r="I399" s="203"/>
      <c r="J399" s="247"/>
      <c r="K399" s="207">
        <v>0</v>
      </c>
      <c r="L399" s="207">
        <v>0</v>
      </c>
      <c r="M399" s="207">
        <v>720</v>
      </c>
      <c r="N399" s="129">
        <v>0</v>
      </c>
      <c r="O399" s="129">
        <f t="shared" si="146"/>
        <v>1</v>
      </c>
      <c r="P399" s="129">
        <f t="shared" si="147"/>
        <v>0</v>
      </c>
      <c r="Q399" s="205"/>
      <c r="R399" s="152" t="str">
        <f t="shared" si="144"/>
        <v>PTP</v>
      </c>
    </row>
    <row r="400" spans="1:18" s="152" customFormat="1" ht="15" customHeight="1">
      <c r="A400" s="153"/>
      <c r="B400" s="18">
        <f t="shared" si="139"/>
        <v>182</v>
      </c>
      <c r="C400" s="178" t="s">
        <v>1272</v>
      </c>
      <c r="D400" s="203" t="s">
        <v>1914</v>
      </c>
      <c r="E400" s="203" t="s">
        <v>1610</v>
      </c>
      <c r="F400" s="203" t="s">
        <v>2014</v>
      </c>
      <c r="G400" s="203">
        <v>2022</v>
      </c>
      <c r="H400" s="203" t="s">
        <v>1583</v>
      </c>
      <c r="I400" s="203"/>
      <c r="J400" s="247"/>
      <c r="K400" s="207">
        <v>38</v>
      </c>
      <c r="L400" s="207">
        <v>0</v>
      </c>
      <c r="M400" s="207">
        <v>682</v>
      </c>
      <c r="N400" s="129">
        <f t="shared" si="145"/>
        <v>1</v>
      </c>
      <c r="O400" s="129">
        <f t="shared" si="146"/>
        <v>1</v>
      </c>
      <c r="P400" s="129">
        <f t="shared" si="147"/>
        <v>5.2777777777777778E-2</v>
      </c>
      <c r="Q400" s="205"/>
      <c r="R400" s="152" t="str">
        <f t="shared" si="144"/>
        <v>PTP</v>
      </c>
    </row>
    <row r="401" spans="1:18" s="152" customFormat="1" ht="15" customHeight="1">
      <c r="A401" s="153"/>
      <c r="B401" s="18">
        <f t="shared" si="139"/>
        <v>183</v>
      </c>
      <c r="C401" s="178" t="s">
        <v>1272</v>
      </c>
      <c r="D401" s="203" t="s">
        <v>1614</v>
      </c>
      <c r="E401" s="203" t="s">
        <v>1584</v>
      </c>
      <c r="F401" s="203" t="s">
        <v>2016</v>
      </c>
      <c r="G401" s="203">
        <v>1900</v>
      </c>
      <c r="H401" s="203" t="s">
        <v>1583</v>
      </c>
      <c r="I401" s="203"/>
      <c r="J401" s="247"/>
      <c r="K401" s="207">
        <v>0</v>
      </c>
      <c r="L401" s="207">
        <v>0</v>
      </c>
      <c r="M401" s="207">
        <v>720</v>
      </c>
      <c r="N401" s="129">
        <v>0</v>
      </c>
      <c r="O401" s="129">
        <f t="shared" si="146"/>
        <v>1</v>
      </c>
      <c r="P401" s="129">
        <f t="shared" si="147"/>
        <v>0</v>
      </c>
      <c r="Q401" s="205"/>
      <c r="R401" s="152" t="str">
        <f t="shared" si="144"/>
        <v>PTP</v>
      </c>
    </row>
    <row r="402" spans="1:18" s="152" customFormat="1" ht="15" customHeight="1">
      <c r="A402" s="153"/>
      <c r="B402" s="18">
        <f t="shared" si="139"/>
        <v>184</v>
      </c>
      <c r="C402" s="178" t="s">
        <v>1272</v>
      </c>
      <c r="D402" s="203" t="s">
        <v>1915</v>
      </c>
      <c r="E402" s="203" t="s">
        <v>1928</v>
      </c>
      <c r="F402" s="203" t="s">
        <v>2035</v>
      </c>
      <c r="G402" s="203">
        <v>2022</v>
      </c>
      <c r="H402" s="203" t="s">
        <v>1583</v>
      </c>
      <c r="I402" s="203"/>
      <c r="J402" s="247"/>
      <c r="K402" s="207">
        <v>0</v>
      </c>
      <c r="L402" s="207">
        <v>0</v>
      </c>
      <c r="M402" s="207">
        <v>720</v>
      </c>
      <c r="N402" s="129">
        <v>0</v>
      </c>
      <c r="O402" s="129">
        <f t="shared" si="146"/>
        <v>1</v>
      </c>
      <c r="P402" s="129">
        <f t="shared" si="147"/>
        <v>0</v>
      </c>
      <c r="Q402" s="205"/>
      <c r="R402" s="152" t="str">
        <f t="shared" si="144"/>
        <v>PTP</v>
      </c>
    </row>
    <row r="403" spans="1:18" s="152" customFormat="1" ht="15" customHeight="1">
      <c r="A403" s="153"/>
      <c r="B403" s="18">
        <f t="shared" si="139"/>
        <v>185</v>
      </c>
      <c r="C403" s="178" t="s">
        <v>1272</v>
      </c>
      <c r="D403" s="203" t="s">
        <v>2329</v>
      </c>
      <c r="E403" s="203" t="s">
        <v>2330</v>
      </c>
      <c r="F403" s="203" t="s">
        <v>2331</v>
      </c>
      <c r="G403" s="203">
        <v>2022</v>
      </c>
      <c r="H403" s="203" t="s">
        <v>1583</v>
      </c>
      <c r="I403" s="203"/>
      <c r="J403" s="247"/>
      <c r="K403" s="207">
        <v>31</v>
      </c>
      <c r="L403" s="207">
        <v>0</v>
      </c>
      <c r="M403" s="207">
        <v>689</v>
      </c>
      <c r="N403" s="129">
        <f t="shared" si="145"/>
        <v>1</v>
      </c>
      <c r="O403" s="129">
        <f t="shared" si="146"/>
        <v>1</v>
      </c>
      <c r="P403" s="129">
        <f t="shared" si="147"/>
        <v>4.3055555555555555E-2</v>
      </c>
      <c r="Q403" s="205"/>
      <c r="R403" s="152" t="str">
        <f t="shared" si="144"/>
        <v>PTP</v>
      </c>
    </row>
    <row r="404" spans="1:18" s="152" customFormat="1" ht="15" customHeight="1">
      <c r="A404" s="153"/>
      <c r="B404" s="18">
        <f t="shared" si="139"/>
        <v>186</v>
      </c>
      <c r="C404" s="178" t="s">
        <v>1272</v>
      </c>
      <c r="D404" s="203" t="s">
        <v>2332</v>
      </c>
      <c r="E404" s="203" t="s">
        <v>1584</v>
      </c>
      <c r="F404" s="203" t="s">
        <v>2016</v>
      </c>
      <c r="G404" s="203">
        <v>1900</v>
      </c>
      <c r="H404" s="203" t="s">
        <v>1583</v>
      </c>
      <c r="I404" s="203"/>
      <c r="J404" s="247"/>
      <c r="K404" s="207">
        <v>0</v>
      </c>
      <c r="L404" s="207">
        <v>0</v>
      </c>
      <c r="M404" s="207">
        <v>720</v>
      </c>
      <c r="N404" s="129">
        <v>0</v>
      </c>
      <c r="O404" s="129">
        <f t="shared" si="146"/>
        <v>1</v>
      </c>
      <c r="P404" s="129">
        <f t="shared" si="147"/>
        <v>0</v>
      </c>
      <c r="Q404" s="205"/>
      <c r="R404" s="152" t="str">
        <f t="shared" si="144"/>
        <v>PTP</v>
      </c>
    </row>
    <row r="405" spans="1:18" s="152" customFormat="1" ht="15" customHeight="1">
      <c r="A405" s="153"/>
      <c r="B405" s="18">
        <f t="shared" si="139"/>
        <v>187</v>
      </c>
      <c r="C405" s="178" t="s">
        <v>1272</v>
      </c>
      <c r="D405" s="203" t="s">
        <v>1651</v>
      </c>
      <c r="E405" s="203" t="s">
        <v>1652</v>
      </c>
      <c r="F405" s="203" t="s">
        <v>2036</v>
      </c>
      <c r="G405" s="203">
        <v>2020</v>
      </c>
      <c r="H405" s="203" t="s">
        <v>2209</v>
      </c>
      <c r="I405" s="203"/>
      <c r="J405" s="247"/>
      <c r="K405" s="207">
        <v>0</v>
      </c>
      <c r="L405" s="207">
        <v>0</v>
      </c>
      <c r="M405" s="207">
        <v>720</v>
      </c>
      <c r="N405" s="129">
        <v>0</v>
      </c>
      <c r="O405" s="129">
        <f t="shared" si="146"/>
        <v>1</v>
      </c>
      <c r="P405" s="129">
        <f t="shared" si="147"/>
        <v>0</v>
      </c>
      <c r="Q405" s="205"/>
      <c r="R405" s="152" t="str">
        <f t="shared" si="144"/>
        <v>PTP</v>
      </c>
    </row>
    <row r="406" spans="1:18" s="152" customFormat="1" ht="15" customHeight="1">
      <c r="A406" s="153"/>
      <c r="B406" s="18">
        <f t="shared" si="139"/>
        <v>188</v>
      </c>
      <c r="C406" s="178" t="s">
        <v>1272</v>
      </c>
      <c r="D406" s="203" t="s">
        <v>1653</v>
      </c>
      <c r="E406" s="203" t="s">
        <v>1654</v>
      </c>
      <c r="F406" s="203" t="s">
        <v>2037</v>
      </c>
      <c r="G406" s="203">
        <v>2019</v>
      </c>
      <c r="H406" s="203" t="s">
        <v>2209</v>
      </c>
      <c r="I406" s="203"/>
      <c r="J406" s="247"/>
      <c r="K406" s="207">
        <v>226.10000000000002</v>
      </c>
      <c r="L406" s="207">
        <v>36.548999999999999</v>
      </c>
      <c r="M406" s="207">
        <v>457.351</v>
      </c>
      <c r="N406" s="129">
        <f t="shared" si="145"/>
        <v>0.86084470148372927</v>
      </c>
      <c r="O406" s="129">
        <f t="shared" si="146"/>
        <v>0.94923750000000007</v>
      </c>
      <c r="P406" s="129">
        <f t="shared" si="147"/>
        <v>0.33082108300375596</v>
      </c>
      <c r="Q406" s="205"/>
      <c r="R406" s="152" t="str">
        <f t="shared" si="144"/>
        <v>PTP</v>
      </c>
    </row>
    <row r="407" spans="1:18" s="152" customFormat="1" ht="15" customHeight="1">
      <c r="A407" s="153"/>
      <c r="B407" s="18">
        <f t="shared" si="139"/>
        <v>189</v>
      </c>
      <c r="C407" s="178" t="s">
        <v>1272</v>
      </c>
      <c r="D407" s="203" t="s">
        <v>1655</v>
      </c>
      <c r="E407" s="203" t="s">
        <v>109</v>
      </c>
      <c r="F407" s="203" t="s">
        <v>2038</v>
      </c>
      <c r="G407" s="203">
        <v>2021</v>
      </c>
      <c r="H407" s="203" t="s">
        <v>2209</v>
      </c>
      <c r="I407" s="203"/>
      <c r="J407" s="247"/>
      <c r="K407" s="207">
        <v>143.60100000000003</v>
      </c>
      <c r="L407" s="207">
        <v>125.06599999999999</v>
      </c>
      <c r="M407" s="207">
        <v>451.33300000000003</v>
      </c>
      <c r="N407" s="129">
        <f t="shared" si="145"/>
        <v>0.53449437407645906</v>
      </c>
      <c r="O407" s="129">
        <f t="shared" si="146"/>
        <v>0.82629722222222235</v>
      </c>
      <c r="P407" s="129">
        <f t="shared" si="147"/>
        <v>0.24137299263447712</v>
      </c>
      <c r="Q407" s="205"/>
      <c r="R407" s="152" t="b">
        <f t="shared" si="144"/>
        <v>0</v>
      </c>
    </row>
    <row r="408" spans="1:18" s="152" customFormat="1" ht="15" customHeight="1">
      <c r="A408" s="153"/>
      <c r="B408" s="18">
        <f t="shared" si="139"/>
        <v>190</v>
      </c>
      <c r="C408" s="178" t="s">
        <v>1272</v>
      </c>
      <c r="D408" s="203" t="s">
        <v>1656</v>
      </c>
      <c r="E408" s="203" t="s">
        <v>1654</v>
      </c>
      <c r="F408" s="203" t="s">
        <v>2037</v>
      </c>
      <c r="G408" s="203">
        <v>2021</v>
      </c>
      <c r="H408" s="203" t="s">
        <v>2209</v>
      </c>
      <c r="I408" s="203"/>
      <c r="J408" s="247"/>
      <c r="K408" s="207">
        <v>194.10000000000005</v>
      </c>
      <c r="L408" s="207">
        <v>42</v>
      </c>
      <c r="M408" s="207">
        <v>483.9</v>
      </c>
      <c r="N408" s="129">
        <f t="shared" si="145"/>
        <v>0.82210927573062265</v>
      </c>
      <c r="O408" s="129">
        <f t="shared" si="146"/>
        <v>0.94166666666666665</v>
      </c>
      <c r="P408" s="129">
        <f t="shared" si="147"/>
        <v>0.28628318584070805</v>
      </c>
      <c r="Q408" s="205"/>
      <c r="R408" s="152" t="str">
        <f t="shared" si="144"/>
        <v>PTP</v>
      </c>
    </row>
    <row r="409" spans="1:18" s="152" customFormat="1" ht="15" customHeight="1">
      <c r="A409" s="153"/>
      <c r="B409" s="18">
        <f t="shared" si="139"/>
        <v>191</v>
      </c>
      <c r="C409" s="178" t="s">
        <v>1272</v>
      </c>
      <c r="D409" s="203" t="s">
        <v>1657</v>
      </c>
      <c r="E409" s="203" t="s">
        <v>1658</v>
      </c>
      <c r="F409" s="203" t="s">
        <v>2039</v>
      </c>
      <c r="G409" s="203">
        <v>2020</v>
      </c>
      <c r="H409" s="203" t="s">
        <v>2209</v>
      </c>
      <c r="I409" s="203"/>
      <c r="J409" s="247"/>
      <c r="K409" s="207">
        <v>154.899</v>
      </c>
      <c r="L409" s="207">
        <v>57.716999999999999</v>
      </c>
      <c r="M409" s="207">
        <v>507.38400000000001</v>
      </c>
      <c r="N409" s="129">
        <f t="shared" si="145"/>
        <v>0.7285387741280055</v>
      </c>
      <c r="O409" s="129">
        <f t="shared" si="146"/>
        <v>0.91983749999999997</v>
      </c>
      <c r="P409" s="129">
        <f t="shared" si="147"/>
        <v>0.23388642015573402</v>
      </c>
      <c r="Q409" s="205"/>
      <c r="R409" s="152" t="str">
        <f t="shared" ref="R409:R472" si="148">IF(O409&gt;89.9999999999999%,"PTP")</f>
        <v>PTP</v>
      </c>
    </row>
    <row r="410" spans="1:18" s="152" customFormat="1" ht="15" customHeight="1">
      <c r="A410" s="153"/>
      <c r="B410" s="18">
        <f t="shared" si="139"/>
        <v>192</v>
      </c>
      <c r="C410" s="178" t="s">
        <v>1272</v>
      </c>
      <c r="D410" s="203" t="s">
        <v>1659</v>
      </c>
      <c r="E410" s="203" t="s">
        <v>1658</v>
      </c>
      <c r="F410" s="203" t="s">
        <v>2039</v>
      </c>
      <c r="G410" s="203">
        <v>2021</v>
      </c>
      <c r="H410" s="203" t="s">
        <v>2209</v>
      </c>
      <c r="I410" s="203"/>
      <c r="J410" s="247"/>
      <c r="K410" s="207">
        <v>173.3</v>
      </c>
      <c r="L410" s="207">
        <v>15.416</v>
      </c>
      <c r="M410" s="207">
        <v>531.28399999999999</v>
      </c>
      <c r="N410" s="129">
        <f t="shared" si="145"/>
        <v>0.91831111299518853</v>
      </c>
      <c r="O410" s="129">
        <f t="shared" si="146"/>
        <v>0.97858888888888895</v>
      </c>
      <c r="P410" s="129">
        <f t="shared" si="147"/>
        <v>0.24596073711580166</v>
      </c>
      <c r="Q410" s="205"/>
      <c r="R410" s="152" t="str">
        <f t="shared" si="148"/>
        <v>PTP</v>
      </c>
    </row>
    <row r="411" spans="1:18" s="152" customFormat="1" ht="15" customHeight="1">
      <c r="A411" s="153"/>
      <c r="B411" s="18">
        <f t="shared" si="139"/>
        <v>193</v>
      </c>
      <c r="C411" s="178" t="s">
        <v>1272</v>
      </c>
      <c r="D411" s="203" t="s">
        <v>2333</v>
      </c>
      <c r="E411" s="203" t="s">
        <v>2334</v>
      </c>
      <c r="F411" s="203" t="s">
        <v>2335</v>
      </c>
      <c r="G411" s="203">
        <v>2019</v>
      </c>
      <c r="H411" s="203" t="s">
        <v>524</v>
      </c>
      <c r="I411" s="203"/>
      <c r="J411" s="247"/>
      <c r="K411" s="207">
        <v>0</v>
      </c>
      <c r="L411" s="207">
        <v>0</v>
      </c>
      <c r="M411" s="207">
        <v>720</v>
      </c>
      <c r="N411" s="129">
        <v>0</v>
      </c>
      <c r="O411" s="129">
        <f t="shared" si="146"/>
        <v>1</v>
      </c>
      <c r="P411" s="129">
        <f t="shared" si="147"/>
        <v>0</v>
      </c>
      <c r="Q411" s="205"/>
      <c r="R411" s="152" t="str">
        <f t="shared" si="148"/>
        <v>PTP</v>
      </c>
    </row>
    <row r="412" spans="1:18" s="152" customFormat="1" ht="15" customHeight="1">
      <c r="A412" s="153"/>
      <c r="B412" s="18">
        <f t="shared" si="139"/>
        <v>194</v>
      </c>
      <c r="C412" s="178" t="s">
        <v>1272</v>
      </c>
      <c r="D412" s="203" t="s">
        <v>2336</v>
      </c>
      <c r="E412" s="203" t="s">
        <v>2337</v>
      </c>
      <c r="F412" s="203" t="s">
        <v>2338</v>
      </c>
      <c r="G412" s="203">
        <v>2014</v>
      </c>
      <c r="H412" s="203" t="s">
        <v>524</v>
      </c>
      <c r="I412" s="203"/>
      <c r="J412" s="247"/>
      <c r="K412" s="207">
        <v>0</v>
      </c>
      <c r="L412" s="207">
        <v>0</v>
      </c>
      <c r="M412" s="207">
        <v>720</v>
      </c>
      <c r="N412" s="129">
        <v>0</v>
      </c>
      <c r="O412" s="129">
        <f t="shared" ref="O412:O475" si="149">+(K412+M412)/(K412+L412+M412)</f>
        <v>1</v>
      </c>
      <c r="P412" s="129">
        <f t="shared" ref="P412:P475" si="150">+K412/(K412+M412)</f>
        <v>0</v>
      </c>
      <c r="Q412" s="205"/>
      <c r="R412" s="152" t="str">
        <f t="shared" si="148"/>
        <v>PTP</v>
      </c>
    </row>
    <row r="413" spans="1:18" s="152" customFormat="1" ht="15" customHeight="1">
      <c r="A413" s="153"/>
      <c r="B413" s="18">
        <f t="shared" si="139"/>
        <v>195</v>
      </c>
      <c r="C413" s="178" t="s">
        <v>1272</v>
      </c>
      <c r="D413" s="203" t="s">
        <v>2339</v>
      </c>
      <c r="E413" s="203" t="s">
        <v>2340</v>
      </c>
      <c r="F413" s="203" t="s">
        <v>2341</v>
      </c>
      <c r="G413" s="203">
        <v>2011</v>
      </c>
      <c r="H413" s="203" t="s">
        <v>524</v>
      </c>
      <c r="I413" s="203"/>
      <c r="J413" s="247"/>
      <c r="K413" s="207">
        <v>0</v>
      </c>
      <c r="L413" s="207">
        <v>0</v>
      </c>
      <c r="M413" s="207">
        <v>720</v>
      </c>
      <c r="N413" s="129">
        <v>0</v>
      </c>
      <c r="O413" s="129">
        <f t="shared" si="149"/>
        <v>1</v>
      </c>
      <c r="P413" s="129">
        <f t="shared" si="150"/>
        <v>0</v>
      </c>
      <c r="Q413" s="205"/>
      <c r="R413" s="152" t="str">
        <f t="shared" si="148"/>
        <v>PTP</v>
      </c>
    </row>
    <row r="414" spans="1:18" s="152" customFormat="1" ht="15" customHeight="1">
      <c r="A414" s="153"/>
      <c r="B414" s="18">
        <f t="shared" si="139"/>
        <v>196</v>
      </c>
      <c r="C414" s="178" t="s">
        <v>1272</v>
      </c>
      <c r="D414" s="178" t="s">
        <v>2342</v>
      </c>
      <c r="E414" s="178" t="s">
        <v>1674</v>
      </c>
      <c r="F414" s="178" t="s">
        <v>2046</v>
      </c>
      <c r="G414" s="178">
        <v>2016</v>
      </c>
      <c r="H414" s="178" t="s">
        <v>524</v>
      </c>
      <c r="I414" s="178"/>
      <c r="J414" s="135"/>
      <c r="K414" s="207">
        <v>0</v>
      </c>
      <c r="L414" s="207">
        <v>0</v>
      </c>
      <c r="M414" s="207">
        <v>720</v>
      </c>
      <c r="N414" s="129">
        <v>0</v>
      </c>
      <c r="O414" s="129">
        <f t="shared" si="149"/>
        <v>1</v>
      </c>
      <c r="P414" s="129">
        <f t="shared" si="150"/>
        <v>0</v>
      </c>
      <c r="Q414" s="117"/>
      <c r="R414" s="152" t="str">
        <f t="shared" si="148"/>
        <v>PTP</v>
      </c>
    </row>
    <row r="415" spans="1:18" s="152" customFormat="1" ht="15" customHeight="1">
      <c r="A415" s="153"/>
      <c r="B415" s="18">
        <f t="shared" si="139"/>
        <v>197</v>
      </c>
      <c r="C415" s="178" t="s">
        <v>1272</v>
      </c>
      <c r="D415" s="178" t="s">
        <v>2343</v>
      </c>
      <c r="E415" s="178" t="s">
        <v>2344</v>
      </c>
      <c r="F415" s="178" t="s">
        <v>2345</v>
      </c>
      <c r="G415" s="178">
        <v>2018</v>
      </c>
      <c r="H415" s="178" t="s">
        <v>524</v>
      </c>
      <c r="I415" s="178"/>
      <c r="J415" s="135"/>
      <c r="K415" s="116">
        <v>125.79999999999927</v>
      </c>
      <c r="L415" s="116">
        <v>0.99999999994179234</v>
      </c>
      <c r="M415" s="116">
        <v>593.20000000005894</v>
      </c>
      <c r="N415" s="129">
        <f t="shared" ref="N412:N475" si="151">+K415/(K415+L415)</f>
        <v>0.99211356466922507</v>
      </c>
      <c r="O415" s="129">
        <f t="shared" si="149"/>
        <v>0.99861111111119194</v>
      </c>
      <c r="P415" s="129">
        <f t="shared" si="150"/>
        <v>0.17496522948538121</v>
      </c>
      <c r="Q415" s="117"/>
      <c r="R415" s="152" t="str">
        <f t="shared" si="148"/>
        <v>PTP</v>
      </c>
    </row>
    <row r="416" spans="1:18" s="152" customFormat="1" ht="15" customHeight="1">
      <c r="A416" s="153"/>
      <c r="B416" s="18">
        <f t="shared" si="139"/>
        <v>198</v>
      </c>
      <c r="C416" s="178" t="s">
        <v>1272</v>
      </c>
      <c r="D416" s="178" t="s">
        <v>2346</v>
      </c>
      <c r="E416" s="178" t="s">
        <v>2347</v>
      </c>
      <c r="F416" s="178" t="s">
        <v>2348</v>
      </c>
      <c r="G416" s="178" t="s">
        <v>2207</v>
      </c>
      <c r="H416" s="178" t="s">
        <v>524</v>
      </c>
      <c r="I416" s="178"/>
      <c r="J416" s="135"/>
      <c r="K416" s="116">
        <v>0</v>
      </c>
      <c r="L416" s="116">
        <v>0</v>
      </c>
      <c r="M416" s="116">
        <v>720</v>
      </c>
      <c r="N416" s="129">
        <v>0</v>
      </c>
      <c r="O416" s="129">
        <f t="shared" si="149"/>
        <v>1</v>
      </c>
      <c r="P416" s="129">
        <f t="shared" si="150"/>
        <v>0</v>
      </c>
      <c r="Q416" s="117"/>
      <c r="R416" s="152" t="str">
        <f t="shared" si="148"/>
        <v>PTP</v>
      </c>
    </row>
    <row r="417" spans="1:18" s="152" customFormat="1" ht="15" customHeight="1">
      <c r="A417" s="153"/>
      <c r="B417" s="18">
        <f t="shared" si="139"/>
        <v>199</v>
      </c>
      <c r="C417" s="178" t="s">
        <v>1272</v>
      </c>
      <c r="D417" s="178" t="s">
        <v>2349</v>
      </c>
      <c r="E417" s="178" t="s">
        <v>2350</v>
      </c>
      <c r="F417" s="178" t="s">
        <v>2351</v>
      </c>
      <c r="G417" s="178">
        <v>2019</v>
      </c>
      <c r="H417" s="178" t="s">
        <v>524</v>
      </c>
      <c r="I417" s="178"/>
      <c r="J417" s="135"/>
      <c r="K417" s="116">
        <v>70.100000000002183</v>
      </c>
      <c r="L417" s="116">
        <v>0</v>
      </c>
      <c r="M417" s="116">
        <v>649.89999999999782</v>
      </c>
      <c r="N417" s="129">
        <f t="shared" si="151"/>
        <v>1</v>
      </c>
      <c r="O417" s="129">
        <f t="shared" si="149"/>
        <v>1</v>
      </c>
      <c r="P417" s="129">
        <f t="shared" si="150"/>
        <v>9.7361111111114146E-2</v>
      </c>
      <c r="Q417" s="117"/>
      <c r="R417" s="152" t="str">
        <f t="shared" si="148"/>
        <v>PTP</v>
      </c>
    </row>
    <row r="418" spans="1:18" s="152" customFormat="1" ht="15" customHeight="1">
      <c r="A418" s="153"/>
      <c r="B418" s="18">
        <f t="shared" si="139"/>
        <v>200</v>
      </c>
      <c r="C418" s="178" t="s">
        <v>1272</v>
      </c>
      <c r="D418" s="178" t="s">
        <v>2352</v>
      </c>
      <c r="E418" s="178" t="s">
        <v>2350</v>
      </c>
      <c r="F418" s="178" t="s">
        <v>2351</v>
      </c>
      <c r="G418" s="178">
        <v>2019</v>
      </c>
      <c r="H418" s="178" t="s">
        <v>524</v>
      </c>
      <c r="I418" s="178"/>
      <c r="J418" s="135"/>
      <c r="K418" s="116">
        <v>720</v>
      </c>
      <c r="L418" s="116">
        <v>0.99999999994179234</v>
      </c>
      <c r="M418" s="116">
        <v>-0.99999999994179234</v>
      </c>
      <c r="N418" s="129">
        <f t="shared" si="151"/>
        <v>0.99861303744806951</v>
      </c>
      <c r="O418" s="129">
        <f t="shared" si="149"/>
        <v>0.99861111111119194</v>
      </c>
      <c r="P418" s="129">
        <f t="shared" si="150"/>
        <v>1.0013908205840636</v>
      </c>
      <c r="Q418" s="117"/>
      <c r="R418" s="152" t="str">
        <f t="shared" si="148"/>
        <v>PTP</v>
      </c>
    </row>
    <row r="419" spans="1:18" s="152" customFormat="1" ht="15" customHeight="1">
      <c r="A419" s="153"/>
      <c r="B419" s="18">
        <f t="shared" si="139"/>
        <v>201</v>
      </c>
      <c r="C419" s="178" t="s">
        <v>1272</v>
      </c>
      <c r="D419" s="178" t="s">
        <v>2353</v>
      </c>
      <c r="E419" s="178" t="s">
        <v>2350</v>
      </c>
      <c r="F419" s="178" t="s">
        <v>2351</v>
      </c>
      <c r="G419" s="178">
        <v>2019</v>
      </c>
      <c r="H419" s="178" t="s">
        <v>524</v>
      </c>
      <c r="I419" s="178"/>
      <c r="J419" s="135"/>
      <c r="K419" s="116">
        <v>720</v>
      </c>
      <c r="L419" s="116">
        <v>2.999999999825377</v>
      </c>
      <c r="M419" s="116">
        <v>-2.999999999825377</v>
      </c>
      <c r="N419" s="129">
        <f t="shared" si="151"/>
        <v>0.99585062240687949</v>
      </c>
      <c r="O419" s="129">
        <f t="shared" si="149"/>
        <v>0.99583333333357582</v>
      </c>
      <c r="P419" s="129">
        <f t="shared" si="150"/>
        <v>1.0041841004181655</v>
      </c>
      <c r="Q419" s="117"/>
      <c r="R419" s="152" t="str">
        <f t="shared" si="148"/>
        <v>PTP</v>
      </c>
    </row>
    <row r="420" spans="1:18" s="152" customFormat="1" ht="15" customHeight="1">
      <c r="A420" s="153"/>
      <c r="B420" s="18">
        <f t="shared" ref="B420:B483" si="152">+B419+1</f>
        <v>202</v>
      </c>
      <c r="C420" s="178" t="s">
        <v>1272</v>
      </c>
      <c r="D420" s="178" t="s">
        <v>2354</v>
      </c>
      <c r="E420" s="178" t="s">
        <v>2350</v>
      </c>
      <c r="F420" s="178" t="s">
        <v>2351</v>
      </c>
      <c r="G420" s="178">
        <v>2019</v>
      </c>
      <c r="H420" s="178" t="s">
        <v>524</v>
      </c>
      <c r="I420" s="178"/>
      <c r="J420" s="135"/>
      <c r="K420" s="207">
        <v>0</v>
      </c>
      <c r="L420" s="207">
        <v>0</v>
      </c>
      <c r="M420" s="207">
        <v>720</v>
      </c>
      <c r="N420" s="129">
        <v>0</v>
      </c>
      <c r="O420" s="129">
        <f t="shared" si="149"/>
        <v>1</v>
      </c>
      <c r="P420" s="129">
        <f t="shared" si="150"/>
        <v>0</v>
      </c>
      <c r="Q420" s="117"/>
      <c r="R420" s="152" t="str">
        <f t="shared" si="148"/>
        <v>PTP</v>
      </c>
    </row>
    <row r="421" spans="1:18" s="152" customFormat="1" ht="15" customHeight="1">
      <c r="A421" s="153"/>
      <c r="B421" s="18">
        <f t="shared" si="152"/>
        <v>203</v>
      </c>
      <c r="C421" s="178" t="s">
        <v>1272</v>
      </c>
      <c r="D421" s="178" t="s">
        <v>2355</v>
      </c>
      <c r="E421" s="178" t="s">
        <v>2356</v>
      </c>
      <c r="F421" s="178" t="s">
        <v>2357</v>
      </c>
      <c r="G421" s="178">
        <v>2019</v>
      </c>
      <c r="H421" s="178" t="s">
        <v>524</v>
      </c>
      <c r="I421" s="178"/>
      <c r="J421" s="135"/>
      <c r="K421" s="116">
        <v>0</v>
      </c>
      <c r="L421" s="116">
        <v>0</v>
      </c>
      <c r="M421" s="116">
        <v>720</v>
      </c>
      <c r="N421" s="129">
        <v>0</v>
      </c>
      <c r="O421" s="129">
        <f t="shared" si="149"/>
        <v>1</v>
      </c>
      <c r="P421" s="129">
        <f t="shared" si="150"/>
        <v>0</v>
      </c>
      <c r="Q421" s="117"/>
      <c r="R421" s="152" t="str">
        <f t="shared" si="148"/>
        <v>PTP</v>
      </c>
    </row>
    <row r="422" spans="1:18" s="152" customFormat="1" ht="15" customHeight="1">
      <c r="A422" s="153"/>
      <c r="B422" s="18">
        <f t="shared" si="152"/>
        <v>204</v>
      </c>
      <c r="C422" s="178" t="s">
        <v>1272</v>
      </c>
      <c r="D422" s="178" t="s">
        <v>2358</v>
      </c>
      <c r="E422" s="178" t="s">
        <v>1677</v>
      </c>
      <c r="F422" s="178" t="s">
        <v>2335</v>
      </c>
      <c r="G422" s="178">
        <v>2019</v>
      </c>
      <c r="H422" s="178" t="s">
        <v>524</v>
      </c>
      <c r="I422" s="178"/>
      <c r="J422" s="135"/>
      <c r="K422" s="116">
        <v>0</v>
      </c>
      <c r="L422" s="116">
        <v>0</v>
      </c>
      <c r="M422" s="116">
        <v>720</v>
      </c>
      <c r="N422" s="129">
        <v>0</v>
      </c>
      <c r="O422" s="129">
        <f t="shared" si="149"/>
        <v>1</v>
      </c>
      <c r="P422" s="129">
        <f t="shared" si="150"/>
        <v>0</v>
      </c>
      <c r="Q422" s="117"/>
      <c r="R422" s="152" t="str">
        <f t="shared" si="148"/>
        <v>PTP</v>
      </c>
    </row>
    <row r="423" spans="1:18" s="152" customFormat="1" ht="15" customHeight="1">
      <c r="A423" s="153"/>
      <c r="B423" s="18">
        <f t="shared" si="152"/>
        <v>205</v>
      </c>
      <c r="C423" s="178" t="s">
        <v>1272</v>
      </c>
      <c r="D423" s="178" t="s">
        <v>2359</v>
      </c>
      <c r="E423" s="178" t="s">
        <v>1677</v>
      </c>
      <c r="F423" s="178" t="s">
        <v>2335</v>
      </c>
      <c r="G423" s="178">
        <v>2019</v>
      </c>
      <c r="H423" s="178" t="s">
        <v>524</v>
      </c>
      <c r="I423" s="178"/>
      <c r="J423" s="135"/>
      <c r="K423" s="116">
        <v>0</v>
      </c>
      <c r="L423" s="116">
        <v>0</v>
      </c>
      <c r="M423" s="116">
        <v>720</v>
      </c>
      <c r="N423" s="129">
        <v>0</v>
      </c>
      <c r="O423" s="129">
        <f t="shared" si="149"/>
        <v>1</v>
      </c>
      <c r="P423" s="129">
        <f t="shared" si="150"/>
        <v>0</v>
      </c>
      <c r="Q423" s="117"/>
      <c r="R423" s="152" t="str">
        <f t="shared" si="148"/>
        <v>PTP</v>
      </c>
    </row>
    <row r="424" spans="1:18" s="152" customFormat="1" ht="15" customHeight="1">
      <c r="A424" s="153"/>
      <c r="B424" s="18">
        <f t="shared" si="152"/>
        <v>206</v>
      </c>
      <c r="C424" s="178" t="s">
        <v>1272</v>
      </c>
      <c r="D424" s="178" t="s">
        <v>2360</v>
      </c>
      <c r="E424" s="178" t="s">
        <v>1677</v>
      </c>
      <c r="F424" s="178" t="s">
        <v>2335</v>
      </c>
      <c r="G424" s="178">
        <v>2019</v>
      </c>
      <c r="H424" s="178" t="s">
        <v>524</v>
      </c>
      <c r="I424" s="178"/>
      <c r="J424" s="135"/>
      <c r="K424" s="116">
        <v>0</v>
      </c>
      <c r="L424" s="116">
        <v>0</v>
      </c>
      <c r="M424" s="116">
        <v>720</v>
      </c>
      <c r="N424" s="129">
        <v>0</v>
      </c>
      <c r="O424" s="129">
        <f t="shared" si="149"/>
        <v>1</v>
      </c>
      <c r="P424" s="129">
        <f t="shared" si="150"/>
        <v>0</v>
      </c>
      <c r="Q424" s="117"/>
      <c r="R424" s="152" t="str">
        <f t="shared" si="148"/>
        <v>PTP</v>
      </c>
    </row>
    <row r="425" spans="1:18" s="152" customFormat="1" ht="15" customHeight="1">
      <c r="A425" s="153"/>
      <c r="B425" s="18">
        <f t="shared" si="152"/>
        <v>207</v>
      </c>
      <c r="C425" s="178" t="s">
        <v>1272</v>
      </c>
      <c r="D425" s="178" t="s">
        <v>2361</v>
      </c>
      <c r="E425" s="178" t="s">
        <v>1677</v>
      </c>
      <c r="F425" s="178" t="s">
        <v>2335</v>
      </c>
      <c r="G425" s="178">
        <v>2019</v>
      </c>
      <c r="H425" s="178" t="s">
        <v>524</v>
      </c>
      <c r="I425" s="178"/>
      <c r="J425" s="135"/>
      <c r="K425" s="116">
        <v>0</v>
      </c>
      <c r="L425" s="116">
        <v>0</v>
      </c>
      <c r="M425" s="116">
        <v>720</v>
      </c>
      <c r="N425" s="129">
        <v>0</v>
      </c>
      <c r="O425" s="129">
        <f t="shared" si="149"/>
        <v>1</v>
      </c>
      <c r="P425" s="129">
        <f t="shared" si="150"/>
        <v>0</v>
      </c>
      <c r="Q425" s="117"/>
      <c r="R425" s="152" t="str">
        <f t="shared" si="148"/>
        <v>PTP</v>
      </c>
    </row>
    <row r="426" spans="1:18" s="152" customFormat="1" ht="15" customHeight="1">
      <c r="A426" s="153"/>
      <c r="B426" s="18">
        <f t="shared" si="152"/>
        <v>208</v>
      </c>
      <c r="C426" s="178" t="s">
        <v>1272</v>
      </c>
      <c r="D426" s="178" t="s">
        <v>2362</v>
      </c>
      <c r="E426" s="178" t="s">
        <v>2363</v>
      </c>
      <c r="F426" s="178" t="s">
        <v>2364</v>
      </c>
      <c r="G426" s="178">
        <v>2021</v>
      </c>
      <c r="H426" s="178" t="s">
        <v>524</v>
      </c>
      <c r="I426" s="178"/>
      <c r="J426" s="135"/>
      <c r="K426" s="116">
        <v>0</v>
      </c>
      <c r="L426" s="116">
        <v>0</v>
      </c>
      <c r="M426" s="116">
        <v>720</v>
      </c>
      <c r="N426" s="129">
        <v>0</v>
      </c>
      <c r="O426" s="129">
        <f t="shared" si="149"/>
        <v>1</v>
      </c>
      <c r="P426" s="129">
        <f t="shared" si="150"/>
        <v>0</v>
      </c>
      <c r="Q426" s="117"/>
      <c r="R426" s="152" t="str">
        <f t="shared" si="148"/>
        <v>PTP</v>
      </c>
    </row>
    <row r="427" spans="1:18" s="152" customFormat="1" ht="15" customHeight="1">
      <c r="A427" s="153"/>
      <c r="B427" s="18">
        <f t="shared" si="152"/>
        <v>209</v>
      </c>
      <c r="C427" s="178" t="s">
        <v>1272</v>
      </c>
      <c r="D427" s="178" t="s">
        <v>2365</v>
      </c>
      <c r="E427" s="178" t="s">
        <v>2366</v>
      </c>
      <c r="F427" s="178" t="s">
        <v>2367</v>
      </c>
      <c r="G427" s="178">
        <v>2021</v>
      </c>
      <c r="H427" s="178" t="s">
        <v>524</v>
      </c>
      <c r="I427" s="178"/>
      <c r="J427" s="135"/>
      <c r="K427" s="116">
        <v>0</v>
      </c>
      <c r="L427" s="116">
        <v>0</v>
      </c>
      <c r="M427" s="116">
        <v>720</v>
      </c>
      <c r="N427" s="129">
        <v>0</v>
      </c>
      <c r="O427" s="129">
        <f t="shared" si="149"/>
        <v>1</v>
      </c>
      <c r="P427" s="129">
        <f t="shared" si="150"/>
        <v>0</v>
      </c>
      <c r="Q427" s="117"/>
      <c r="R427" s="152" t="str">
        <f t="shared" si="148"/>
        <v>PTP</v>
      </c>
    </row>
    <row r="428" spans="1:18" s="152" customFormat="1" ht="15" customHeight="1">
      <c r="A428" s="153"/>
      <c r="B428" s="18">
        <f t="shared" si="152"/>
        <v>210</v>
      </c>
      <c r="C428" s="178" t="s">
        <v>1272</v>
      </c>
      <c r="D428" s="178" t="s">
        <v>2368</v>
      </c>
      <c r="E428" s="178">
        <v>0</v>
      </c>
      <c r="F428" s="178" t="s">
        <v>2369</v>
      </c>
      <c r="G428" s="178">
        <v>2018</v>
      </c>
      <c r="H428" s="178" t="s">
        <v>524</v>
      </c>
      <c r="I428" s="178"/>
      <c r="J428" s="135"/>
      <c r="K428" s="116">
        <v>0</v>
      </c>
      <c r="L428" s="116">
        <v>0</v>
      </c>
      <c r="M428" s="116">
        <v>720</v>
      </c>
      <c r="N428" s="129">
        <v>0</v>
      </c>
      <c r="O428" s="129">
        <f t="shared" si="149"/>
        <v>1</v>
      </c>
      <c r="P428" s="129">
        <f t="shared" si="150"/>
        <v>0</v>
      </c>
      <c r="Q428" s="117"/>
      <c r="R428" s="152" t="str">
        <f t="shared" si="148"/>
        <v>PTP</v>
      </c>
    </row>
    <row r="429" spans="1:18" s="152" customFormat="1" ht="15" customHeight="1">
      <c r="A429" s="153"/>
      <c r="B429" s="18">
        <f t="shared" si="152"/>
        <v>211</v>
      </c>
      <c r="C429" s="178" t="s">
        <v>1272</v>
      </c>
      <c r="D429" s="178" t="s">
        <v>2370</v>
      </c>
      <c r="E429" s="178">
        <v>0</v>
      </c>
      <c r="F429" s="178" t="s">
        <v>2371</v>
      </c>
      <c r="G429" s="178">
        <v>2020</v>
      </c>
      <c r="H429" s="178" t="s">
        <v>524</v>
      </c>
      <c r="I429" s="178"/>
      <c r="J429" s="135"/>
      <c r="K429" s="116">
        <v>0</v>
      </c>
      <c r="L429" s="116">
        <v>0</v>
      </c>
      <c r="M429" s="116">
        <v>720</v>
      </c>
      <c r="N429" s="129">
        <v>0</v>
      </c>
      <c r="O429" s="129">
        <f t="shared" si="149"/>
        <v>1</v>
      </c>
      <c r="P429" s="129">
        <f t="shared" si="150"/>
        <v>0</v>
      </c>
      <c r="Q429" s="117"/>
      <c r="R429" s="152" t="str">
        <f t="shared" si="148"/>
        <v>PTP</v>
      </c>
    </row>
    <row r="430" spans="1:18" s="152" customFormat="1" ht="15" customHeight="1">
      <c r="A430" s="153"/>
      <c r="B430" s="18">
        <f t="shared" si="152"/>
        <v>212</v>
      </c>
      <c r="C430" s="178" t="s">
        <v>1272</v>
      </c>
      <c r="D430" s="178" t="s">
        <v>2372</v>
      </c>
      <c r="E430" s="178" t="s">
        <v>2373</v>
      </c>
      <c r="F430" s="178" t="s">
        <v>2374</v>
      </c>
      <c r="G430" s="178">
        <v>2020</v>
      </c>
      <c r="H430" s="178" t="s">
        <v>524</v>
      </c>
      <c r="I430" s="178"/>
      <c r="J430" s="135"/>
      <c r="K430" s="116">
        <v>342</v>
      </c>
      <c r="L430" s="116">
        <v>0.99999999994179234</v>
      </c>
      <c r="M430" s="116">
        <v>377.00000000005821</v>
      </c>
      <c r="N430" s="129">
        <f t="shared" si="151"/>
        <v>0.99708454810512548</v>
      </c>
      <c r="O430" s="129">
        <f t="shared" si="149"/>
        <v>0.99861111111119194</v>
      </c>
      <c r="P430" s="129">
        <f t="shared" si="150"/>
        <v>0.47566063977743017</v>
      </c>
      <c r="Q430" s="117"/>
      <c r="R430" s="152" t="str">
        <f t="shared" si="148"/>
        <v>PTP</v>
      </c>
    </row>
    <row r="431" spans="1:18" s="152" customFormat="1" ht="15" customHeight="1">
      <c r="A431" s="153"/>
      <c r="B431" s="18">
        <f t="shared" si="152"/>
        <v>213</v>
      </c>
      <c r="C431" s="178" t="s">
        <v>1272</v>
      </c>
      <c r="D431" s="178" t="s">
        <v>2375</v>
      </c>
      <c r="E431" s="178" t="s">
        <v>2363</v>
      </c>
      <c r="F431" s="178" t="s">
        <v>2376</v>
      </c>
      <c r="G431" s="178">
        <v>1900</v>
      </c>
      <c r="H431" s="178" t="s">
        <v>524</v>
      </c>
      <c r="I431" s="178"/>
      <c r="J431" s="135"/>
      <c r="K431" s="116">
        <v>0</v>
      </c>
      <c r="L431" s="116">
        <v>0</v>
      </c>
      <c r="M431" s="116">
        <v>720</v>
      </c>
      <c r="N431" s="129">
        <v>0</v>
      </c>
      <c r="O431" s="129">
        <f t="shared" si="149"/>
        <v>1</v>
      </c>
      <c r="P431" s="129">
        <f t="shared" si="150"/>
        <v>0</v>
      </c>
      <c r="Q431" s="117"/>
      <c r="R431" s="152" t="str">
        <f t="shared" si="148"/>
        <v>PTP</v>
      </c>
    </row>
    <row r="432" spans="1:18" s="152" customFormat="1" ht="15" customHeight="1">
      <c r="A432" s="153"/>
      <c r="B432" s="18">
        <f t="shared" si="152"/>
        <v>214</v>
      </c>
      <c r="C432" s="178" t="s">
        <v>1272</v>
      </c>
      <c r="D432" s="178" t="s">
        <v>2377</v>
      </c>
      <c r="E432" s="178" t="s">
        <v>1684</v>
      </c>
      <c r="F432" s="178" t="s">
        <v>2050</v>
      </c>
      <c r="G432" s="178">
        <v>2021</v>
      </c>
      <c r="H432" s="178" t="s">
        <v>524</v>
      </c>
      <c r="I432" s="178"/>
      <c r="J432" s="135"/>
      <c r="K432" s="116">
        <v>122.89999999999964</v>
      </c>
      <c r="L432" s="116">
        <v>0</v>
      </c>
      <c r="M432" s="116">
        <v>597.10000000000036</v>
      </c>
      <c r="N432" s="129">
        <f t="shared" si="151"/>
        <v>1</v>
      </c>
      <c r="O432" s="129">
        <f t="shared" si="149"/>
        <v>1</v>
      </c>
      <c r="P432" s="129">
        <f t="shared" si="150"/>
        <v>0.17069444444444393</v>
      </c>
      <c r="Q432" s="117"/>
      <c r="R432" s="152" t="str">
        <f t="shared" si="148"/>
        <v>PTP</v>
      </c>
    </row>
    <row r="433" spans="1:18" s="152" customFormat="1" ht="15" customHeight="1">
      <c r="A433" s="153"/>
      <c r="B433" s="18">
        <f t="shared" si="152"/>
        <v>215</v>
      </c>
      <c r="C433" s="178" t="s">
        <v>1272</v>
      </c>
      <c r="D433" s="178" t="s">
        <v>2378</v>
      </c>
      <c r="E433" s="178" t="s">
        <v>1677</v>
      </c>
      <c r="F433" s="178" t="s">
        <v>2379</v>
      </c>
      <c r="G433" s="178">
        <v>2022</v>
      </c>
      <c r="H433" s="178" t="s">
        <v>524</v>
      </c>
      <c r="I433" s="178"/>
      <c r="J433" s="135"/>
      <c r="K433" s="116">
        <v>0</v>
      </c>
      <c r="L433" s="116">
        <v>0</v>
      </c>
      <c r="M433" s="116">
        <v>720</v>
      </c>
      <c r="N433" s="129">
        <v>0</v>
      </c>
      <c r="O433" s="129">
        <f t="shared" si="149"/>
        <v>1</v>
      </c>
      <c r="P433" s="129">
        <f t="shared" si="150"/>
        <v>0</v>
      </c>
      <c r="Q433" s="117"/>
      <c r="R433" s="152" t="str">
        <f t="shared" si="148"/>
        <v>PTP</v>
      </c>
    </row>
    <row r="434" spans="1:18" s="152" customFormat="1" ht="15" customHeight="1">
      <c r="A434" s="153"/>
      <c r="B434" s="18">
        <f t="shared" si="152"/>
        <v>216</v>
      </c>
      <c r="C434" s="178" t="s">
        <v>1272</v>
      </c>
      <c r="D434" s="178" t="s">
        <v>1660</v>
      </c>
      <c r="E434" s="178" t="s">
        <v>1661</v>
      </c>
      <c r="F434" s="178" t="s">
        <v>2040</v>
      </c>
      <c r="G434" s="178">
        <v>1900</v>
      </c>
      <c r="H434" s="178" t="s">
        <v>524</v>
      </c>
      <c r="I434" s="178"/>
      <c r="J434" s="135"/>
      <c r="K434" s="116">
        <v>0</v>
      </c>
      <c r="L434" s="116">
        <v>1.0000000001164153</v>
      </c>
      <c r="M434" s="116">
        <v>718.99999999988358</v>
      </c>
      <c r="N434" s="129">
        <f t="shared" si="151"/>
        <v>0</v>
      </c>
      <c r="O434" s="129">
        <f t="shared" si="149"/>
        <v>0.99861111111094947</v>
      </c>
      <c r="P434" s="129">
        <f t="shared" si="150"/>
        <v>0</v>
      </c>
      <c r="Q434" s="117"/>
      <c r="R434" s="152" t="str">
        <f t="shared" si="148"/>
        <v>PTP</v>
      </c>
    </row>
    <row r="435" spans="1:18" s="152" customFormat="1" ht="15" customHeight="1">
      <c r="A435" s="153"/>
      <c r="B435" s="18">
        <f t="shared" si="152"/>
        <v>217</v>
      </c>
      <c r="C435" s="178" t="s">
        <v>1272</v>
      </c>
      <c r="D435" s="178" t="s">
        <v>1662</v>
      </c>
      <c r="E435" s="178" t="s">
        <v>1663</v>
      </c>
      <c r="F435" s="178" t="s">
        <v>2041</v>
      </c>
      <c r="G435" s="178">
        <v>1900</v>
      </c>
      <c r="H435" s="178" t="s">
        <v>524</v>
      </c>
      <c r="I435" s="178"/>
      <c r="J435" s="135"/>
      <c r="K435" s="116">
        <v>720</v>
      </c>
      <c r="L435" s="116">
        <v>12</v>
      </c>
      <c r="M435" s="116">
        <v>-12</v>
      </c>
      <c r="N435" s="129">
        <f t="shared" si="151"/>
        <v>0.98360655737704916</v>
      </c>
      <c r="O435" s="129">
        <f t="shared" si="149"/>
        <v>0.98333333333333328</v>
      </c>
      <c r="P435" s="129">
        <f t="shared" si="150"/>
        <v>1.0169491525423728</v>
      </c>
      <c r="Q435" s="117"/>
      <c r="R435" s="152" t="str">
        <f t="shared" si="148"/>
        <v>PTP</v>
      </c>
    </row>
    <row r="436" spans="1:18" s="152" customFormat="1" ht="15" customHeight="1">
      <c r="A436" s="153"/>
      <c r="B436" s="18">
        <f t="shared" si="152"/>
        <v>218</v>
      </c>
      <c r="C436" s="178" t="s">
        <v>1272</v>
      </c>
      <c r="D436" s="178" t="s">
        <v>1664</v>
      </c>
      <c r="E436" s="178" t="s">
        <v>1665</v>
      </c>
      <c r="F436" s="178" t="s">
        <v>2042</v>
      </c>
      <c r="G436" s="178">
        <v>1900</v>
      </c>
      <c r="H436" s="178" t="s">
        <v>524</v>
      </c>
      <c r="I436" s="178"/>
      <c r="J436" s="135"/>
      <c r="K436" s="116">
        <v>720</v>
      </c>
      <c r="L436" s="116">
        <v>0</v>
      </c>
      <c r="M436" s="116">
        <v>0</v>
      </c>
      <c r="N436" s="129">
        <f t="shared" si="151"/>
        <v>1</v>
      </c>
      <c r="O436" s="129">
        <f t="shared" si="149"/>
        <v>1</v>
      </c>
      <c r="P436" s="129">
        <f t="shared" si="150"/>
        <v>1</v>
      </c>
      <c r="Q436" s="117"/>
      <c r="R436" s="152" t="str">
        <f t="shared" si="148"/>
        <v>PTP</v>
      </c>
    </row>
    <row r="437" spans="1:18" s="152" customFormat="1" ht="15" customHeight="1">
      <c r="A437" s="153"/>
      <c r="B437" s="18">
        <f t="shared" si="152"/>
        <v>219</v>
      </c>
      <c r="C437" s="178" t="s">
        <v>1272</v>
      </c>
      <c r="D437" s="178" t="s">
        <v>1666</v>
      </c>
      <c r="E437" s="178" t="s">
        <v>1667</v>
      </c>
      <c r="F437" s="178" t="s">
        <v>2043</v>
      </c>
      <c r="G437" s="178">
        <v>1900</v>
      </c>
      <c r="H437" s="178" t="s">
        <v>524</v>
      </c>
      <c r="I437" s="178"/>
      <c r="J437" s="135"/>
      <c r="K437" s="116">
        <v>0</v>
      </c>
      <c r="L437" s="116">
        <v>0</v>
      </c>
      <c r="M437" s="116">
        <v>720</v>
      </c>
      <c r="N437" s="129">
        <v>0</v>
      </c>
      <c r="O437" s="129">
        <f t="shared" si="149"/>
        <v>1</v>
      </c>
      <c r="P437" s="129">
        <f t="shared" si="150"/>
        <v>0</v>
      </c>
      <c r="Q437" s="117"/>
      <c r="R437" s="152" t="str">
        <f t="shared" si="148"/>
        <v>PTP</v>
      </c>
    </row>
    <row r="438" spans="1:18" s="152" customFormat="1" ht="15" customHeight="1">
      <c r="A438" s="153"/>
      <c r="B438" s="18">
        <f t="shared" si="152"/>
        <v>220</v>
      </c>
      <c r="C438" s="178" t="s">
        <v>1272</v>
      </c>
      <c r="D438" s="178" t="s">
        <v>1668</v>
      </c>
      <c r="E438" s="178" t="s">
        <v>1663</v>
      </c>
      <c r="F438" s="178" t="s">
        <v>2041</v>
      </c>
      <c r="G438" s="178">
        <v>1900</v>
      </c>
      <c r="H438" s="178" t="s">
        <v>524</v>
      </c>
      <c r="I438" s="178"/>
      <c r="J438" s="135"/>
      <c r="K438" s="116">
        <v>0</v>
      </c>
      <c r="L438" s="116">
        <v>2.0000000000582077</v>
      </c>
      <c r="M438" s="116">
        <v>717.99999999994179</v>
      </c>
      <c r="N438" s="129">
        <f t="shared" si="151"/>
        <v>0</v>
      </c>
      <c r="O438" s="129">
        <f t="shared" si="149"/>
        <v>0.99722222222214141</v>
      </c>
      <c r="P438" s="129">
        <f t="shared" si="150"/>
        <v>0</v>
      </c>
      <c r="Q438" s="117"/>
      <c r="R438" s="152" t="str">
        <f t="shared" si="148"/>
        <v>PTP</v>
      </c>
    </row>
    <row r="439" spans="1:18" s="152" customFormat="1" ht="15" customHeight="1">
      <c r="A439" s="153"/>
      <c r="B439" s="18">
        <f t="shared" si="152"/>
        <v>221</v>
      </c>
      <c r="C439" s="178" t="s">
        <v>1272</v>
      </c>
      <c r="D439" s="178" t="s">
        <v>1669</v>
      </c>
      <c r="E439" s="178" t="s">
        <v>1670</v>
      </c>
      <c r="F439" s="178" t="s">
        <v>2044</v>
      </c>
      <c r="G439" s="178">
        <v>1900</v>
      </c>
      <c r="H439" s="178" t="s">
        <v>157</v>
      </c>
      <c r="I439" s="178"/>
      <c r="J439" s="135"/>
      <c r="K439" s="116">
        <v>0</v>
      </c>
      <c r="L439" s="116">
        <v>720</v>
      </c>
      <c r="M439" s="116">
        <v>0</v>
      </c>
      <c r="N439" s="129">
        <f t="shared" si="151"/>
        <v>0</v>
      </c>
      <c r="O439" s="129">
        <f t="shared" si="149"/>
        <v>0</v>
      </c>
      <c r="P439" s="129">
        <v>0</v>
      </c>
      <c r="Q439" s="117"/>
      <c r="R439" s="152" t="b">
        <f t="shared" si="148"/>
        <v>0</v>
      </c>
    </row>
    <row r="440" spans="1:18" s="152" customFormat="1" ht="15" customHeight="1">
      <c r="A440" s="153"/>
      <c r="B440" s="18">
        <f t="shared" si="152"/>
        <v>222</v>
      </c>
      <c r="C440" s="178" t="s">
        <v>1272</v>
      </c>
      <c r="D440" s="178" t="s">
        <v>1671</v>
      </c>
      <c r="E440" s="178" t="s">
        <v>1665</v>
      </c>
      <c r="F440" s="178" t="s">
        <v>2045</v>
      </c>
      <c r="G440" s="178">
        <v>1900</v>
      </c>
      <c r="H440" s="178" t="s">
        <v>524</v>
      </c>
      <c r="I440" s="178"/>
      <c r="J440" s="135"/>
      <c r="K440" s="116">
        <v>720</v>
      </c>
      <c r="L440" s="116">
        <v>0</v>
      </c>
      <c r="M440" s="116">
        <v>0</v>
      </c>
      <c r="N440" s="129">
        <f t="shared" si="151"/>
        <v>1</v>
      </c>
      <c r="O440" s="129">
        <f t="shared" si="149"/>
        <v>1</v>
      </c>
      <c r="P440" s="129">
        <f t="shared" si="150"/>
        <v>1</v>
      </c>
      <c r="Q440" s="117"/>
      <c r="R440" s="152" t="str">
        <f t="shared" si="148"/>
        <v>PTP</v>
      </c>
    </row>
    <row r="441" spans="1:18" s="152" customFormat="1" ht="15" customHeight="1">
      <c r="A441" s="153"/>
      <c r="B441" s="18">
        <f t="shared" si="152"/>
        <v>223</v>
      </c>
      <c r="C441" s="178" t="s">
        <v>1272</v>
      </c>
      <c r="D441" s="178" t="s">
        <v>1672</v>
      </c>
      <c r="E441" s="178" t="s">
        <v>1665</v>
      </c>
      <c r="F441" s="178" t="s">
        <v>2042</v>
      </c>
      <c r="G441" s="178">
        <v>1900</v>
      </c>
      <c r="H441" s="178" t="s">
        <v>524</v>
      </c>
      <c r="I441" s="178"/>
      <c r="J441" s="135"/>
      <c r="K441" s="116">
        <v>0</v>
      </c>
      <c r="L441" s="116">
        <v>0</v>
      </c>
      <c r="M441" s="116">
        <v>720</v>
      </c>
      <c r="N441" s="129">
        <v>0</v>
      </c>
      <c r="O441" s="129">
        <f t="shared" si="149"/>
        <v>1</v>
      </c>
      <c r="P441" s="129">
        <f t="shared" si="150"/>
        <v>0</v>
      </c>
      <c r="Q441" s="117"/>
      <c r="R441" s="152" t="str">
        <f t="shared" si="148"/>
        <v>PTP</v>
      </c>
    </row>
    <row r="442" spans="1:18" s="152" customFormat="1" ht="15" customHeight="1">
      <c r="A442" s="153"/>
      <c r="B442" s="18">
        <f t="shared" si="152"/>
        <v>224</v>
      </c>
      <c r="C442" s="178" t="s">
        <v>1272</v>
      </c>
      <c r="D442" s="178" t="s">
        <v>1673</v>
      </c>
      <c r="E442" s="178" t="s">
        <v>1674</v>
      </c>
      <c r="F442" s="178" t="s">
        <v>2046</v>
      </c>
      <c r="G442" s="178">
        <v>1900</v>
      </c>
      <c r="H442" s="178" t="s">
        <v>524</v>
      </c>
      <c r="I442" s="178"/>
      <c r="J442" s="135"/>
      <c r="K442" s="116">
        <v>0</v>
      </c>
      <c r="L442" s="116">
        <v>0</v>
      </c>
      <c r="M442" s="116">
        <v>720</v>
      </c>
      <c r="N442" s="129">
        <v>0</v>
      </c>
      <c r="O442" s="129">
        <f t="shared" si="149"/>
        <v>1</v>
      </c>
      <c r="P442" s="129">
        <f t="shared" si="150"/>
        <v>0</v>
      </c>
      <c r="Q442" s="117"/>
      <c r="R442" s="152" t="str">
        <f t="shared" si="148"/>
        <v>PTP</v>
      </c>
    </row>
    <row r="443" spans="1:18" s="152" customFormat="1" ht="15" customHeight="1">
      <c r="A443" s="153"/>
      <c r="B443" s="18">
        <f t="shared" si="152"/>
        <v>225</v>
      </c>
      <c r="C443" s="178" t="s">
        <v>1272</v>
      </c>
      <c r="D443" s="178" t="s">
        <v>1675</v>
      </c>
      <c r="E443" s="178" t="s">
        <v>1665</v>
      </c>
      <c r="F443" s="178" t="s">
        <v>2045</v>
      </c>
      <c r="G443" s="178">
        <v>1900</v>
      </c>
      <c r="H443" s="178" t="s">
        <v>524</v>
      </c>
      <c r="I443" s="178"/>
      <c r="J443" s="135"/>
      <c r="K443" s="116">
        <v>0</v>
      </c>
      <c r="L443" s="116">
        <v>0</v>
      </c>
      <c r="M443" s="116">
        <v>720</v>
      </c>
      <c r="N443" s="129">
        <v>0</v>
      </c>
      <c r="O443" s="129">
        <f t="shared" si="149"/>
        <v>1</v>
      </c>
      <c r="P443" s="129">
        <f t="shared" si="150"/>
        <v>0</v>
      </c>
      <c r="Q443" s="117"/>
      <c r="R443" s="152" t="str">
        <f t="shared" si="148"/>
        <v>PTP</v>
      </c>
    </row>
    <row r="444" spans="1:18" s="152" customFormat="1" ht="15" customHeight="1">
      <c r="A444" s="153"/>
      <c r="B444" s="18">
        <f t="shared" si="152"/>
        <v>226</v>
      </c>
      <c r="C444" s="178" t="s">
        <v>1272</v>
      </c>
      <c r="D444" s="178" t="s">
        <v>1676</v>
      </c>
      <c r="E444" s="178" t="s">
        <v>1677</v>
      </c>
      <c r="F444" s="178" t="s">
        <v>2047</v>
      </c>
      <c r="G444" s="178">
        <v>1900</v>
      </c>
      <c r="H444" s="178" t="s">
        <v>524</v>
      </c>
      <c r="I444" s="178"/>
      <c r="J444" s="135"/>
      <c r="K444" s="116">
        <v>0</v>
      </c>
      <c r="L444" s="116">
        <v>0</v>
      </c>
      <c r="M444" s="116">
        <v>720</v>
      </c>
      <c r="N444" s="129">
        <v>0</v>
      </c>
      <c r="O444" s="129">
        <f t="shared" si="149"/>
        <v>1</v>
      </c>
      <c r="P444" s="129">
        <f t="shared" si="150"/>
        <v>0</v>
      </c>
      <c r="Q444" s="117"/>
      <c r="R444" s="152" t="str">
        <f t="shared" si="148"/>
        <v>PTP</v>
      </c>
    </row>
    <row r="445" spans="1:18" s="152" customFormat="1" ht="15" customHeight="1">
      <c r="A445" s="153"/>
      <c r="B445" s="18">
        <f t="shared" si="152"/>
        <v>227</v>
      </c>
      <c r="C445" s="178" t="s">
        <v>1272</v>
      </c>
      <c r="D445" s="178" t="s">
        <v>1678</v>
      </c>
      <c r="E445" s="178" t="s">
        <v>1677</v>
      </c>
      <c r="F445" s="178" t="s">
        <v>2047</v>
      </c>
      <c r="G445" s="178">
        <v>1900</v>
      </c>
      <c r="H445" s="178" t="s">
        <v>524</v>
      </c>
      <c r="I445" s="178"/>
      <c r="J445" s="135"/>
      <c r="K445" s="116">
        <v>0</v>
      </c>
      <c r="L445" s="116">
        <v>0</v>
      </c>
      <c r="M445" s="116">
        <v>720</v>
      </c>
      <c r="N445" s="129">
        <v>0</v>
      </c>
      <c r="O445" s="129">
        <f t="shared" si="149"/>
        <v>1</v>
      </c>
      <c r="P445" s="129">
        <f t="shared" si="150"/>
        <v>0</v>
      </c>
      <c r="Q445" s="117"/>
      <c r="R445" s="152" t="str">
        <f t="shared" si="148"/>
        <v>PTP</v>
      </c>
    </row>
    <row r="446" spans="1:18" s="152" customFormat="1" ht="15" customHeight="1">
      <c r="A446" s="153"/>
      <c r="B446" s="18">
        <f t="shared" si="152"/>
        <v>228</v>
      </c>
      <c r="C446" s="178" t="s">
        <v>1272</v>
      </c>
      <c r="D446" s="178" t="s">
        <v>1679</v>
      </c>
      <c r="E446" s="178" t="s">
        <v>1680</v>
      </c>
      <c r="F446" s="178" t="s">
        <v>2048</v>
      </c>
      <c r="G446" s="178" t="s">
        <v>2207</v>
      </c>
      <c r="H446" s="178" t="s">
        <v>524</v>
      </c>
      <c r="I446" s="178"/>
      <c r="J446" s="135"/>
      <c r="K446" s="116">
        <v>0</v>
      </c>
      <c r="L446" s="116">
        <v>0</v>
      </c>
      <c r="M446" s="116">
        <v>720</v>
      </c>
      <c r="N446" s="129">
        <v>0</v>
      </c>
      <c r="O446" s="129">
        <f t="shared" si="149"/>
        <v>1</v>
      </c>
      <c r="P446" s="129">
        <f t="shared" si="150"/>
        <v>0</v>
      </c>
      <c r="Q446" s="117"/>
      <c r="R446" s="152" t="str">
        <f t="shared" si="148"/>
        <v>PTP</v>
      </c>
    </row>
    <row r="447" spans="1:18" s="152" customFormat="1" ht="15" customHeight="1">
      <c r="A447" s="153"/>
      <c r="B447" s="18">
        <f t="shared" si="152"/>
        <v>229</v>
      </c>
      <c r="C447" s="178" t="s">
        <v>1272</v>
      </c>
      <c r="D447" s="178" t="s">
        <v>1681</v>
      </c>
      <c r="E447" s="178" t="s">
        <v>1682</v>
      </c>
      <c r="F447" s="178" t="s">
        <v>2049</v>
      </c>
      <c r="G447" s="178" t="s">
        <v>2207</v>
      </c>
      <c r="H447" s="178" t="s">
        <v>524</v>
      </c>
      <c r="I447" s="178"/>
      <c r="J447" s="135"/>
      <c r="K447" s="116">
        <v>0</v>
      </c>
      <c r="L447" s="116">
        <v>0</v>
      </c>
      <c r="M447" s="116">
        <v>720</v>
      </c>
      <c r="N447" s="129">
        <v>0</v>
      </c>
      <c r="O447" s="129">
        <f t="shared" si="149"/>
        <v>1</v>
      </c>
      <c r="P447" s="129">
        <f t="shared" si="150"/>
        <v>0</v>
      </c>
      <c r="Q447" s="117"/>
      <c r="R447" s="152" t="str">
        <f t="shared" si="148"/>
        <v>PTP</v>
      </c>
    </row>
    <row r="448" spans="1:18" s="152" customFormat="1" ht="15" customHeight="1">
      <c r="A448" s="153"/>
      <c r="B448" s="18">
        <f t="shared" si="152"/>
        <v>230</v>
      </c>
      <c r="C448" s="178" t="s">
        <v>1272</v>
      </c>
      <c r="D448" s="178" t="s">
        <v>1683</v>
      </c>
      <c r="E448" s="178" t="s">
        <v>1684</v>
      </c>
      <c r="F448" s="178" t="s">
        <v>2050</v>
      </c>
      <c r="G448" s="178" t="s">
        <v>2207</v>
      </c>
      <c r="H448" s="178" t="s">
        <v>524</v>
      </c>
      <c r="I448" s="178"/>
      <c r="J448" s="135"/>
      <c r="K448" s="116">
        <v>0</v>
      </c>
      <c r="L448" s="116">
        <v>0</v>
      </c>
      <c r="M448" s="116">
        <v>720</v>
      </c>
      <c r="N448" s="129">
        <v>0</v>
      </c>
      <c r="O448" s="129">
        <f t="shared" si="149"/>
        <v>1</v>
      </c>
      <c r="P448" s="129">
        <f t="shared" si="150"/>
        <v>0</v>
      </c>
      <c r="Q448" s="117"/>
      <c r="R448" s="152" t="str">
        <f t="shared" si="148"/>
        <v>PTP</v>
      </c>
    </row>
    <row r="449" spans="1:18" s="152" customFormat="1" ht="15" customHeight="1">
      <c r="A449" s="153"/>
      <c r="B449" s="18">
        <f t="shared" si="152"/>
        <v>231</v>
      </c>
      <c r="C449" s="178" t="s">
        <v>1272</v>
      </c>
      <c r="D449" s="178" t="s">
        <v>1685</v>
      </c>
      <c r="E449" s="178" t="s">
        <v>1684</v>
      </c>
      <c r="F449" s="178" t="s">
        <v>2050</v>
      </c>
      <c r="G449" s="178" t="s">
        <v>2207</v>
      </c>
      <c r="H449" s="178" t="s">
        <v>524</v>
      </c>
      <c r="I449" s="178"/>
      <c r="J449" s="135"/>
      <c r="K449" s="116">
        <v>744</v>
      </c>
      <c r="L449" s="116">
        <v>2.0000000000582077</v>
      </c>
      <c r="M449" s="116">
        <v>-26.000000000058208</v>
      </c>
      <c r="N449" s="129">
        <f t="shared" si="151"/>
        <v>0.99731903485246909</v>
      </c>
      <c r="O449" s="129">
        <f t="shared" si="149"/>
        <v>0.99722222222214141</v>
      </c>
      <c r="P449" s="129">
        <f t="shared" si="150"/>
        <v>1.0362116991644295</v>
      </c>
      <c r="Q449" s="117"/>
      <c r="R449" s="152" t="str">
        <f t="shared" si="148"/>
        <v>PTP</v>
      </c>
    </row>
    <row r="450" spans="1:18" s="152" customFormat="1" ht="15" customHeight="1">
      <c r="A450" s="153"/>
      <c r="B450" s="18">
        <f t="shared" si="152"/>
        <v>232</v>
      </c>
      <c r="C450" s="178" t="s">
        <v>1272</v>
      </c>
      <c r="D450" s="178" t="s">
        <v>1686</v>
      </c>
      <c r="E450" s="178" t="s">
        <v>1687</v>
      </c>
      <c r="F450" s="178" t="s">
        <v>2051</v>
      </c>
      <c r="G450" s="178" t="s">
        <v>2207</v>
      </c>
      <c r="H450" s="178" t="s">
        <v>524</v>
      </c>
      <c r="I450" s="178"/>
      <c r="J450" s="135"/>
      <c r="K450" s="116">
        <v>0</v>
      </c>
      <c r="L450" s="116">
        <v>0</v>
      </c>
      <c r="M450" s="116">
        <v>720</v>
      </c>
      <c r="N450" s="129">
        <v>0</v>
      </c>
      <c r="O450" s="129">
        <f t="shared" si="149"/>
        <v>1</v>
      </c>
      <c r="P450" s="129">
        <f t="shared" si="150"/>
        <v>0</v>
      </c>
      <c r="Q450" s="117"/>
      <c r="R450" s="152" t="str">
        <f t="shared" si="148"/>
        <v>PTP</v>
      </c>
    </row>
    <row r="451" spans="1:18" s="152" customFormat="1" ht="15" customHeight="1">
      <c r="A451" s="153"/>
      <c r="B451" s="18">
        <f t="shared" si="152"/>
        <v>233</v>
      </c>
      <c r="C451" s="178" t="s">
        <v>1272</v>
      </c>
      <c r="D451" s="178" t="s">
        <v>2380</v>
      </c>
      <c r="E451" s="178" t="s">
        <v>2381</v>
      </c>
      <c r="F451" s="178" t="s">
        <v>2351</v>
      </c>
      <c r="G451" s="178" t="s">
        <v>2207</v>
      </c>
      <c r="H451" s="178" t="s">
        <v>524</v>
      </c>
      <c r="I451" s="178"/>
      <c r="J451" s="135"/>
      <c r="K451" s="116">
        <v>0</v>
      </c>
      <c r="L451" s="116">
        <v>0</v>
      </c>
      <c r="M451" s="116">
        <v>720</v>
      </c>
      <c r="N451" s="129">
        <v>0</v>
      </c>
      <c r="O451" s="129">
        <f t="shared" si="149"/>
        <v>1</v>
      </c>
      <c r="P451" s="129">
        <f t="shared" si="150"/>
        <v>0</v>
      </c>
      <c r="Q451" s="117"/>
      <c r="R451" s="152" t="str">
        <f t="shared" si="148"/>
        <v>PTP</v>
      </c>
    </row>
    <row r="452" spans="1:18" s="152" customFormat="1" ht="15" customHeight="1">
      <c r="A452" s="153"/>
      <c r="B452" s="18">
        <f t="shared" si="152"/>
        <v>234</v>
      </c>
      <c r="C452" s="178" t="s">
        <v>1272</v>
      </c>
      <c r="D452" s="178" t="s">
        <v>2382</v>
      </c>
      <c r="E452" s="178" t="s">
        <v>2381</v>
      </c>
      <c r="F452" s="178" t="s">
        <v>2351</v>
      </c>
      <c r="G452" s="178" t="s">
        <v>2207</v>
      </c>
      <c r="H452" s="178" t="s">
        <v>524</v>
      </c>
      <c r="I452" s="178"/>
      <c r="J452" s="135"/>
      <c r="K452" s="116">
        <v>0</v>
      </c>
      <c r="L452" s="116">
        <v>0</v>
      </c>
      <c r="M452" s="116">
        <v>720</v>
      </c>
      <c r="N452" s="129">
        <v>0</v>
      </c>
      <c r="O452" s="129">
        <f t="shared" si="149"/>
        <v>1</v>
      </c>
      <c r="P452" s="129">
        <f t="shared" si="150"/>
        <v>0</v>
      </c>
      <c r="Q452" s="117"/>
      <c r="R452" s="152" t="str">
        <f t="shared" si="148"/>
        <v>PTP</v>
      </c>
    </row>
    <row r="453" spans="1:18" s="152" customFormat="1" ht="15" customHeight="1">
      <c r="A453" s="153"/>
      <c r="B453" s="18">
        <f t="shared" si="152"/>
        <v>235</v>
      </c>
      <c r="C453" s="178" t="s">
        <v>1272</v>
      </c>
      <c r="D453" s="188" t="s">
        <v>2383</v>
      </c>
      <c r="E453" s="178" t="s">
        <v>2381</v>
      </c>
      <c r="F453" s="178" t="s">
        <v>2351</v>
      </c>
      <c r="G453" s="178" t="s">
        <v>2207</v>
      </c>
      <c r="H453" s="178" t="s">
        <v>524</v>
      </c>
      <c r="I453" s="178"/>
      <c r="J453" s="135"/>
      <c r="K453" s="116">
        <v>99.899999999999636</v>
      </c>
      <c r="L453" s="116">
        <v>1.0000000001164153</v>
      </c>
      <c r="M453" s="116">
        <v>619.09999999988395</v>
      </c>
      <c r="N453" s="129">
        <f t="shared" si="151"/>
        <v>0.99008919722383282</v>
      </c>
      <c r="O453" s="129">
        <f t="shared" si="149"/>
        <v>0.99861111111094947</v>
      </c>
      <c r="P453" s="129">
        <f t="shared" si="150"/>
        <v>0.13894297635607206</v>
      </c>
      <c r="Q453" s="117"/>
      <c r="R453" s="152" t="str">
        <f t="shared" si="148"/>
        <v>PTP</v>
      </c>
    </row>
    <row r="454" spans="1:18" s="152" customFormat="1" ht="15" customHeight="1">
      <c r="A454" s="153"/>
      <c r="B454" s="18">
        <f t="shared" si="152"/>
        <v>236</v>
      </c>
      <c r="C454" s="178" t="s">
        <v>1272</v>
      </c>
      <c r="D454" s="178" t="s">
        <v>2384</v>
      </c>
      <c r="E454" s="178" t="s">
        <v>2381</v>
      </c>
      <c r="F454" s="178" t="s">
        <v>2351</v>
      </c>
      <c r="G454" s="178" t="s">
        <v>2207</v>
      </c>
      <c r="H454" s="178" t="s">
        <v>524</v>
      </c>
      <c r="I454" s="178"/>
      <c r="J454" s="135"/>
      <c r="K454" s="116">
        <v>0</v>
      </c>
      <c r="L454" s="116">
        <v>0.99999999994179234</v>
      </c>
      <c r="M454" s="116">
        <v>719.00000000005821</v>
      </c>
      <c r="N454" s="129">
        <f t="shared" si="151"/>
        <v>0</v>
      </c>
      <c r="O454" s="129">
        <f t="shared" si="149"/>
        <v>0.99861111111119194</v>
      </c>
      <c r="P454" s="129">
        <f t="shared" si="150"/>
        <v>0</v>
      </c>
      <c r="Q454" s="117"/>
      <c r="R454" s="152" t="str">
        <f t="shared" si="148"/>
        <v>PTP</v>
      </c>
    </row>
    <row r="455" spans="1:18" s="152" customFormat="1" ht="15" customHeight="1">
      <c r="A455" s="153"/>
      <c r="B455" s="18">
        <f t="shared" si="152"/>
        <v>237</v>
      </c>
      <c r="C455" s="178" t="s">
        <v>1272</v>
      </c>
      <c r="D455" s="178" t="s">
        <v>2385</v>
      </c>
      <c r="E455" s="178" t="s">
        <v>1677</v>
      </c>
      <c r="F455" s="178" t="s">
        <v>2379</v>
      </c>
      <c r="G455" s="178" t="s">
        <v>2207</v>
      </c>
      <c r="H455" s="178" t="s">
        <v>524</v>
      </c>
      <c r="I455" s="178"/>
      <c r="J455" s="135"/>
      <c r="K455" s="116">
        <v>0</v>
      </c>
      <c r="L455" s="116">
        <v>0</v>
      </c>
      <c r="M455" s="116">
        <v>720</v>
      </c>
      <c r="N455" s="129">
        <v>0</v>
      </c>
      <c r="O455" s="129">
        <f t="shared" si="149"/>
        <v>1</v>
      </c>
      <c r="P455" s="129">
        <f t="shared" si="150"/>
        <v>0</v>
      </c>
      <c r="Q455" s="117"/>
      <c r="R455" s="152" t="str">
        <f t="shared" si="148"/>
        <v>PTP</v>
      </c>
    </row>
    <row r="456" spans="1:18" s="152" customFormat="1" ht="15" customHeight="1">
      <c r="A456" s="153"/>
      <c r="B456" s="18">
        <f t="shared" si="152"/>
        <v>238</v>
      </c>
      <c r="C456" s="178" t="s">
        <v>1272</v>
      </c>
      <c r="D456" s="178" t="s">
        <v>2386</v>
      </c>
      <c r="E456" s="178" t="s">
        <v>2387</v>
      </c>
      <c r="F456" s="178" t="s">
        <v>2388</v>
      </c>
      <c r="G456" s="178" t="s">
        <v>2207</v>
      </c>
      <c r="H456" s="178" t="s">
        <v>524</v>
      </c>
      <c r="I456" s="178"/>
      <c r="J456" s="135"/>
      <c r="K456" s="116">
        <v>0</v>
      </c>
      <c r="L456" s="116">
        <v>0</v>
      </c>
      <c r="M456" s="116">
        <v>720</v>
      </c>
      <c r="N456" s="129">
        <v>0</v>
      </c>
      <c r="O456" s="129">
        <f t="shared" si="149"/>
        <v>1</v>
      </c>
      <c r="P456" s="129">
        <f t="shared" si="150"/>
        <v>0</v>
      </c>
      <c r="Q456" s="117"/>
      <c r="R456" s="152" t="str">
        <f t="shared" si="148"/>
        <v>PTP</v>
      </c>
    </row>
    <row r="457" spans="1:18" s="152" customFormat="1" ht="15" customHeight="1">
      <c r="A457" s="153"/>
      <c r="B457" s="18">
        <f t="shared" si="152"/>
        <v>239</v>
      </c>
      <c r="C457" s="178" t="s">
        <v>1272</v>
      </c>
      <c r="D457" s="178" t="s">
        <v>2389</v>
      </c>
      <c r="E457" s="178">
        <v>0</v>
      </c>
      <c r="F457" s="178" t="s">
        <v>2376</v>
      </c>
      <c r="G457" s="178" t="s">
        <v>2207</v>
      </c>
      <c r="H457" s="178" t="s">
        <v>524</v>
      </c>
      <c r="I457" s="178"/>
      <c r="J457" s="135"/>
      <c r="K457" s="116">
        <v>0</v>
      </c>
      <c r="L457" s="116">
        <v>0</v>
      </c>
      <c r="M457" s="116">
        <v>720</v>
      </c>
      <c r="N457" s="129">
        <v>0</v>
      </c>
      <c r="O457" s="129">
        <f t="shared" si="149"/>
        <v>1</v>
      </c>
      <c r="P457" s="129">
        <f t="shared" si="150"/>
        <v>0</v>
      </c>
      <c r="Q457" s="117"/>
      <c r="R457" s="152" t="str">
        <f t="shared" si="148"/>
        <v>PTP</v>
      </c>
    </row>
    <row r="458" spans="1:18" s="152" customFormat="1" ht="15" customHeight="1">
      <c r="A458" s="153"/>
      <c r="B458" s="18">
        <f t="shared" si="152"/>
        <v>240</v>
      </c>
      <c r="C458" s="178" t="s">
        <v>1272</v>
      </c>
      <c r="D458" s="178" t="s">
        <v>1688</v>
      </c>
      <c r="E458" s="178" t="s">
        <v>1698</v>
      </c>
      <c r="F458" s="178" t="s">
        <v>2052</v>
      </c>
      <c r="G458" s="178" t="s">
        <v>2207</v>
      </c>
      <c r="H458" s="178" t="s">
        <v>1689</v>
      </c>
      <c r="I458" s="178"/>
      <c r="J458" s="135"/>
      <c r="K458" s="116">
        <v>0</v>
      </c>
      <c r="L458" s="116">
        <v>0</v>
      </c>
      <c r="M458" s="116">
        <v>720</v>
      </c>
      <c r="N458" s="129">
        <v>0</v>
      </c>
      <c r="O458" s="129">
        <f t="shared" si="149"/>
        <v>1</v>
      </c>
      <c r="P458" s="129">
        <f t="shared" si="150"/>
        <v>0</v>
      </c>
      <c r="Q458" s="117"/>
      <c r="R458" s="152" t="str">
        <f t="shared" si="148"/>
        <v>PTP</v>
      </c>
    </row>
    <row r="459" spans="1:18" s="152" customFormat="1" ht="15" customHeight="1">
      <c r="A459" s="153"/>
      <c r="B459" s="18">
        <f t="shared" si="152"/>
        <v>241</v>
      </c>
      <c r="C459" s="178" t="s">
        <v>1272</v>
      </c>
      <c r="D459" s="178" t="s">
        <v>1690</v>
      </c>
      <c r="E459" s="178" t="s">
        <v>1691</v>
      </c>
      <c r="F459" s="178" t="s">
        <v>2052</v>
      </c>
      <c r="G459" s="178" t="s">
        <v>2207</v>
      </c>
      <c r="H459" s="178" t="s">
        <v>1689</v>
      </c>
      <c r="I459" s="178"/>
      <c r="J459" s="135"/>
      <c r="K459" s="116">
        <v>0</v>
      </c>
      <c r="L459" s="116">
        <v>0</v>
      </c>
      <c r="M459" s="116">
        <v>720</v>
      </c>
      <c r="N459" s="129">
        <v>0</v>
      </c>
      <c r="O459" s="129">
        <f t="shared" si="149"/>
        <v>1</v>
      </c>
      <c r="P459" s="129">
        <f t="shared" si="150"/>
        <v>0</v>
      </c>
      <c r="Q459" s="117"/>
      <c r="R459" s="152" t="str">
        <f t="shared" si="148"/>
        <v>PTP</v>
      </c>
    </row>
    <row r="460" spans="1:18" s="152" customFormat="1" ht="15" customHeight="1">
      <c r="A460" s="153"/>
      <c r="B460" s="18">
        <f t="shared" si="152"/>
        <v>242</v>
      </c>
      <c r="C460" s="178" t="s">
        <v>1272</v>
      </c>
      <c r="D460" s="178" t="s">
        <v>1692</v>
      </c>
      <c r="E460" s="178" t="s">
        <v>1698</v>
      </c>
      <c r="F460" s="178" t="s">
        <v>2053</v>
      </c>
      <c r="G460" s="178" t="s">
        <v>2207</v>
      </c>
      <c r="H460" s="178" t="s">
        <v>1689</v>
      </c>
      <c r="I460" s="178"/>
      <c r="J460" s="135"/>
      <c r="K460" s="116">
        <v>0</v>
      </c>
      <c r="L460" s="116">
        <v>0</v>
      </c>
      <c r="M460" s="116">
        <v>720</v>
      </c>
      <c r="N460" s="129">
        <v>0</v>
      </c>
      <c r="O460" s="129">
        <f t="shared" si="149"/>
        <v>1</v>
      </c>
      <c r="P460" s="129">
        <f t="shared" si="150"/>
        <v>0</v>
      </c>
      <c r="Q460" s="117"/>
      <c r="R460" s="152" t="str">
        <f t="shared" si="148"/>
        <v>PTP</v>
      </c>
    </row>
    <row r="461" spans="1:18" s="152" customFormat="1" ht="15" customHeight="1">
      <c r="A461" s="153"/>
      <c r="B461" s="18">
        <f t="shared" si="152"/>
        <v>243</v>
      </c>
      <c r="C461" s="178" t="s">
        <v>1272</v>
      </c>
      <c r="D461" s="178" t="s">
        <v>1693</v>
      </c>
      <c r="E461" s="178" t="s">
        <v>1698</v>
      </c>
      <c r="F461" s="178" t="s">
        <v>2053</v>
      </c>
      <c r="G461" s="178" t="s">
        <v>2207</v>
      </c>
      <c r="H461" s="178" t="s">
        <v>1689</v>
      </c>
      <c r="I461" s="178"/>
      <c r="J461" s="135"/>
      <c r="K461" s="116">
        <v>0</v>
      </c>
      <c r="L461" s="116">
        <v>0</v>
      </c>
      <c r="M461" s="116">
        <v>720</v>
      </c>
      <c r="N461" s="129">
        <v>0</v>
      </c>
      <c r="O461" s="129">
        <f t="shared" si="149"/>
        <v>1</v>
      </c>
      <c r="P461" s="129">
        <f t="shared" si="150"/>
        <v>0</v>
      </c>
      <c r="Q461" s="117"/>
      <c r="R461" s="152" t="str">
        <f t="shared" si="148"/>
        <v>PTP</v>
      </c>
    </row>
    <row r="462" spans="1:18" s="152" customFormat="1" ht="15" customHeight="1">
      <c r="A462" s="153"/>
      <c r="B462" s="18">
        <f t="shared" si="152"/>
        <v>244</v>
      </c>
      <c r="C462" s="178" t="s">
        <v>1272</v>
      </c>
      <c r="D462" s="178" t="s">
        <v>1694</v>
      </c>
      <c r="E462" s="178" t="s">
        <v>1695</v>
      </c>
      <c r="F462" s="178" t="s">
        <v>2053</v>
      </c>
      <c r="G462" s="178" t="s">
        <v>2207</v>
      </c>
      <c r="H462" s="178" t="s">
        <v>1689</v>
      </c>
      <c r="I462" s="178"/>
      <c r="J462" s="135"/>
      <c r="K462" s="116">
        <v>0</v>
      </c>
      <c r="L462" s="116">
        <v>0</v>
      </c>
      <c r="M462" s="116">
        <v>720</v>
      </c>
      <c r="N462" s="129">
        <v>0</v>
      </c>
      <c r="O462" s="129">
        <f t="shared" si="149"/>
        <v>1</v>
      </c>
      <c r="P462" s="129">
        <f t="shared" si="150"/>
        <v>0</v>
      </c>
      <c r="Q462" s="117"/>
      <c r="R462" s="152" t="str">
        <f t="shared" si="148"/>
        <v>PTP</v>
      </c>
    </row>
    <row r="463" spans="1:18" s="152" customFormat="1" ht="15" customHeight="1">
      <c r="A463" s="153"/>
      <c r="B463" s="18">
        <f t="shared" si="152"/>
        <v>245</v>
      </c>
      <c r="C463" s="178" t="s">
        <v>1272</v>
      </c>
      <c r="D463" s="178" t="s">
        <v>1697</v>
      </c>
      <c r="E463" s="178" t="s">
        <v>1698</v>
      </c>
      <c r="F463" s="178" t="s">
        <v>2054</v>
      </c>
      <c r="G463" s="178" t="s">
        <v>2207</v>
      </c>
      <c r="H463" s="178" t="s">
        <v>2206</v>
      </c>
      <c r="I463" s="178"/>
      <c r="J463" s="135"/>
      <c r="K463" s="116">
        <v>0</v>
      </c>
      <c r="L463" s="116">
        <v>0</v>
      </c>
      <c r="M463" s="116">
        <v>720</v>
      </c>
      <c r="N463" s="129">
        <v>0</v>
      </c>
      <c r="O463" s="129">
        <f t="shared" si="149"/>
        <v>1</v>
      </c>
      <c r="P463" s="129">
        <f t="shared" si="150"/>
        <v>0</v>
      </c>
      <c r="Q463" s="117"/>
      <c r="R463" s="152" t="str">
        <f t="shared" si="148"/>
        <v>PTP</v>
      </c>
    </row>
    <row r="464" spans="1:18" s="152" customFormat="1" ht="15" customHeight="1">
      <c r="A464" s="153"/>
      <c r="B464" s="18">
        <f t="shared" si="152"/>
        <v>246</v>
      </c>
      <c r="C464" s="178" t="s">
        <v>1272</v>
      </c>
      <c r="D464" s="178" t="s">
        <v>1699</v>
      </c>
      <c r="E464" s="178" t="s">
        <v>1698</v>
      </c>
      <c r="F464" s="178" t="s">
        <v>2054</v>
      </c>
      <c r="G464" s="178" t="s">
        <v>2207</v>
      </c>
      <c r="H464" s="178" t="s">
        <v>2206</v>
      </c>
      <c r="I464" s="178"/>
      <c r="J464" s="135"/>
      <c r="K464" s="116">
        <v>0</v>
      </c>
      <c r="L464" s="116">
        <v>0</v>
      </c>
      <c r="M464" s="116">
        <v>720</v>
      </c>
      <c r="N464" s="129">
        <v>0</v>
      </c>
      <c r="O464" s="129">
        <f t="shared" si="149"/>
        <v>1</v>
      </c>
      <c r="P464" s="129">
        <f t="shared" si="150"/>
        <v>0</v>
      </c>
      <c r="Q464" s="117"/>
      <c r="R464" s="152" t="str">
        <f t="shared" si="148"/>
        <v>PTP</v>
      </c>
    </row>
    <row r="465" spans="1:22" s="152" customFormat="1" ht="15" customHeight="1">
      <c r="A465" s="153"/>
      <c r="B465" s="18">
        <f t="shared" si="152"/>
        <v>247</v>
      </c>
      <c r="C465" s="178" t="s">
        <v>1272</v>
      </c>
      <c r="D465" s="178" t="s">
        <v>1700</v>
      </c>
      <c r="E465" s="178" t="s">
        <v>1698</v>
      </c>
      <c r="F465" s="178" t="s">
        <v>2054</v>
      </c>
      <c r="G465" s="178" t="s">
        <v>2207</v>
      </c>
      <c r="H465" s="178" t="s">
        <v>2206</v>
      </c>
      <c r="I465" s="178"/>
      <c r="J465" s="135"/>
      <c r="K465" s="116">
        <v>0</v>
      </c>
      <c r="L465" s="116">
        <v>0</v>
      </c>
      <c r="M465" s="116">
        <v>720</v>
      </c>
      <c r="N465" s="129">
        <v>0</v>
      </c>
      <c r="O465" s="129">
        <f t="shared" si="149"/>
        <v>1</v>
      </c>
      <c r="P465" s="129">
        <f t="shared" si="150"/>
        <v>0</v>
      </c>
      <c r="Q465" s="117"/>
      <c r="R465" s="152" t="str">
        <f t="shared" si="148"/>
        <v>PTP</v>
      </c>
    </row>
    <row r="466" spans="1:22" s="152" customFormat="1" ht="15" customHeight="1">
      <c r="A466" s="153"/>
      <c r="B466" s="18">
        <f t="shared" si="152"/>
        <v>248</v>
      </c>
      <c r="C466" s="178" t="s">
        <v>1272</v>
      </c>
      <c r="D466" s="178" t="s">
        <v>1701</v>
      </c>
      <c r="E466" s="178" t="s">
        <v>1698</v>
      </c>
      <c r="F466" s="178" t="s">
        <v>2054</v>
      </c>
      <c r="G466" s="178" t="s">
        <v>2207</v>
      </c>
      <c r="H466" s="178" t="s">
        <v>2206</v>
      </c>
      <c r="I466" s="178"/>
      <c r="J466" s="135"/>
      <c r="K466" s="116">
        <v>0</v>
      </c>
      <c r="L466" s="116">
        <v>0</v>
      </c>
      <c r="M466" s="116">
        <v>720</v>
      </c>
      <c r="N466" s="129">
        <v>0</v>
      </c>
      <c r="O466" s="129">
        <f t="shared" si="149"/>
        <v>1</v>
      </c>
      <c r="P466" s="129">
        <f t="shared" si="150"/>
        <v>0</v>
      </c>
      <c r="Q466" s="117"/>
      <c r="R466" s="152" t="str">
        <f t="shared" si="148"/>
        <v>PTP</v>
      </c>
    </row>
    <row r="467" spans="1:22" s="152" customFormat="1" ht="15" customHeight="1">
      <c r="A467" s="153"/>
      <c r="B467" s="18">
        <f t="shared" si="152"/>
        <v>249</v>
      </c>
      <c r="C467" s="178" t="s">
        <v>1272</v>
      </c>
      <c r="D467" s="178" t="s">
        <v>1702</v>
      </c>
      <c r="E467" s="178" t="s">
        <v>1703</v>
      </c>
      <c r="F467" s="178" t="s">
        <v>2055</v>
      </c>
      <c r="G467" s="178" t="s">
        <v>2207</v>
      </c>
      <c r="H467" s="178" t="s">
        <v>2206</v>
      </c>
      <c r="I467" s="178"/>
      <c r="J467" s="135"/>
      <c r="K467" s="116">
        <v>0</v>
      </c>
      <c r="L467" s="116">
        <v>0</v>
      </c>
      <c r="M467" s="116">
        <v>720</v>
      </c>
      <c r="N467" s="129">
        <v>0</v>
      </c>
      <c r="O467" s="129">
        <f t="shared" si="149"/>
        <v>1</v>
      </c>
      <c r="P467" s="129">
        <f t="shared" si="150"/>
        <v>0</v>
      </c>
      <c r="Q467" s="117"/>
      <c r="R467" s="152" t="str">
        <f t="shared" si="148"/>
        <v>PTP</v>
      </c>
    </row>
    <row r="468" spans="1:22" s="152" customFormat="1" ht="15" customHeight="1">
      <c r="A468" s="153"/>
      <c r="B468" s="18">
        <f t="shared" si="152"/>
        <v>250</v>
      </c>
      <c r="C468" s="178" t="s">
        <v>1272</v>
      </c>
      <c r="D468" s="178" t="s">
        <v>1696</v>
      </c>
      <c r="E468" s="178" t="s">
        <v>2105</v>
      </c>
      <c r="F468" s="178" t="s">
        <v>2106</v>
      </c>
      <c r="G468" s="178" t="s">
        <v>2207</v>
      </c>
      <c r="H468" s="178" t="s">
        <v>2206</v>
      </c>
      <c r="I468" s="178"/>
      <c r="J468" s="135"/>
      <c r="K468" s="116">
        <v>0</v>
      </c>
      <c r="L468" s="116">
        <v>0</v>
      </c>
      <c r="M468" s="116">
        <v>720</v>
      </c>
      <c r="N468" s="129">
        <v>0</v>
      </c>
      <c r="O468" s="129">
        <f t="shared" si="149"/>
        <v>1</v>
      </c>
      <c r="P468" s="129">
        <f t="shared" si="150"/>
        <v>0</v>
      </c>
      <c r="Q468" s="117"/>
      <c r="R468" s="152" t="str">
        <f t="shared" si="148"/>
        <v>PTP</v>
      </c>
    </row>
    <row r="469" spans="1:22" s="152" customFormat="1" ht="15" customHeight="1">
      <c r="A469" s="153"/>
      <c r="B469" s="18">
        <f t="shared" si="152"/>
        <v>251</v>
      </c>
      <c r="C469" s="178" t="s">
        <v>1272</v>
      </c>
      <c r="D469" s="178" t="s">
        <v>2390</v>
      </c>
      <c r="E469" s="178" t="s">
        <v>2391</v>
      </c>
      <c r="F469" s="178" t="s">
        <v>2392</v>
      </c>
      <c r="G469" s="178" t="s">
        <v>2207</v>
      </c>
      <c r="H469" s="178" t="s">
        <v>1706</v>
      </c>
      <c r="I469" s="178"/>
      <c r="J469" s="135"/>
      <c r="K469" s="116">
        <v>0</v>
      </c>
      <c r="L469" s="116">
        <v>0</v>
      </c>
      <c r="M469" s="116">
        <v>720</v>
      </c>
      <c r="N469" s="129">
        <v>0</v>
      </c>
      <c r="O469" s="129">
        <f t="shared" si="149"/>
        <v>1</v>
      </c>
      <c r="P469" s="129">
        <f t="shared" si="150"/>
        <v>0</v>
      </c>
      <c r="Q469" s="117"/>
      <c r="R469" s="152" t="str">
        <f t="shared" si="148"/>
        <v>PTP</v>
      </c>
    </row>
    <row r="470" spans="1:22" s="152" customFormat="1" ht="15" customHeight="1">
      <c r="A470" s="153"/>
      <c r="B470" s="18">
        <f t="shared" si="152"/>
        <v>252</v>
      </c>
      <c r="C470" s="178" t="s">
        <v>1272</v>
      </c>
      <c r="D470" s="178" t="s">
        <v>2393</v>
      </c>
      <c r="E470" s="178" t="s">
        <v>2394</v>
      </c>
      <c r="F470" s="178" t="s">
        <v>2395</v>
      </c>
      <c r="G470" s="178" t="s">
        <v>2207</v>
      </c>
      <c r="H470" s="178" t="s">
        <v>1706</v>
      </c>
      <c r="I470" s="178"/>
      <c r="J470" s="135"/>
      <c r="K470" s="116">
        <v>0</v>
      </c>
      <c r="L470" s="116">
        <v>0</v>
      </c>
      <c r="M470" s="116">
        <v>720</v>
      </c>
      <c r="N470" s="129">
        <v>0</v>
      </c>
      <c r="O470" s="129">
        <f t="shared" si="149"/>
        <v>1</v>
      </c>
      <c r="P470" s="129">
        <f t="shared" si="150"/>
        <v>0</v>
      </c>
      <c r="Q470" s="117"/>
      <c r="R470" s="152" t="str">
        <f t="shared" si="148"/>
        <v>PTP</v>
      </c>
    </row>
    <row r="471" spans="1:22" s="152" customFormat="1" ht="15" customHeight="1">
      <c r="A471" s="153"/>
      <c r="B471" s="18">
        <f t="shared" si="152"/>
        <v>253</v>
      </c>
      <c r="C471" s="178" t="s">
        <v>1272</v>
      </c>
      <c r="D471" s="178" t="s">
        <v>2396</v>
      </c>
      <c r="E471" s="178" t="s">
        <v>2397</v>
      </c>
      <c r="F471" s="178" t="s">
        <v>2398</v>
      </c>
      <c r="G471" s="178" t="s">
        <v>2207</v>
      </c>
      <c r="H471" s="178" t="s">
        <v>1706</v>
      </c>
      <c r="I471" s="178"/>
      <c r="J471" s="135"/>
      <c r="K471" s="116">
        <v>0</v>
      </c>
      <c r="L471" s="116">
        <v>0</v>
      </c>
      <c r="M471" s="116">
        <v>720</v>
      </c>
      <c r="N471" s="129">
        <v>0</v>
      </c>
      <c r="O471" s="129">
        <f t="shared" si="149"/>
        <v>1</v>
      </c>
      <c r="P471" s="129">
        <f t="shared" si="150"/>
        <v>0</v>
      </c>
      <c r="Q471" s="117"/>
      <c r="R471" s="152" t="str">
        <f t="shared" si="148"/>
        <v>PTP</v>
      </c>
    </row>
    <row r="472" spans="1:22" s="152" customFormat="1" ht="15" customHeight="1">
      <c r="A472" s="153"/>
      <c r="B472" s="18">
        <f t="shared" si="152"/>
        <v>254</v>
      </c>
      <c r="C472" s="178" t="s">
        <v>1272</v>
      </c>
      <c r="D472" s="178" t="s">
        <v>2399</v>
      </c>
      <c r="E472" s="178" t="s">
        <v>2400</v>
      </c>
      <c r="F472" s="178" t="s">
        <v>2401</v>
      </c>
      <c r="G472" s="178" t="s">
        <v>2207</v>
      </c>
      <c r="H472" s="178" t="s">
        <v>1706</v>
      </c>
      <c r="I472" s="178"/>
      <c r="J472" s="135"/>
      <c r="K472" s="116">
        <v>0</v>
      </c>
      <c r="L472" s="116">
        <v>0</v>
      </c>
      <c r="M472" s="116">
        <v>720</v>
      </c>
      <c r="N472" s="129">
        <v>0</v>
      </c>
      <c r="O472" s="129">
        <f t="shared" si="149"/>
        <v>1</v>
      </c>
      <c r="P472" s="129">
        <f t="shared" si="150"/>
        <v>0</v>
      </c>
      <c r="Q472" s="117"/>
      <c r="R472" s="152" t="str">
        <f t="shared" si="148"/>
        <v>PTP</v>
      </c>
    </row>
    <row r="473" spans="1:22" s="152" customFormat="1" ht="15" customHeight="1">
      <c r="A473" s="153"/>
      <c r="B473" s="18">
        <f t="shared" si="152"/>
        <v>255</v>
      </c>
      <c r="C473" s="178" t="s">
        <v>1272</v>
      </c>
      <c r="D473" s="178" t="s">
        <v>2402</v>
      </c>
      <c r="E473" s="178" t="s">
        <v>1722</v>
      </c>
      <c r="F473" s="178" t="s">
        <v>2403</v>
      </c>
      <c r="G473" s="178" t="s">
        <v>2207</v>
      </c>
      <c r="H473" s="178" t="s">
        <v>1706</v>
      </c>
      <c r="I473" s="178"/>
      <c r="J473" s="135"/>
      <c r="K473" s="116">
        <v>0</v>
      </c>
      <c r="L473" s="116">
        <v>0</v>
      </c>
      <c r="M473" s="116">
        <v>720</v>
      </c>
      <c r="N473" s="129">
        <v>0</v>
      </c>
      <c r="O473" s="129">
        <f t="shared" si="149"/>
        <v>1</v>
      </c>
      <c r="P473" s="129">
        <f t="shared" si="150"/>
        <v>0</v>
      </c>
      <c r="Q473" s="117"/>
      <c r="R473" s="152" t="str">
        <f t="shared" ref="R473:R566" si="153">IF(O473&gt;89.9999999999999%,"PTP")</f>
        <v>PTP</v>
      </c>
    </row>
    <row r="474" spans="1:22" s="152" customFormat="1" ht="15" customHeight="1">
      <c r="A474" s="153"/>
      <c r="B474" s="18">
        <f t="shared" si="152"/>
        <v>256</v>
      </c>
      <c r="C474" s="178" t="s">
        <v>1272</v>
      </c>
      <c r="D474" s="178" t="s">
        <v>2404</v>
      </c>
      <c r="E474" s="178" t="s">
        <v>2391</v>
      </c>
      <c r="F474" s="178" t="s">
        <v>2401</v>
      </c>
      <c r="G474" s="178" t="s">
        <v>2207</v>
      </c>
      <c r="H474" s="178" t="s">
        <v>1706</v>
      </c>
      <c r="I474" s="178"/>
      <c r="J474" s="135"/>
      <c r="K474" s="116">
        <v>0</v>
      </c>
      <c r="L474" s="116">
        <v>0</v>
      </c>
      <c r="M474" s="116">
        <v>720</v>
      </c>
      <c r="N474" s="129">
        <v>0</v>
      </c>
      <c r="O474" s="129">
        <f t="shared" si="149"/>
        <v>1</v>
      </c>
      <c r="P474" s="129">
        <f t="shared" si="150"/>
        <v>0</v>
      </c>
      <c r="Q474" s="117"/>
      <c r="R474" s="152" t="str">
        <f t="shared" si="153"/>
        <v>PTP</v>
      </c>
    </row>
    <row r="475" spans="1:22" s="152" customFormat="1" ht="15" customHeight="1">
      <c r="A475" s="153"/>
      <c r="B475" s="18">
        <f t="shared" si="152"/>
        <v>257</v>
      </c>
      <c r="C475" s="178" t="s">
        <v>1272</v>
      </c>
      <c r="D475" s="178" t="s">
        <v>2405</v>
      </c>
      <c r="E475" s="178" t="s">
        <v>2406</v>
      </c>
      <c r="F475" s="178" t="s">
        <v>2395</v>
      </c>
      <c r="G475" s="178" t="s">
        <v>2207</v>
      </c>
      <c r="H475" s="178" t="s">
        <v>1706</v>
      </c>
      <c r="I475" s="178"/>
      <c r="J475" s="135"/>
      <c r="K475" s="116">
        <v>0</v>
      </c>
      <c r="L475" s="116">
        <v>0</v>
      </c>
      <c r="M475" s="116">
        <v>720</v>
      </c>
      <c r="N475" s="129">
        <v>0</v>
      </c>
      <c r="O475" s="129">
        <f t="shared" si="149"/>
        <v>1</v>
      </c>
      <c r="P475" s="129">
        <f t="shared" si="150"/>
        <v>0</v>
      </c>
      <c r="Q475" s="117"/>
      <c r="R475" s="152" t="str">
        <f t="shared" si="153"/>
        <v>PTP</v>
      </c>
    </row>
    <row r="476" spans="1:22" s="152" customFormat="1" ht="15" customHeight="1">
      <c r="A476" s="153"/>
      <c r="B476" s="18">
        <f t="shared" si="152"/>
        <v>258</v>
      </c>
      <c r="C476" s="178" t="s">
        <v>1272</v>
      </c>
      <c r="D476" s="178" t="s">
        <v>2407</v>
      </c>
      <c r="E476" s="178" t="s">
        <v>2391</v>
      </c>
      <c r="F476" s="178" t="s">
        <v>2401</v>
      </c>
      <c r="G476" s="178" t="s">
        <v>2207</v>
      </c>
      <c r="H476" s="178" t="s">
        <v>1706</v>
      </c>
      <c r="I476" s="178"/>
      <c r="J476" s="135"/>
      <c r="K476" s="116">
        <v>0</v>
      </c>
      <c r="L476" s="116">
        <v>0</v>
      </c>
      <c r="M476" s="116">
        <v>720</v>
      </c>
      <c r="N476" s="129">
        <v>0</v>
      </c>
      <c r="O476" s="129">
        <f t="shared" ref="O476:O539" si="154">+(K476+M476)/(K476+L476+M476)</f>
        <v>1</v>
      </c>
      <c r="P476" s="129">
        <f t="shared" ref="P476:P539" si="155">+K476/(K476+M476)</f>
        <v>0</v>
      </c>
      <c r="Q476" s="117"/>
      <c r="R476" s="152" t="str">
        <f t="shared" si="153"/>
        <v>PTP</v>
      </c>
    </row>
    <row r="477" spans="1:22" s="152" customFormat="1" ht="15" customHeight="1">
      <c r="A477" s="153"/>
      <c r="B477" s="18">
        <f t="shared" si="152"/>
        <v>259</v>
      </c>
      <c r="C477" s="178" t="s">
        <v>1272</v>
      </c>
      <c r="D477" s="178" t="s">
        <v>2408</v>
      </c>
      <c r="E477" s="178" t="s">
        <v>2409</v>
      </c>
      <c r="F477" s="178" t="s">
        <v>2410</v>
      </c>
      <c r="G477" s="178" t="s">
        <v>2207</v>
      </c>
      <c r="H477" s="178" t="s">
        <v>1706</v>
      </c>
      <c r="I477" s="178"/>
      <c r="J477" s="135"/>
      <c r="K477" s="116">
        <v>0</v>
      </c>
      <c r="L477" s="116">
        <v>0</v>
      </c>
      <c r="M477" s="116">
        <v>720</v>
      </c>
      <c r="N477" s="129">
        <v>0</v>
      </c>
      <c r="O477" s="129">
        <f t="shared" si="154"/>
        <v>1</v>
      </c>
      <c r="P477" s="129">
        <f t="shared" si="155"/>
        <v>0</v>
      </c>
      <c r="Q477" s="117"/>
      <c r="R477" s="152" t="str">
        <f t="shared" si="153"/>
        <v>PTP</v>
      </c>
    </row>
    <row r="478" spans="1:22" s="152" customFormat="1" ht="15" customHeight="1">
      <c r="A478" s="153"/>
      <c r="B478" s="18">
        <f t="shared" si="152"/>
        <v>260</v>
      </c>
      <c r="C478" s="178" t="s">
        <v>1272</v>
      </c>
      <c r="D478" s="178" t="s">
        <v>2411</v>
      </c>
      <c r="E478" s="178" t="s">
        <v>1724</v>
      </c>
      <c r="F478" s="178" t="s">
        <v>2392</v>
      </c>
      <c r="G478" s="178" t="s">
        <v>2207</v>
      </c>
      <c r="H478" s="178" t="s">
        <v>1706</v>
      </c>
      <c r="I478" s="178"/>
      <c r="J478" s="135"/>
      <c r="K478" s="116">
        <v>0</v>
      </c>
      <c r="L478" s="116">
        <v>0</v>
      </c>
      <c r="M478" s="116">
        <v>720</v>
      </c>
      <c r="N478" s="129">
        <v>0</v>
      </c>
      <c r="O478" s="129">
        <f t="shared" si="154"/>
        <v>1</v>
      </c>
      <c r="P478" s="129">
        <f t="shared" si="155"/>
        <v>0</v>
      </c>
      <c r="Q478" s="117"/>
      <c r="R478" s="152" t="str">
        <f t="shared" si="153"/>
        <v>PTP</v>
      </c>
    </row>
    <row r="479" spans="1:22" s="152" customFormat="1" ht="15" customHeight="1">
      <c r="A479" s="153"/>
      <c r="B479" s="18">
        <f t="shared" si="152"/>
        <v>261</v>
      </c>
      <c r="C479" s="178" t="s">
        <v>1272</v>
      </c>
      <c r="D479" s="178" t="s">
        <v>2412</v>
      </c>
      <c r="E479" s="178" t="s">
        <v>2413</v>
      </c>
      <c r="F479" s="178" t="s">
        <v>2414</v>
      </c>
      <c r="G479" s="178" t="s">
        <v>2207</v>
      </c>
      <c r="H479" s="178" t="s">
        <v>1706</v>
      </c>
      <c r="I479" s="178"/>
      <c r="J479" s="135"/>
      <c r="K479" s="116">
        <v>0</v>
      </c>
      <c r="L479" s="116">
        <v>0</v>
      </c>
      <c r="M479" s="116">
        <v>720</v>
      </c>
      <c r="N479" s="129">
        <v>0</v>
      </c>
      <c r="O479" s="129">
        <f t="shared" si="154"/>
        <v>1</v>
      </c>
      <c r="P479" s="129">
        <f t="shared" si="155"/>
        <v>0</v>
      </c>
      <c r="Q479" s="117"/>
      <c r="R479" s="152" t="str">
        <f t="shared" si="153"/>
        <v>PTP</v>
      </c>
    </row>
    <row r="480" spans="1:22" s="152" customFormat="1" ht="15" customHeight="1">
      <c r="A480" s="153"/>
      <c r="B480" s="18">
        <f t="shared" si="152"/>
        <v>262</v>
      </c>
      <c r="C480" s="178" t="s">
        <v>1272</v>
      </c>
      <c r="D480" s="178" t="s">
        <v>2415</v>
      </c>
      <c r="E480" s="178" t="s">
        <v>2413</v>
      </c>
      <c r="F480" s="178" t="s">
        <v>2414</v>
      </c>
      <c r="G480" s="178" t="s">
        <v>2207</v>
      </c>
      <c r="H480" s="178" t="s">
        <v>1706</v>
      </c>
      <c r="I480" s="178"/>
      <c r="J480" s="135"/>
      <c r="K480" s="116">
        <v>0</v>
      </c>
      <c r="L480" s="116">
        <v>0</v>
      </c>
      <c r="M480" s="116">
        <v>720</v>
      </c>
      <c r="N480" s="129">
        <v>0</v>
      </c>
      <c r="O480" s="129">
        <f t="shared" si="154"/>
        <v>1</v>
      </c>
      <c r="P480" s="129">
        <f t="shared" si="155"/>
        <v>0</v>
      </c>
      <c r="Q480" s="117"/>
      <c r="R480" s="152" t="str">
        <f t="shared" si="153"/>
        <v>PTP</v>
      </c>
      <c r="V480" s="4"/>
    </row>
    <row r="481" spans="1:18" s="152" customFormat="1" ht="15" customHeight="1">
      <c r="A481" s="153"/>
      <c r="B481" s="18">
        <f t="shared" si="152"/>
        <v>263</v>
      </c>
      <c r="C481" s="178" t="s">
        <v>1272</v>
      </c>
      <c r="D481" s="178" t="s">
        <v>2416</v>
      </c>
      <c r="E481" s="178" t="s">
        <v>2417</v>
      </c>
      <c r="F481" s="178" t="s">
        <v>2418</v>
      </c>
      <c r="G481" s="178" t="s">
        <v>2207</v>
      </c>
      <c r="H481" s="178" t="s">
        <v>1706</v>
      </c>
      <c r="I481" s="178"/>
      <c r="J481" s="135"/>
      <c r="K481" s="116">
        <v>0</v>
      </c>
      <c r="L481" s="116">
        <v>0</v>
      </c>
      <c r="M481" s="116">
        <v>720</v>
      </c>
      <c r="N481" s="129">
        <v>0</v>
      </c>
      <c r="O481" s="129">
        <f t="shared" si="154"/>
        <v>1</v>
      </c>
      <c r="P481" s="129">
        <f t="shared" si="155"/>
        <v>0</v>
      </c>
      <c r="Q481" s="117"/>
      <c r="R481" s="152" t="str">
        <f t="shared" si="153"/>
        <v>PTP</v>
      </c>
    </row>
    <row r="482" spans="1:18" s="152" customFormat="1" ht="15" customHeight="1">
      <c r="A482" s="153"/>
      <c r="B482" s="18">
        <f t="shared" si="152"/>
        <v>264</v>
      </c>
      <c r="C482" s="178" t="s">
        <v>1272</v>
      </c>
      <c r="D482" s="178" t="s">
        <v>2419</v>
      </c>
      <c r="E482" s="178">
        <v>0</v>
      </c>
      <c r="F482" s="178" t="s">
        <v>2420</v>
      </c>
      <c r="G482" s="178" t="s">
        <v>2207</v>
      </c>
      <c r="H482" s="178" t="s">
        <v>1706</v>
      </c>
      <c r="I482" s="178"/>
      <c r="J482" s="135"/>
      <c r="K482" s="116">
        <v>0</v>
      </c>
      <c r="L482" s="116">
        <v>0</v>
      </c>
      <c r="M482" s="116">
        <v>720</v>
      </c>
      <c r="N482" s="129">
        <v>0</v>
      </c>
      <c r="O482" s="129">
        <f t="shared" si="154"/>
        <v>1</v>
      </c>
      <c r="P482" s="129">
        <f t="shared" si="155"/>
        <v>0</v>
      </c>
      <c r="Q482" s="117"/>
      <c r="R482" s="152" t="str">
        <f t="shared" si="153"/>
        <v>PTP</v>
      </c>
    </row>
    <row r="483" spans="1:18" s="152" customFormat="1" ht="15" customHeight="1">
      <c r="A483" s="153"/>
      <c r="B483" s="18">
        <f t="shared" si="152"/>
        <v>265</v>
      </c>
      <c r="C483" s="178" t="s">
        <v>1272</v>
      </c>
      <c r="D483" s="178" t="s">
        <v>2421</v>
      </c>
      <c r="E483" s="178" t="s">
        <v>1724</v>
      </c>
      <c r="F483" s="178" t="s">
        <v>2422</v>
      </c>
      <c r="G483" s="178" t="s">
        <v>2207</v>
      </c>
      <c r="H483" s="178" t="s">
        <v>234</v>
      </c>
      <c r="I483" s="178"/>
      <c r="J483" s="135"/>
      <c r="K483" s="116">
        <v>0</v>
      </c>
      <c r="L483" s="116">
        <v>0</v>
      </c>
      <c r="M483" s="116">
        <v>720</v>
      </c>
      <c r="N483" s="129">
        <v>0</v>
      </c>
      <c r="O483" s="129">
        <f t="shared" si="154"/>
        <v>1</v>
      </c>
      <c r="P483" s="129">
        <f t="shared" si="155"/>
        <v>0</v>
      </c>
      <c r="Q483" s="117"/>
      <c r="R483" s="152" t="str">
        <f t="shared" si="153"/>
        <v>PTP</v>
      </c>
    </row>
    <row r="484" spans="1:18" s="152" customFormat="1" ht="15" customHeight="1">
      <c r="A484" s="153"/>
      <c r="B484" s="18">
        <f t="shared" ref="B484:B547" si="156">+B483+1</f>
        <v>266</v>
      </c>
      <c r="C484" s="178" t="s">
        <v>1272</v>
      </c>
      <c r="D484" s="178" t="s">
        <v>1704</v>
      </c>
      <c r="E484" s="178" t="s">
        <v>1705</v>
      </c>
      <c r="F484" s="178" t="s">
        <v>2056</v>
      </c>
      <c r="G484" s="178" t="s">
        <v>2207</v>
      </c>
      <c r="H484" s="178" t="s">
        <v>1706</v>
      </c>
      <c r="I484" s="178"/>
      <c r="J484" s="135"/>
      <c r="K484" s="116">
        <v>0</v>
      </c>
      <c r="L484" s="116">
        <v>0</v>
      </c>
      <c r="M484" s="116">
        <v>720</v>
      </c>
      <c r="N484" s="129">
        <v>0</v>
      </c>
      <c r="O484" s="129">
        <f t="shared" si="154"/>
        <v>1</v>
      </c>
      <c r="P484" s="129">
        <f t="shared" si="155"/>
        <v>0</v>
      </c>
      <c r="Q484" s="117"/>
      <c r="R484" s="152" t="str">
        <f t="shared" si="153"/>
        <v>PTP</v>
      </c>
    </row>
    <row r="485" spans="1:18" s="152" customFormat="1" ht="15" customHeight="1">
      <c r="A485" s="153"/>
      <c r="B485" s="18">
        <f t="shared" si="156"/>
        <v>267</v>
      </c>
      <c r="C485" s="178" t="s">
        <v>1272</v>
      </c>
      <c r="D485" s="178" t="s">
        <v>1707</v>
      </c>
      <c r="E485" s="178" t="s">
        <v>1708</v>
      </c>
      <c r="F485" s="178" t="s">
        <v>2057</v>
      </c>
      <c r="G485" s="178" t="s">
        <v>2207</v>
      </c>
      <c r="H485" s="178" t="s">
        <v>1706</v>
      </c>
      <c r="I485" s="178"/>
      <c r="J485" s="135"/>
      <c r="K485" s="116">
        <v>0</v>
      </c>
      <c r="L485" s="116">
        <v>0</v>
      </c>
      <c r="M485" s="116">
        <v>720</v>
      </c>
      <c r="N485" s="129">
        <v>0</v>
      </c>
      <c r="O485" s="129">
        <f t="shared" si="154"/>
        <v>1</v>
      </c>
      <c r="P485" s="129">
        <f t="shared" si="155"/>
        <v>0</v>
      </c>
      <c r="Q485" s="117"/>
      <c r="R485" s="152" t="str">
        <f t="shared" si="153"/>
        <v>PTP</v>
      </c>
    </row>
    <row r="486" spans="1:18" s="152" customFormat="1" ht="15" customHeight="1">
      <c r="A486" s="153"/>
      <c r="B486" s="18">
        <f t="shared" si="156"/>
        <v>268</v>
      </c>
      <c r="C486" s="178" t="s">
        <v>1272</v>
      </c>
      <c r="D486" s="178" t="s">
        <v>1709</v>
      </c>
      <c r="E486" s="178" t="s">
        <v>1710</v>
      </c>
      <c r="F486" s="178" t="s">
        <v>2058</v>
      </c>
      <c r="G486" s="178" t="s">
        <v>2207</v>
      </c>
      <c r="H486" s="178" t="s">
        <v>1706</v>
      </c>
      <c r="I486" s="178"/>
      <c r="J486" s="135"/>
      <c r="K486" s="116">
        <v>0</v>
      </c>
      <c r="L486" s="116">
        <v>0</v>
      </c>
      <c r="M486" s="116">
        <v>720</v>
      </c>
      <c r="N486" s="129">
        <v>0</v>
      </c>
      <c r="O486" s="129">
        <f t="shared" si="154"/>
        <v>1</v>
      </c>
      <c r="P486" s="129">
        <f t="shared" si="155"/>
        <v>0</v>
      </c>
      <c r="Q486" s="117"/>
      <c r="R486" s="152" t="str">
        <f t="shared" si="153"/>
        <v>PTP</v>
      </c>
    </row>
    <row r="487" spans="1:18" s="152" customFormat="1" ht="15" customHeight="1">
      <c r="A487" s="153"/>
      <c r="B487" s="18">
        <f t="shared" si="156"/>
        <v>269</v>
      </c>
      <c r="C487" s="178" t="s">
        <v>1272</v>
      </c>
      <c r="D487" s="178" t="s">
        <v>1711</v>
      </c>
      <c r="E487" s="178" t="s">
        <v>1712</v>
      </c>
      <c r="F487" s="178" t="s">
        <v>2059</v>
      </c>
      <c r="G487" s="178" t="s">
        <v>2207</v>
      </c>
      <c r="H487" s="178" t="s">
        <v>1706</v>
      </c>
      <c r="I487" s="178"/>
      <c r="J487" s="135"/>
      <c r="K487" s="116">
        <v>0</v>
      </c>
      <c r="L487" s="116">
        <v>0</v>
      </c>
      <c r="M487" s="116">
        <v>720</v>
      </c>
      <c r="N487" s="129">
        <v>0</v>
      </c>
      <c r="O487" s="129">
        <f t="shared" si="154"/>
        <v>1</v>
      </c>
      <c r="P487" s="129">
        <f t="shared" si="155"/>
        <v>0</v>
      </c>
      <c r="Q487" s="117"/>
      <c r="R487" s="152" t="str">
        <f t="shared" si="153"/>
        <v>PTP</v>
      </c>
    </row>
    <row r="488" spans="1:18" s="152" customFormat="1" ht="15" customHeight="1">
      <c r="A488" s="153"/>
      <c r="B488" s="18">
        <f t="shared" si="156"/>
        <v>270</v>
      </c>
      <c r="C488" s="178" t="s">
        <v>1272</v>
      </c>
      <c r="D488" s="178" t="s">
        <v>1713</v>
      </c>
      <c r="E488" s="178" t="s">
        <v>1712</v>
      </c>
      <c r="F488" s="178" t="s">
        <v>2059</v>
      </c>
      <c r="G488" s="178" t="s">
        <v>2207</v>
      </c>
      <c r="H488" s="178" t="s">
        <v>1706</v>
      </c>
      <c r="I488" s="178"/>
      <c r="J488" s="135"/>
      <c r="K488" s="116">
        <v>0</v>
      </c>
      <c r="L488" s="116">
        <v>0</v>
      </c>
      <c r="M488" s="116">
        <v>720</v>
      </c>
      <c r="N488" s="129">
        <v>0</v>
      </c>
      <c r="O488" s="129">
        <f t="shared" si="154"/>
        <v>1</v>
      </c>
      <c r="P488" s="129">
        <f t="shared" si="155"/>
        <v>0</v>
      </c>
      <c r="Q488" s="117"/>
      <c r="R488" s="152" t="str">
        <f t="shared" si="153"/>
        <v>PTP</v>
      </c>
    </row>
    <row r="489" spans="1:18" s="152" customFormat="1" ht="15" customHeight="1">
      <c r="A489" s="153"/>
      <c r="B489" s="18">
        <f t="shared" si="156"/>
        <v>271</v>
      </c>
      <c r="C489" s="178" t="s">
        <v>1272</v>
      </c>
      <c r="D489" s="178" t="s">
        <v>1714</v>
      </c>
      <c r="E489" s="178" t="s">
        <v>1715</v>
      </c>
      <c r="F489" s="178" t="s">
        <v>2060</v>
      </c>
      <c r="G489" s="178" t="s">
        <v>2207</v>
      </c>
      <c r="H489" s="178" t="s">
        <v>1706</v>
      </c>
      <c r="I489" s="178"/>
      <c r="J489" s="135"/>
      <c r="K489" s="116">
        <v>0</v>
      </c>
      <c r="L489" s="116">
        <v>0</v>
      </c>
      <c r="M489" s="116">
        <v>720</v>
      </c>
      <c r="N489" s="129">
        <v>0</v>
      </c>
      <c r="O489" s="129">
        <f t="shared" si="154"/>
        <v>1</v>
      </c>
      <c r="P489" s="129">
        <f t="shared" si="155"/>
        <v>0</v>
      </c>
      <c r="Q489" s="117"/>
      <c r="R489" s="152" t="str">
        <f t="shared" si="153"/>
        <v>PTP</v>
      </c>
    </row>
    <row r="490" spans="1:18" s="152" customFormat="1" ht="15" customHeight="1">
      <c r="A490" s="153"/>
      <c r="B490" s="18">
        <f t="shared" si="156"/>
        <v>272</v>
      </c>
      <c r="C490" s="178" t="s">
        <v>1272</v>
      </c>
      <c r="D490" s="178" t="s">
        <v>1716</v>
      </c>
      <c r="E490" s="178" t="s">
        <v>1717</v>
      </c>
      <c r="F490" s="178" t="s">
        <v>2060</v>
      </c>
      <c r="G490" s="178" t="s">
        <v>2207</v>
      </c>
      <c r="H490" s="178" t="s">
        <v>1706</v>
      </c>
      <c r="I490" s="178"/>
      <c r="J490" s="135"/>
      <c r="K490" s="116">
        <v>0</v>
      </c>
      <c r="L490" s="116">
        <v>0</v>
      </c>
      <c r="M490" s="116">
        <v>720</v>
      </c>
      <c r="N490" s="129">
        <v>0</v>
      </c>
      <c r="O490" s="129">
        <f t="shared" si="154"/>
        <v>1</v>
      </c>
      <c r="P490" s="129">
        <f t="shared" si="155"/>
        <v>0</v>
      </c>
      <c r="Q490" s="117"/>
      <c r="R490" s="152" t="str">
        <f t="shared" si="153"/>
        <v>PTP</v>
      </c>
    </row>
    <row r="491" spans="1:18" s="152" customFormat="1" ht="15" customHeight="1">
      <c r="A491" s="153"/>
      <c r="B491" s="18">
        <f t="shared" si="156"/>
        <v>273</v>
      </c>
      <c r="C491" s="178" t="s">
        <v>1272</v>
      </c>
      <c r="D491" s="178" t="s">
        <v>1718</v>
      </c>
      <c r="E491" s="178" t="s">
        <v>1708</v>
      </c>
      <c r="F491" s="178" t="s">
        <v>2057</v>
      </c>
      <c r="G491" s="178" t="s">
        <v>2207</v>
      </c>
      <c r="H491" s="178" t="s">
        <v>1706</v>
      </c>
      <c r="I491" s="178"/>
      <c r="J491" s="135"/>
      <c r="K491" s="116">
        <v>0</v>
      </c>
      <c r="L491" s="116">
        <v>0</v>
      </c>
      <c r="M491" s="116">
        <v>720</v>
      </c>
      <c r="N491" s="129">
        <v>0</v>
      </c>
      <c r="O491" s="129">
        <f t="shared" si="154"/>
        <v>1</v>
      </c>
      <c r="P491" s="129">
        <f t="shared" si="155"/>
        <v>0</v>
      </c>
      <c r="Q491" s="117"/>
      <c r="R491" s="152" t="str">
        <f t="shared" si="153"/>
        <v>PTP</v>
      </c>
    </row>
    <row r="492" spans="1:18" s="152" customFormat="1" ht="15" customHeight="1">
      <c r="A492" s="153"/>
      <c r="B492" s="18">
        <f t="shared" si="156"/>
        <v>274</v>
      </c>
      <c r="C492" s="178" t="s">
        <v>1272</v>
      </c>
      <c r="D492" s="178" t="s">
        <v>1719</v>
      </c>
      <c r="E492" s="178" t="s">
        <v>1720</v>
      </c>
      <c r="F492" s="178" t="s">
        <v>2061</v>
      </c>
      <c r="G492" s="178" t="s">
        <v>2207</v>
      </c>
      <c r="H492" s="178" t="s">
        <v>1706</v>
      </c>
      <c r="I492" s="178"/>
      <c r="J492" s="135"/>
      <c r="K492" s="116">
        <v>0</v>
      </c>
      <c r="L492" s="116">
        <v>0</v>
      </c>
      <c r="M492" s="116">
        <v>720</v>
      </c>
      <c r="N492" s="129">
        <v>0</v>
      </c>
      <c r="O492" s="129">
        <f t="shared" si="154"/>
        <v>1</v>
      </c>
      <c r="P492" s="129">
        <f t="shared" si="155"/>
        <v>0</v>
      </c>
      <c r="Q492" s="117"/>
      <c r="R492" s="152" t="str">
        <f t="shared" si="153"/>
        <v>PTP</v>
      </c>
    </row>
    <row r="493" spans="1:18" s="152" customFormat="1" ht="15" customHeight="1">
      <c r="A493" s="153"/>
      <c r="B493" s="18">
        <f t="shared" si="156"/>
        <v>275</v>
      </c>
      <c r="C493" s="178" t="s">
        <v>1272</v>
      </c>
      <c r="D493" s="178" t="s">
        <v>1721</v>
      </c>
      <c r="E493" s="178" t="s">
        <v>1722</v>
      </c>
      <c r="F493" s="178" t="s">
        <v>2062</v>
      </c>
      <c r="G493" s="178" t="s">
        <v>2207</v>
      </c>
      <c r="H493" s="178" t="s">
        <v>1706</v>
      </c>
      <c r="I493" s="178"/>
      <c r="J493" s="135"/>
      <c r="K493" s="116">
        <v>0</v>
      </c>
      <c r="L493" s="116">
        <v>0</v>
      </c>
      <c r="M493" s="116">
        <v>720</v>
      </c>
      <c r="N493" s="129">
        <v>0</v>
      </c>
      <c r="O493" s="129">
        <f t="shared" si="154"/>
        <v>1</v>
      </c>
      <c r="P493" s="129">
        <f t="shared" si="155"/>
        <v>0</v>
      </c>
      <c r="Q493" s="117"/>
      <c r="R493" s="152" t="str">
        <f t="shared" si="153"/>
        <v>PTP</v>
      </c>
    </row>
    <row r="494" spans="1:18" s="152" customFormat="1" ht="15" customHeight="1">
      <c r="A494" s="153"/>
      <c r="B494" s="18">
        <f t="shared" si="156"/>
        <v>276</v>
      </c>
      <c r="C494" s="178" t="s">
        <v>1272</v>
      </c>
      <c r="D494" s="178" t="s">
        <v>1723</v>
      </c>
      <c r="E494" s="178" t="s">
        <v>1724</v>
      </c>
      <c r="F494" s="178" t="s">
        <v>2062</v>
      </c>
      <c r="G494" s="178" t="s">
        <v>2207</v>
      </c>
      <c r="H494" s="178" t="s">
        <v>1706</v>
      </c>
      <c r="I494" s="178"/>
      <c r="J494" s="135"/>
      <c r="K494" s="116">
        <v>0</v>
      </c>
      <c r="L494" s="116">
        <v>0</v>
      </c>
      <c r="M494" s="116">
        <v>720</v>
      </c>
      <c r="N494" s="129">
        <v>0</v>
      </c>
      <c r="O494" s="129">
        <f t="shared" si="154"/>
        <v>1</v>
      </c>
      <c r="P494" s="129">
        <f t="shared" si="155"/>
        <v>0</v>
      </c>
      <c r="Q494" s="117"/>
      <c r="R494" s="152" t="str">
        <f t="shared" si="153"/>
        <v>PTP</v>
      </c>
    </row>
    <row r="495" spans="1:18" s="152" customFormat="1" ht="15" customHeight="1">
      <c r="A495" s="153"/>
      <c r="B495" s="18">
        <f t="shared" si="156"/>
        <v>277</v>
      </c>
      <c r="C495" s="178" t="s">
        <v>1272</v>
      </c>
      <c r="D495" s="178" t="s">
        <v>1725</v>
      </c>
      <c r="E495" s="178" t="s">
        <v>1717</v>
      </c>
      <c r="F495" s="178" t="s">
        <v>2060</v>
      </c>
      <c r="G495" s="178" t="s">
        <v>2207</v>
      </c>
      <c r="H495" s="178" t="s">
        <v>1706</v>
      </c>
      <c r="I495" s="178"/>
      <c r="J495" s="135"/>
      <c r="K495" s="116">
        <v>0</v>
      </c>
      <c r="L495" s="116">
        <v>0</v>
      </c>
      <c r="M495" s="116">
        <v>720</v>
      </c>
      <c r="N495" s="129">
        <v>0</v>
      </c>
      <c r="O495" s="129">
        <f t="shared" si="154"/>
        <v>1</v>
      </c>
      <c r="P495" s="129">
        <f t="shared" si="155"/>
        <v>0</v>
      </c>
      <c r="Q495" s="117"/>
      <c r="R495" s="152" t="str">
        <f t="shared" si="153"/>
        <v>PTP</v>
      </c>
    </row>
    <row r="496" spans="1:18" s="152" customFormat="1" ht="15" customHeight="1">
      <c r="A496" s="153"/>
      <c r="B496" s="18">
        <f t="shared" si="156"/>
        <v>278</v>
      </c>
      <c r="C496" s="178" t="s">
        <v>1272</v>
      </c>
      <c r="D496" s="178" t="s">
        <v>2423</v>
      </c>
      <c r="E496" s="178" t="s">
        <v>2424</v>
      </c>
      <c r="F496" s="178" t="s">
        <v>2425</v>
      </c>
      <c r="G496" s="178" t="s">
        <v>2207</v>
      </c>
      <c r="H496" s="178" t="s">
        <v>1706</v>
      </c>
      <c r="I496" s="178"/>
      <c r="J496" s="135"/>
      <c r="K496" s="116">
        <v>0</v>
      </c>
      <c r="L496" s="116">
        <v>0</v>
      </c>
      <c r="M496" s="116">
        <v>720</v>
      </c>
      <c r="N496" s="129">
        <v>0</v>
      </c>
      <c r="O496" s="129">
        <f t="shared" si="154"/>
        <v>1</v>
      </c>
      <c r="P496" s="129">
        <f t="shared" si="155"/>
        <v>0</v>
      </c>
      <c r="Q496" s="117"/>
      <c r="R496" s="152" t="str">
        <f t="shared" si="153"/>
        <v>PTP</v>
      </c>
    </row>
    <row r="497" spans="1:18" s="152" customFormat="1" ht="15" customHeight="1">
      <c r="A497" s="153"/>
      <c r="B497" s="18">
        <f t="shared" si="156"/>
        <v>279</v>
      </c>
      <c r="C497" s="178" t="s">
        <v>1272</v>
      </c>
      <c r="D497" s="178" t="s">
        <v>2426</v>
      </c>
      <c r="E497" s="178" t="s">
        <v>2427</v>
      </c>
      <c r="F497" s="178" t="s">
        <v>2428</v>
      </c>
      <c r="G497" s="178" t="s">
        <v>2207</v>
      </c>
      <c r="H497" s="178" t="s">
        <v>1706</v>
      </c>
      <c r="I497" s="178"/>
      <c r="J497" s="135"/>
      <c r="K497" s="116">
        <v>0</v>
      </c>
      <c r="L497" s="116">
        <v>0</v>
      </c>
      <c r="M497" s="116">
        <v>720</v>
      </c>
      <c r="N497" s="129">
        <v>0</v>
      </c>
      <c r="O497" s="129">
        <f t="shared" si="154"/>
        <v>1</v>
      </c>
      <c r="P497" s="129">
        <f t="shared" si="155"/>
        <v>0</v>
      </c>
      <c r="Q497" s="117"/>
      <c r="R497" s="152" t="str">
        <f t="shared" si="153"/>
        <v>PTP</v>
      </c>
    </row>
    <row r="498" spans="1:18" s="152" customFormat="1" ht="15" customHeight="1">
      <c r="A498" s="153"/>
      <c r="B498" s="18">
        <f t="shared" si="156"/>
        <v>280</v>
      </c>
      <c r="C498" s="178" t="s">
        <v>1272</v>
      </c>
      <c r="D498" s="178" t="s">
        <v>2111</v>
      </c>
      <c r="E498" s="178" t="s">
        <v>2110</v>
      </c>
      <c r="F498" s="178" t="s">
        <v>2112</v>
      </c>
      <c r="G498" s="178" t="s">
        <v>2207</v>
      </c>
      <c r="H498" s="178" t="s">
        <v>1727</v>
      </c>
      <c r="I498" s="178"/>
      <c r="J498" s="135"/>
      <c r="K498" s="116">
        <v>0</v>
      </c>
      <c r="L498" s="116">
        <v>0</v>
      </c>
      <c r="M498" s="116">
        <v>720</v>
      </c>
      <c r="N498" s="129">
        <v>0</v>
      </c>
      <c r="O498" s="129">
        <f t="shared" si="154"/>
        <v>1</v>
      </c>
      <c r="P498" s="129">
        <f t="shared" si="155"/>
        <v>0</v>
      </c>
      <c r="Q498" s="117"/>
      <c r="R498" s="152" t="str">
        <f t="shared" si="153"/>
        <v>PTP</v>
      </c>
    </row>
    <row r="499" spans="1:18" s="152" customFormat="1" ht="15" customHeight="1">
      <c r="A499" s="153"/>
      <c r="B499" s="18">
        <f t="shared" si="156"/>
        <v>281</v>
      </c>
      <c r="C499" s="178" t="s">
        <v>1272</v>
      </c>
      <c r="D499" s="178" t="s">
        <v>2113</v>
      </c>
      <c r="E499" s="178" t="s">
        <v>2110</v>
      </c>
      <c r="F499" s="178" t="s">
        <v>2114</v>
      </c>
      <c r="G499" s="178" t="s">
        <v>2207</v>
      </c>
      <c r="H499" s="178" t="s">
        <v>1727</v>
      </c>
      <c r="I499" s="178"/>
      <c r="J499" s="135"/>
      <c r="K499" s="116">
        <v>0</v>
      </c>
      <c r="L499" s="116">
        <v>0</v>
      </c>
      <c r="M499" s="116">
        <v>720</v>
      </c>
      <c r="N499" s="129">
        <v>0</v>
      </c>
      <c r="O499" s="129">
        <f t="shared" si="154"/>
        <v>1</v>
      </c>
      <c r="P499" s="129">
        <f t="shared" si="155"/>
        <v>0</v>
      </c>
      <c r="Q499" s="117"/>
      <c r="R499" s="152" t="str">
        <f t="shared" si="153"/>
        <v>PTP</v>
      </c>
    </row>
    <row r="500" spans="1:18" s="152" customFormat="1" ht="15" customHeight="1">
      <c r="A500" s="153"/>
      <c r="B500" s="18">
        <f t="shared" si="156"/>
        <v>282</v>
      </c>
      <c r="C500" s="178" t="s">
        <v>1272</v>
      </c>
      <c r="D500" s="178" t="s">
        <v>2115</v>
      </c>
      <c r="E500" s="178" t="s">
        <v>2116</v>
      </c>
      <c r="F500" s="178" t="s">
        <v>2117</v>
      </c>
      <c r="G500" s="178" t="s">
        <v>2207</v>
      </c>
      <c r="H500" s="178" t="s">
        <v>1727</v>
      </c>
      <c r="I500" s="178"/>
      <c r="J500" s="135"/>
      <c r="K500" s="116">
        <v>0</v>
      </c>
      <c r="L500" s="116">
        <v>0</v>
      </c>
      <c r="M500" s="116">
        <v>720</v>
      </c>
      <c r="N500" s="129">
        <v>0</v>
      </c>
      <c r="O500" s="129">
        <f t="shared" si="154"/>
        <v>1</v>
      </c>
      <c r="P500" s="129">
        <f t="shared" si="155"/>
        <v>0</v>
      </c>
      <c r="Q500" s="117"/>
      <c r="R500" s="152" t="str">
        <f t="shared" si="153"/>
        <v>PTP</v>
      </c>
    </row>
    <row r="501" spans="1:18" s="152" customFormat="1" ht="15" customHeight="1">
      <c r="A501" s="153"/>
      <c r="B501" s="18">
        <f t="shared" si="156"/>
        <v>283</v>
      </c>
      <c r="C501" s="178" t="s">
        <v>1272</v>
      </c>
      <c r="D501" s="178" t="s">
        <v>2118</v>
      </c>
      <c r="E501" s="178" t="s">
        <v>2110</v>
      </c>
      <c r="F501" s="178" t="s">
        <v>2119</v>
      </c>
      <c r="G501" s="178" t="s">
        <v>2207</v>
      </c>
      <c r="H501" s="178" t="s">
        <v>1727</v>
      </c>
      <c r="I501" s="178"/>
      <c r="J501" s="135"/>
      <c r="K501" s="116">
        <v>0</v>
      </c>
      <c r="L501" s="116">
        <v>0</v>
      </c>
      <c r="M501" s="116">
        <v>720</v>
      </c>
      <c r="N501" s="129">
        <v>0</v>
      </c>
      <c r="O501" s="129">
        <f t="shared" si="154"/>
        <v>1</v>
      </c>
      <c r="P501" s="129">
        <f t="shared" si="155"/>
        <v>0</v>
      </c>
      <c r="Q501" s="117"/>
      <c r="R501" s="152" t="str">
        <f t="shared" si="153"/>
        <v>PTP</v>
      </c>
    </row>
    <row r="502" spans="1:18" s="152" customFormat="1" ht="15" customHeight="1">
      <c r="A502" s="153"/>
      <c r="B502" s="18">
        <f t="shared" si="156"/>
        <v>284</v>
      </c>
      <c r="C502" s="178" t="s">
        <v>1272</v>
      </c>
      <c r="D502" s="178" t="s">
        <v>2121</v>
      </c>
      <c r="E502" s="178" t="s">
        <v>2110</v>
      </c>
      <c r="F502" s="178" t="s">
        <v>2122</v>
      </c>
      <c r="G502" s="178" t="s">
        <v>2207</v>
      </c>
      <c r="H502" s="178" t="s">
        <v>1727</v>
      </c>
      <c r="I502" s="178"/>
      <c r="J502" s="135"/>
      <c r="K502" s="116">
        <v>0</v>
      </c>
      <c r="L502" s="116">
        <v>0</v>
      </c>
      <c r="M502" s="116">
        <v>720</v>
      </c>
      <c r="N502" s="129">
        <v>0</v>
      </c>
      <c r="O502" s="129">
        <f t="shared" si="154"/>
        <v>1</v>
      </c>
      <c r="P502" s="129">
        <f t="shared" si="155"/>
        <v>0</v>
      </c>
      <c r="Q502" s="117"/>
      <c r="R502" s="152" t="str">
        <f t="shared" si="153"/>
        <v>PTP</v>
      </c>
    </row>
    <row r="503" spans="1:18" s="152" customFormat="1" ht="15" customHeight="1">
      <c r="A503" s="153"/>
      <c r="B503" s="18">
        <f t="shared" si="156"/>
        <v>285</v>
      </c>
      <c r="C503" s="178" t="s">
        <v>1272</v>
      </c>
      <c r="D503" s="178" t="s">
        <v>1726</v>
      </c>
      <c r="E503" s="178" t="s">
        <v>2107</v>
      </c>
      <c r="F503" s="178" t="s">
        <v>2063</v>
      </c>
      <c r="G503" s="178" t="s">
        <v>2207</v>
      </c>
      <c r="H503" s="178" t="s">
        <v>1727</v>
      </c>
      <c r="I503" s="178"/>
      <c r="J503" s="135"/>
      <c r="K503" s="116">
        <v>0</v>
      </c>
      <c r="L503" s="116">
        <v>0</v>
      </c>
      <c r="M503" s="116">
        <v>720</v>
      </c>
      <c r="N503" s="129">
        <v>0</v>
      </c>
      <c r="O503" s="129">
        <f t="shared" si="154"/>
        <v>1</v>
      </c>
      <c r="P503" s="129">
        <f t="shared" si="155"/>
        <v>0</v>
      </c>
      <c r="Q503" s="117"/>
      <c r="R503" s="152" t="str">
        <f t="shared" si="153"/>
        <v>PTP</v>
      </c>
    </row>
    <row r="504" spans="1:18" s="152" customFormat="1" ht="15" customHeight="1">
      <c r="A504" s="153"/>
      <c r="B504" s="18">
        <f t="shared" si="156"/>
        <v>286</v>
      </c>
      <c r="C504" s="178" t="s">
        <v>1272</v>
      </c>
      <c r="D504" s="178" t="s">
        <v>1728</v>
      </c>
      <c r="E504" s="178" t="s">
        <v>1729</v>
      </c>
      <c r="F504" s="178" t="s">
        <v>2064</v>
      </c>
      <c r="G504" s="178" t="s">
        <v>2207</v>
      </c>
      <c r="H504" s="178" t="s">
        <v>1727</v>
      </c>
      <c r="I504" s="178"/>
      <c r="J504" s="135"/>
      <c r="K504" s="116">
        <v>0</v>
      </c>
      <c r="L504" s="116">
        <v>0</v>
      </c>
      <c r="M504" s="116">
        <v>720</v>
      </c>
      <c r="N504" s="129">
        <v>0</v>
      </c>
      <c r="O504" s="129">
        <f t="shared" si="154"/>
        <v>1</v>
      </c>
      <c r="P504" s="129">
        <f t="shared" si="155"/>
        <v>0</v>
      </c>
      <c r="Q504" s="117"/>
      <c r="R504" s="152" t="str">
        <f t="shared" si="153"/>
        <v>PTP</v>
      </c>
    </row>
    <row r="505" spans="1:18" s="152" customFormat="1" ht="15" customHeight="1">
      <c r="A505" s="153"/>
      <c r="B505" s="18">
        <f t="shared" si="156"/>
        <v>287</v>
      </c>
      <c r="C505" s="178" t="s">
        <v>1272</v>
      </c>
      <c r="D505" s="178" t="s">
        <v>1730</v>
      </c>
      <c r="E505" s="178" t="s">
        <v>2108</v>
      </c>
      <c r="F505" s="178" t="s">
        <v>2109</v>
      </c>
      <c r="G505" s="178" t="s">
        <v>2207</v>
      </c>
      <c r="H505" s="178" t="s">
        <v>1727</v>
      </c>
      <c r="I505" s="178"/>
      <c r="J505" s="135"/>
      <c r="K505" s="116">
        <v>0</v>
      </c>
      <c r="L505" s="116">
        <v>0</v>
      </c>
      <c r="M505" s="116">
        <v>720</v>
      </c>
      <c r="N505" s="129">
        <v>0</v>
      </c>
      <c r="O505" s="129">
        <f t="shared" si="154"/>
        <v>1</v>
      </c>
      <c r="P505" s="129">
        <f t="shared" si="155"/>
        <v>0</v>
      </c>
      <c r="Q505" s="117"/>
      <c r="R505" s="152" t="str">
        <f t="shared" si="153"/>
        <v>PTP</v>
      </c>
    </row>
    <row r="506" spans="1:18" s="152" customFormat="1" ht="15" customHeight="1">
      <c r="A506" s="153"/>
      <c r="B506" s="18">
        <f t="shared" si="156"/>
        <v>288</v>
      </c>
      <c r="C506" s="178" t="s">
        <v>1272</v>
      </c>
      <c r="D506" s="178" t="s">
        <v>1731</v>
      </c>
      <c r="E506" s="178" t="s">
        <v>2108</v>
      </c>
      <c r="F506" s="178" t="s">
        <v>2065</v>
      </c>
      <c r="G506" s="178" t="s">
        <v>2207</v>
      </c>
      <c r="H506" s="178" t="s">
        <v>1727</v>
      </c>
      <c r="I506" s="178"/>
      <c r="J506" s="135"/>
      <c r="K506" s="116">
        <v>0</v>
      </c>
      <c r="L506" s="116">
        <v>0</v>
      </c>
      <c r="M506" s="116">
        <v>720</v>
      </c>
      <c r="N506" s="129">
        <v>0</v>
      </c>
      <c r="O506" s="129">
        <f t="shared" si="154"/>
        <v>1</v>
      </c>
      <c r="P506" s="129">
        <f t="shared" si="155"/>
        <v>0</v>
      </c>
      <c r="Q506" s="117"/>
      <c r="R506" s="152" t="str">
        <f t="shared" si="153"/>
        <v>PTP</v>
      </c>
    </row>
    <row r="507" spans="1:18" s="152" customFormat="1" ht="15" customHeight="1">
      <c r="A507" s="153"/>
      <c r="B507" s="18">
        <f t="shared" si="156"/>
        <v>289</v>
      </c>
      <c r="C507" s="178" t="s">
        <v>1272</v>
      </c>
      <c r="D507" s="178" t="s">
        <v>1732</v>
      </c>
      <c r="E507" s="178" t="s">
        <v>2110</v>
      </c>
      <c r="F507" s="178" t="s">
        <v>2066</v>
      </c>
      <c r="G507" s="178" t="s">
        <v>2207</v>
      </c>
      <c r="H507" s="178" t="s">
        <v>1727</v>
      </c>
      <c r="I507" s="178"/>
      <c r="J507" s="135"/>
      <c r="K507" s="116">
        <v>0</v>
      </c>
      <c r="L507" s="116">
        <v>0</v>
      </c>
      <c r="M507" s="116">
        <v>720</v>
      </c>
      <c r="N507" s="129">
        <v>0</v>
      </c>
      <c r="O507" s="129">
        <f t="shared" si="154"/>
        <v>1</v>
      </c>
      <c r="P507" s="129">
        <f t="shared" si="155"/>
        <v>0</v>
      </c>
      <c r="Q507" s="117"/>
      <c r="R507" s="152" t="str">
        <f t="shared" si="153"/>
        <v>PTP</v>
      </c>
    </row>
    <row r="508" spans="1:18" s="152" customFormat="1" ht="15" customHeight="1">
      <c r="A508" s="153"/>
      <c r="B508" s="18">
        <f t="shared" si="156"/>
        <v>290</v>
      </c>
      <c r="C508" s="178" t="s">
        <v>1272</v>
      </c>
      <c r="D508" s="178" t="s">
        <v>1733</v>
      </c>
      <c r="E508" s="178" t="s">
        <v>2110</v>
      </c>
      <c r="F508" s="178" t="s">
        <v>2067</v>
      </c>
      <c r="G508" s="178" t="s">
        <v>2207</v>
      </c>
      <c r="H508" s="178" t="s">
        <v>1727</v>
      </c>
      <c r="I508" s="178"/>
      <c r="J508" s="135"/>
      <c r="K508" s="116">
        <v>0</v>
      </c>
      <c r="L508" s="116">
        <v>0</v>
      </c>
      <c r="M508" s="116">
        <v>720</v>
      </c>
      <c r="N508" s="129">
        <v>0</v>
      </c>
      <c r="O508" s="129">
        <f t="shared" si="154"/>
        <v>1</v>
      </c>
      <c r="P508" s="129">
        <f t="shared" si="155"/>
        <v>0</v>
      </c>
      <c r="Q508" s="117"/>
      <c r="R508" s="152" t="str">
        <f t="shared" si="153"/>
        <v>PTP</v>
      </c>
    </row>
    <row r="509" spans="1:18" s="152" customFormat="1" ht="15" customHeight="1">
      <c r="A509" s="153"/>
      <c r="B509" s="18">
        <f t="shared" si="156"/>
        <v>291</v>
      </c>
      <c r="C509" s="178" t="s">
        <v>1272</v>
      </c>
      <c r="D509" s="178" t="s">
        <v>1734</v>
      </c>
      <c r="E509" s="178" t="s">
        <v>2110</v>
      </c>
      <c r="F509" s="178" t="s">
        <v>2068</v>
      </c>
      <c r="G509" s="178" t="s">
        <v>2207</v>
      </c>
      <c r="H509" s="178" t="s">
        <v>1727</v>
      </c>
      <c r="I509" s="178"/>
      <c r="J509" s="135"/>
      <c r="K509" s="116">
        <v>0</v>
      </c>
      <c r="L509" s="116">
        <v>0</v>
      </c>
      <c r="M509" s="116">
        <v>720</v>
      </c>
      <c r="N509" s="129">
        <v>0</v>
      </c>
      <c r="O509" s="129">
        <f t="shared" si="154"/>
        <v>1</v>
      </c>
      <c r="P509" s="129">
        <f t="shared" si="155"/>
        <v>0</v>
      </c>
      <c r="Q509" s="117"/>
      <c r="R509" s="152" t="str">
        <f t="shared" si="153"/>
        <v>PTP</v>
      </c>
    </row>
    <row r="510" spans="1:18" s="152" customFormat="1" ht="15" customHeight="1">
      <c r="A510" s="153"/>
      <c r="B510" s="18">
        <f t="shared" si="156"/>
        <v>292</v>
      </c>
      <c r="C510" s="178" t="s">
        <v>1272</v>
      </c>
      <c r="D510" s="178" t="s">
        <v>1735</v>
      </c>
      <c r="E510" s="178" t="s">
        <v>2110</v>
      </c>
      <c r="F510" s="178" t="s">
        <v>2069</v>
      </c>
      <c r="G510" s="178" t="s">
        <v>2207</v>
      </c>
      <c r="H510" s="178" t="s">
        <v>1727</v>
      </c>
      <c r="I510" s="178"/>
      <c r="J510" s="135"/>
      <c r="K510" s="116">
        <v>0</v>
      </c>
      <c r="L510" s="116">
        <v>0</v>
      </c>
      <c r="M510" s="116">
        <v>720</v>
      </c>
      <c r="N510" s="129">
        <v>0</v>
      </c>
      <c r="O510" s="129">
        <f t="shared" si="154"/>
        <v>1</v>
      </c>
      <c r="P510" s="129">
        <f t="shared" si="155"/>
        <v>0</v>
      </c>
      <c r="Q510" s="117"/>
      <c r="R510" s="152" t="str">
        <f t="shared" si="153"/>
        <v>PTP</v>
      </c>
    </row>
    <row r="511" spans="1:18" s="152" customFormat="1" ht="15" customHeight="1">
      <c r="A511" s="153"/>
      <c r="B511" s="18">
        <f t="shared" si="156"/>
        <v>293</v>
      </c>
      <c r="C511" s="178" t="s">
        <v>1272</v>
      </c>
      <c r="D511" s="178" t="s">
        <v>2429</v>
      </c>
      <c r="E511" s="178" t="s">
        <v>2110</v>
      </c>
      <c r="F511" s="178" t="s">
        <v>2430</v>
      </c>
      <c r="G511" s="178" t="s">
        <v>2207</v>
      </c>
      <c r="H511" s="178" t="s">
        <v>1727</v>
      </c>
      <c r="I511" s="178"/>
      <c r="J511" s="135"/>
      <c r="K511" s="116">
        <v>0</v>
      </c>
      <c r="L511" s="116">
        <v>0</v>
      </c>
      <c r="M511" s="116">
        <v>720</v>
      </c>
      <c r="N511" s="129">
        <v>0</v>
      </c>
      <c r="O511" s="129">
        <f t="shared" si="154"/>
        <v>1</v>
      </c>
      <c r="P511" s="129">
        <f t="shared" si="155"/>
        <v>0</v>
      </c>
      <c r="Q511" s="117"/>
      <c r="R511" s="152" t="str">
        <f t="shared" si="153"/>
        <v>PTP</v>
      </c>
    </row>
    <row r="512" spans="1:18" s="152" customFormat="1" ht="15" customHeight="1">
      <c r="A512" s="153"/>
      <c r="B512" s="18">
        <f t="shared" si="156"/>
        <v>294</v>
      </c>
      <c r="C512" s="178" t="s">
        <v>1272</v>
      </c>
      <c r="D512" s="178" t="s">
        <v>1736</v>
      </c>
      <c r="E512" s="178" t="s">
        <v>2110</v>
      </c>
      <c r="F512" s="178" t="s">
        <v>2070</v>
      </c>
      <c r="G512" s="178" t="s">
        <v>2207</v>
      </c>
      <c r="H512" s="178" t="s">
        <v>1727</v>
      </c>
      <c r="I512" s="178"/>
      <c r="J512" s="135"/>
      <c r="K512" s="116">
        <v>0</v>
      </c>
      <c r="L512" s="116">
        <v>0</v>
      </c>
      <c r="M512" s="116">
        <v>720</v>
      </c>
      <c r="N512" s="129">
        <v>0</v>
      </c>
      <c r="O512" s="129">
        <f t="shared" si="154"/>
        <v>1</v>
      </c>
      <c r="P512" s="129">
        <f t="shared" si="155"/>
        <v>0</v>
      </c>
      <c r="Q512" s="117"/>
      <c r="R512" s="152" t="str">
        <f t="shared" si="153"/>
        <v>PTP</v>
      </c>
    </row>
    <row r="513" spans="1:18" s="152" customFormat="1" ht="15" customHeight="1">
      <c r="A513" s="153"/>
      <c r="B513" s="18">
        <f t="shared" si="156"/>
        <v>295</v>
      </c>
      <c r="C513" s="178" t="s">
        <v>1272</v>
      </c>
      <c r="D513" s="178" t="s">
        <v>1737</v>
      </c>
      <c r="E513" s="178" t="s">
        <v>2110</v>
      </c>
      <c r="F513" s="178" t="s">
        <v>2071</v>
      </c>
      <c r="G513" s="178" t="s">
        <v>2207</v>
      </c>
      <c r="H513" s="178" t="s">
        <v>1727</v>
      </c>
      <c r="I513" s="178"/>
      <c r="J513" s="135"/>
      <c r="K513" s="116">
        <v>0</v>
      </c>
      <c r="L513" s="116">
        <v>0</v>
      </c>
      <c r="M513" s="116">
        <v>720</v>
      </c>
      <c r="N513" s="129">
        <v>0</v>
      </c>
      <c r="O513" s="129">
        <f t="shared" si="154"/>
        <v>1</v>
      </c>
      <c r="P513" s="129">
        <f t="shared" si="155"/>
        <v>0</v>
      </c>
      <c r="Q513" s="117"/>
      <c r="R513" s="152" t="str">
        <f t="shared" si="153"/>
        <v>PTP</v>
      </c>
    </row>
    <row r="514" spans="1:18" s="152" customFormat="1" ht="15" customHeight="1">
      <c r="A514" s="153"/>
      <c r="B514" s="18">
        <f t="shared" si="156"/>
        <v>296</v>
      </c>
      <c r="C514" s="178" t="s">
        <v>1272</v>
      </c>
      <c r="D514" s="178" t="s">
        <v>1738</v>
      </c>
      <c r="E514" s="178" t="s">
        <v>2110</v>
      </c>
      <c r="F514" s="178" t="s">
        <v>2072</v>
      </c>
      <c r="G514" s="178" t="s">
        <v>2207</v>
      </c>
      <c r="H514" s="178" t="s">
        <v>1727</v>
      </c>
      <c r="I514" s="178"/>
      <c r="J514" s="135"/>
      <c r="K514" s="116">
        <v>0</v>
      </c>
      <c r="L514" s="116">
        <v>0</v>
      </c>
      <c r="M514" s="116">
        <v>720</v>
      </c>
      <c r="N514" s="129">
        <v>0</v>
      </c>
      <c r="O514" s="129">
        <f t="shared" si="154"/>
        <v>1</v>
      </c>
      <c r="P514" s="129">
        <f t="shared" si="155"/>
        <v>0</v>
      </c>
      <c r="Q514" s="117"/>
      <c r="R514" s="152" t="str">
        <f t="shared" si="153"/>
        <v>PTP</v>
      </c>
    </row>
    <row r="515" spans="1:18" s="152" customFormat="1" ht="15" customHeight="1">
      <c r="A515" s="153"/>
      <c r="B515" s="18">
        <f t="shared" si="156"/>
        <v>297</v>
      </c>
      <c r="C515" s="178" t="s">
        <v>1272</v>
      </c>
      <c r="D515" s="178" t="s">
        <v>1739</v>
      </c>
      <c r="E515" s="178" t="s">
        <v>2110</v>
      </c>
      <c r="F515" s="178" t="s">
        <v>2073</v>
      </c>
      <c r="G515" s="178" t="s">
        <v>2207</v>
      </c>
      <c r="H515" s="178" t="s">
        <v>1727</v>
      </c>
      <c r="I515" s="178"/>
      <c r="J515" s="135"/>
      <c r="K515" s="116">
        <v>0</v>
      </c>
      <c r="L515" s="116">
        <v>0</v>
      </c>
      <c r="M515" s="116">
        <v>720</v>
      </c>
      <c r="N515" s="129">
        <v>0</v>
      </c>
      <c r="O515" s="129">
        <f t="shared" si="154"/>
        <v>1</v>
      </c>
      <c r="P515" s="129">
        <f t="shared" si="155"/>
        <v>0</v>
      </c>
      <c r="Q515" s="117"/>
      <c r="R515" s="152" t="str">
        <f t="shared" si="153"/>
        <v>PTP</v>
      </c>
    </row>
    <row r="516" spans="1:18" s="152" customFormat="1" ht="15" customHeight="1">
      <c r="A516" s="153"/>
      <c r="B516" s="18">
        <f t="shared" si="156"/>
        <v>298</v>
      </c>
      <c r="C516" s="178" t="s">
        <v>1272</v>
      </c>
      <c r="D516" s="178" t="s">
        <v>1740</v>
      </c>
      <c r="E516" s="178" t="s">
        <v>2120</v>
      </c>
      <c r="F516" s="178" t="s">
        <v>2074</v>
      </c>
      <c r="G516" s="178" t="s">
        <v>2207</v>
      </c>
      <c r="H516" s="178" t="s">
        <v>1727</v>
      </c>
      <c r="I516" s="178"/>
      <c r="J516" s="135"/>
      <c r="K516" s="116">
        <v>0</v>
      </c>
      <c r="L516" s="116">
        <v>0</v>
      </c>
      <c r="M516" s="116">
        <v>720</v>
      </c>
      <c r="N516" s="129">
        <v>0</v>
      </c>
      <c r="O516" s="129">
        <f t="shared" si="154"/>
        <v>1</v>
      </c>
      <c r="P516" s="129">
        <f t="shared" si="155"/>
        <v>0</v>
      </c>
      <c r="Q516" s="117"/>
      <c r="R516" s="152" t="str">
        <f t="shared" si="153"/>
        <v>PTP</v>
      </c>
    </row>
    <row r="517" spans="1:18" s="152" customFormat="1" ht="15" customHeight="1">
      <c r="A517" s="153"/>
      <c r="B517" s="18">
        <f t="shared" si="156"/>
        <v>299</v>
      </c>
      <c r="C517" s="178" t="s">
        <v>1272</v>
      </c>
      <c r="D517" s="178" t="s">
        <v>1741</v>
      </c>
      <c r="E517" s="178" t="s">
        <v>2110</v>
      </c>
      <c r="F517" s="178" t="s">
        <v>2075</v>
      </c>
      <c r="G517" s="178" t="s">
        <v>2207</v>
      </c>
      <c r="H517" s="178" t="s">
        <v>1727</v>
      </c>
      <c r="I517" s="178"/>
      <c r="J517" s="135"/>
      <c r="K517" s="116">
        <v>0</v>
      </c>
      <c r="L517" s="116">
        <v>0</v>
      </c>
      <c r="M517" s="116">
        <v>720</v>
      </c>
      <c r="N517" s="129">
        <v>0</v>
      </c>
      <c r="O517" s="129">
        <f t="shared" si="154"/>
        <v>1</v>
      </c>
      <c r="P517" s="129">
        <f t="shared" si="155"/>
        <v>0</v>
      </c>
      <c r="Q517" s="117"/>
      <c r="R517" s="152" t="str">
        <f t="shared" si="153"/>
        <v>PTP</v>
      </c>
    </row>
    <row r="518" spans="1:18" s="152" customFormat="1" ht="15" customHeight="1">
      <c r="A518" s="153"/>
      <c r="B518" s="18">
        <f t="shared" si="156"/>
        <v>300</v>
      </c>
      <c r="C518" s="178" t="s">
        <v>1272</v>
      </c>
      <c r="D518" s="178" t="s">
        <v>1742</v>
      </c>
      <c r="E518" s="178" t="s">
        <v>2110</v>
      </c>
      <c r="F518" s="178" t="s">
        <v>2076</v>
      </c>
      <c r="G518" s="178" t="s">
        <v>2207</v>
      </c>
      <c r="H518" s="178" t="s">
        <v>1727</v>
      </c>
      <c r="I518" s="178"/>
      <c r="J518" s="135"/>
      <c r="K518" s="116">
        <v>0</v>
      </c>
      <c r="L518" s="116">
        <v>0</v>
      </c>
      <c r="M518" s="116">
        <v>720</v>
      </c>
      <c r="N518" s="129">
        <v>0</v>
      </c>
      <c r="O518" s="129">
        <f t="shared" si="154"/>
        <v>1</v>
      </c>
      <c r="P518" s="129">
        <f t="shared" si="155"/>
        <v>0</v>
      </c>
      <c r="Q518" s="117"/>
      <c r="R518" s="152" t="str">
        <f t="shared" si="153"/>
        <v>PTP</v>
      </c>
    </row>
    <row r="519" spans="1:18" s="152" customFormat="1" ht="15" customHeight="1">
      <c r="A519" s="153"/>
      <c r="B519" s="18">
        <f t="shared" si="156"/>
        <v>301</v>
      </c>
      <c r="C519" s="178" t="s">
        <v>1272</v>
      </c>
      <c r="D519" s="178" t="s">
        <v>1743</v>
      </c>
      <c r="E519" s="178" t="s">
        <v>2110</v>
      </c>
      <c r="F519" s="178" t="s">
        <v>2077</v>
      </c>
      <c r="G519" s="178" t="s">
        <v>2207</v>
      </c>
      <c r="H519" s="178" t="s">
        <v>1727</v>
      </c>
      <c r="I519" s="178"/>
      <c r="J519" s="135"/>
      <c r="K519" s="116">
        <v>0</v>
      </c>
      <c r="L519" s="116">
        <v>0</v>
      </c>
      <c r="M519" s="116">
        <v>720</v>
      </c>
      <c r="N519" s="129">
        <v>0</v>
      </c>
      <c r="O519" s="129">
        <f t="shared" si="154"/>
        <v>1</v>
      </c>
      <c r="P519" s="129">
        <f t="shared" si="155"/>
        <v>0</v>
      </c>
      <c r="Q519" s="117"/>
      <c r="R519" s="152" t="str">
        <f t="shared" si="153"/>
        <v>PTP</v>
      </c>
    </row>
    <row r="520" spans="1:18" s="152" customFormat="1" ht="15" customHeight="1">
      <c r="A520" s="153"/>
      <c r="B520" s="18">
        <f t="shared" si="156"/>
        <v>302</v>
      </c>
      <c r="C520" s="178" t="s">
        <v>1272</v>
      </c>
      <c r="D520" s="178" t="s">
        <v>1744</v>
      </c>
      <c r="E520" s="178" t="s">
        <v>2110</v>
      </c>
      <c r="F520" s="178" t="s">
        <v>2078</v>
      </c>
      <c r="G520" s="178" t="s">
        <v>2207</v>
      </c>
      <c r="H520" s="178" t="s">
        <v>1727</v>
      </c>
      <c r="I520" s="178"/>
      <c r="J520" s="135"/>
      <c r="K520" s="116">
        <v>0</v>
      </c>
      <c r="L520" s="116">
        <v>0</v>
      </c>
      <c r="M520" s="116">
        <v>720</v>
      </c>
      <c r="N520" s="129">
        <v>0</v>
      </c>
      <c r="O520" s="129">
        <f t="shared" si="154"/>
        <v>1</v>
      </c>
      <c r="P520" s="129">
        <f t="shared" si="155"/>
        <v>0</v>
      </c>
      <c r="Q520" s="117"/>
      <c r="R520" s="152" t="str">
        <f t="shared" si="153"/>
        <v>PTP</v>
      </c>
    </row>
    <row r="521" spans="1:18" s="152" customFormat="1" ht="15" customHeight="1">
      <c r="A521" s="153"/>
      <c r="B521" s="18">
        <f t="shared" si="156"/>
        <v>303</v>
      </c>
      <c r="C521" s="178" t="s">
        <v>1272</v>
      </c>
      <c r="D521" s="178" t="s">
        <v>1916</v>
      </c>
      <c r="E521" s="178" t="s">
        <v>2110</v>
      </c>
      <c r="F521" s="178" t="s">
        <v>2079</v>
      </c>
      <c r="G521" s="178" t="s">
        <v>2207</v>
      </c>
      <c r="H521" s="178" t="s">
        <v>1727</v>
      </c>
      <c r="I521" s="178"/>
      <c r="J521" s="135"/>
      <c r="K521" s="207">
        <v>0</v>
      </c>
      <c r="L521" s="207">
        <v>0</v>
      </c>
      <c r="M521" s="207">
        <v>720</v>
      </c>
      <c r="N521" s="129">
        <v>0</v>
      </c>
      <c r="O521" s="129">
        <f t="shared" si="154"/>
        <v>1</v>
      </c>
      <c r="P521" s="129">
        <f t="shared" si="155"/>
        <v>0</v>
      </c>
      <c r="Q521" s="117"/>
      <c r="R521" s="152" t="str">
        <f t="shared" si="153"/>
        <v>PTP</v>
      </c>
    </row>
    <row r="522" spans="1:18" s="152" customFormat="1" ht="15" customHeight="1">
      <c r="A522" s="153"/>
      <c r="B522" s="18">
        <f t="shared" si="156"/>
        <v>304</v>
      </c>
      <c r="C522" s="178" t="s">
        <v>1272</v>
      </c>
      <c r="D522" s="178" t="s">
        <v>1917</v>
      </c>
      <c r="E522" s="178" t="s">
        <v>2110</v>
      </c>
      <c r="F522" s="178" t="s">
        <v>2080</v>
      </c>
      <c r="G522" s="178" t="s">
        <v>2207</v>
      </c>
      <c r="H522" s="178" t="s">
        <v>1727</v>
      </c>
      <c r="I522" s="178"/>
      <c r="J522" s="135"/>
      <c r="K522" s="207">
        <v>0</v>
      </c>
      <c r="L522" s="207">
        <v>0</v>
      </c>
      <c r="M522" s="207">
        <v>720</v>
      </c>
      <c r="N522" s="129">
        <v>0</v>
      </c>
      <c r="O522" s="129">
        <f t="shared" si="154"/>
        <v>1</v>
      </c>
      <c r="P522" s="129">
        <f t="shared" si="155"/>
        <v>0</v>
      </c>
      <c r="Q522" s="117"/>
      <c r="R522" s="152" t="str">
        <f t="shared" si="153"/>
        <v>PTP</v>
      </c>
    </row>
    <row r="523" spans="1:18" s="152" customFormat="1" ht="15" customHeight="1">
      <c r="A523" s="153"/>
      <c r="B523" s="18">
        <f t="shared" si="156"/>
        <v>305</v>
      </c>
      <c r="C523" s="178" t="s">
        <v>1272</v>
      </c>
      <c r="D523" s="178" t="s">
        <v>1918</v>
      </c>
      <c r="E523" s="178" t="s">
        <v>2110</v>
      </c>
      <c r="F523" s="178" t="s">
        <v>2081</v>
      </c>
      <c r="G523" s="178" t="s">
        <v>2207</v>
      </c>
      <c r="H523" s="178" t="s">
        <v>1727</v>
      </c>
      <c r="I523" s="178"/>
      <c r="J523" s="135"/>
      <c r="K523" s="207">
        <v>0</v>
      </c>
      <c r="L523" s="207">
        <v>0</v>
      </c>
      <c r="M523" s="207">
        <v>720</v>
      </c>
      <c r="N523" s="129">
        <v>0</v>
      </c>
      <c r="O523" s="129">
        <f t="shared" si="154"/>
        <v>1</v>
      </c>
      <c r="P523" s="129">
        <f t="shared" si="155"/>
        <v>0</v>
      </c>
      <c r="Q523" s="117"/>
      <c r="R523" s="152" t="str">
        <f t="shared" si="153"/>
        <v>PTP</v>
      </c>
    </row>
    <row r="524" spans="1:18" s="152" customFormat="1" ht="15" customHeight="1">
      <c r="A524" s="153"/>
      <c r="B524" s="18">
        <f t="shared" si="156"/>
        <v>306</v>
      </c>
      <c r="C524" s="178" t="s">
        <v>1272</v>
      </c>
      <c r="D524" s="178" t="s">
        <v>1919</v>
      </c>
      <c r="E524" s="178" t="s">
        <v>2110</v>
      </c>
      <c r="F524" s="178" t="s">
        <v>2082</v>
      </c>
      <c r="G524" s="178" t="s">
        <v>2207</v>
      </c>
      <c r="H524" s="178" t="s">
        <v>1727</v>
      </c>
      <c r="I524" s="178"/>
      <c r="J524" s="135"/>
      <c r="K524" s="207">
        <v>0</v>
      </c>
      <c r="L524" s="207">
        <v>0</v>
      </c>
      <c r="M524" s="207">
        <v>720</v>
      </c>
      <c r="N524" s="129">
        <v>0</v>
      </c>
      <c r="O524" s="129">
        <f t="shared" si="154"/>
        <v>1</v>
      </c>
      <c r="P524" s="129">
        <f t="shared" si="155"/>
        <v>0</v>
      </c>
      <c r="Q524" s="117"/>
      <c r="R524" s="152" t="str">
        <f t="shared" si="153"/>
        <v>PTP</v>
      </c>
    </row>
    <row r="525" spans="1:18" s="152" customFormat="1" ht="15" customHeight="1">
      <c r="A525" s="153"/>
      <c r="B525" s="18">
        <f t="shared" si="156"/>
        <v>307</v>
      </c>
      <c r="C525" s="178" t="s">
        <v>1272</v>
      </c>
      <c r="D525" s="178" t="s">
        <v>1920</v>
      </c>
      <c r="E525" s="178" t="s">
        <v>2110</v>
      </c>
      <c r="F525" s="178" t="s">
        <v>2083</v>
      </c>
      <c r="G525" s="178" t="s">
        <v>2207</v>
      </c>
      <c r="H525" s="178" t="s">
        <v>1727</v>
      </c>
      <c r="I525" s="178"/>
      <c r="J525" s="135"/>
      <c r="K525" s="207">
        <v>0</v>
      </c>
      <c r="L525" s="207">
        <v>0</v>
      </c>
      <c r="M525" s="207">
        <v>720</v>
      </c>
      <c r="N525" s="129">
        <v>0</v>
      </c>
      <c r="O525" s="129">
        <f t="shared" si="154"/>
        <v>1</v>
      </c>
      <c r="P525" s="129">
        <f t="shared" si="155"/>
        <v>0</v>
      </c>
      <c r="Q525" s="117"/>
      <c r="R525" s="152" t="str">
        <f t="shared" si="153"/>
        <v>PTP</v>
      </c>
    </row>
    <row r="526" spans="1:18" s="152" customFormat="1" ht="15" customHeight="1">
      <c r="A526" s="153"/>
      <c r="B526" s="18">
        <f t="shared" si="156"/>
        <v>308</v>
      </c>
      <c r="C526" s="178" t="s">
        <v>1272</v>
      </c>
      <c r="D526" s="178" t="s">
        <v>1921</v>
      </c>
      <c r="E526" s="178" t="s">
        <v>2110</v>
      </c>
      <c r="F526" s="178" t="s">
        <v>2084</v>
      </c>
      <c r="G526" s="178" t="s">
        <v>2207</v>
      </c>
      <c r="H526" s="178" t="s">
        <v>1727</v>
      </c>
      <c r="I526" s="178"/>
      <c r="J526" s="135"/>
      <c r="K526" s="207">
        <v>0</v>
      </c>
      <c r="L526" s="207">
        <v>0</v>
      </c>
      <c r="M526" s="207">
        <v>720</v>
      </c>
      <c r="N526" s="129">
        <v>0</v>
      </c>
      <c r="O526" s="129">
        <f t="shared" si="154"/>
        <v>1</v>
      </c>
      <c r="P526" s="129">
        <f t="shared" si="155"/>
        <v>0</v>
      </c>
      <c r="Q526" s="117"/>
      <c r="R526" s="152" t="str">
        <f t="shared" si="153"/>
        <v>PTP</v>
      </c>
    </row>
    <row r="527" spans="1:18" s="152" customFormat="1" ht="15" customHeight="1">
      <c r="A527" s="153"/>
      <c r="B527" s="18">
        <f t="shared" si="156"/>
        <v>309</v>
      </c>
      <c r="C527" s="178" t="s">
        <v>1272</v>
      </c>
      <c r="D527" s="178" t="s">
        <v>1922</v>
      </c>
      <c r="E527" s="178" t="s">
        <v>2110</v>
      </c>
      <c r="F527" s="178" t="s">
        <v>2085</v>
      </c>
      <c r="G527" s="178" t="s">
        <v>2207</v>
      </c>
      <c r="H527" s="178" t="s">
        <v>1727</v>
      </c>
      <c r="I527" s="178"/>
      <c r="J527" s="135"/>
      <c r="K527" s="207">
        <v>0</v>
      </c>
      <c r="L527" s="207">
        <v>0</v>
      </c>
      <c r="M527" s="207">
        <v>720</v>
      </c>
      <c r="N527" s="129">
        <v>0</v>
      </c>
      <c r="O527" s="129">
        <f t="shared" si="154"/>
        <v>1</v>
      </c>
      <c r="P527" s="129">
        <f t="shared" si="155"/>
        <v>0</v>
      </c>
      <c r="Q527" s="117"/>
      <c r="R527" s="152" t="str">
        <f t="shared" si="153"/>
        <v>PTP</v>
      </c>
    </row>
    <row r="528" spans="1:18" s="152" customFormat="1" ht="15" customHeight="1">
      <c r="A528" s="153"/>
      <c r="B528" s="18">
        <f t="shared" si="156"/>
        <v>310</v>
      </c>
      <c r="C528" s="178" t="s">
        <v>1272</v>
      </c>
      <c r="D528" s="178" t="s">
        <v>2431</v>
      </c>
      <c r="E528" s="178" t="s">
        <v>2110</v>
      </c>
      <c r="F528" s="178" t="s">
        <v>2432</v>
      </c>
      <c r="G528" s="178" t="s">
        <v>2207</v>
      </c>
      <c r="H528" s="178" t="s">
        <v>1727</v>
      </c>
      <c r="I528" s="178"/>
      <c r="J528" s="135"/>
      <c r="K528" s="116">
        <v>0</v>
      </c>
      <c r="L528" s="116">
        <v>0</v>
      </c>
      <c r="M528" s="116">
        <v>720</v>
      </c>
      <c r="N528" s="129">
        <v>0</v>
      </c>
      <c r="O528" s="129">
        <f t="shared" si="154"/>
        <v>1</v>
      </c>
      <c r="P528" s="129">
        <f t="shared" si="155"/>
        <v>0</v>
      </c>
      <c r="Q528" s="117"/>
      <c r="R528" s="152" t="str">
        <f t="shared" si="153"/>
        <v>PTP</v>
      </c>
    </row>
    <row r="529" spans="1:18" s="152" customFormat="1" ht="15" customHeight="1">
      <c r="A529" s="153"/>
      <c r="B529" s="18">
        <f t="shared" si="156"/>
        <v>311</v>
      </c>
      <c r="C529" s="178" t="s">
        <v>1272</v>
      </c>
      <c r="D529" s="178" t="s">
        <v>2433</v>
      </c>
      <c r="E529" s="178" t="s">
        <v>2110</v>
      </c>
      <c r="F529" s="178" t="s">
        <v>2434</v>
      </c>
      <c r="G529" s="178" t="s">
        <v>2207</v>
      </c>
      <c r="H529" s="178" t="s">
        <v>1727</v>
      </c>
      <c r="I529" s="178"/>
      <c r="J529" s="135"/>
      <c r="K529" s="116">
        <v>0</v>
      </c>
      <c r="L529" s="116">
        <v>0</v>
      </c>
      <c r="M529" s="116">
        <v>720</v>
      </c>
      <c r="N529" s="129">
        <v>0</v>
      </c>
      <c r="O529" s="129">
        <f t="shared" si="154"/>
        <v>1</v>
      </c>
      <c r="P529" s="129">
        <f t="shared" si="155"/>
        <v>0</v>
      </c>
      <c r="Q529" s="117"/>
      <c r="R529" s="152" t="str">
        <f t="shared" si="153"/>
        <v>PTP</v>
      </c>
    </row>
    <row r="530" spans="1:18" s="152" customFormat="1" ht="15" customHeight="1">
      <c r="A530" s="153"/>
      <c r="B530" s="18">
        <f t="shared" si="156"/>
        <v>312</v>
      </c>
      <c r="C530" s="178" t="s">
        <v>1272</v>
      </c>
      <c r="D530" s="178" t="s">
        <v>2435</v>
      </c>
      <c r="E530" s="178" t="s">
        <v>2110</v>
      </c>
      <c r="F530" s="178" t="s">
        <v>2434</v>
      </c>
      <c r="G530" s="178" t="s">
        <v>2207</v>
      </c>
      <c r="H530" s="178" t="s">
        <v>1727</v>
      </c>
      <c r="I530" s="178"/>
      <c r="J530" s="135"/>
      <c r="K530" s="116">
        <v>0</v>
      </c>
      <c r="L530" s="116">
        <v>0</v>
      </c>
      <c r="M530" s="116">
        <v>720</v>
      </c>
      <c r="N530" s="129">
        <v>0</v>
      </c>
      <c r="O530" s="129">
        <f t="shared" si="154"/>
        <v>1</v>
      </c>
      <c r="P530" s="129">
        <f t="shared" si="155"/>
        <v>0</v>
      </c>
      <c r="Q530" s="117"/>
      <c r="R530" s="152" t="str">
        <f t="shared" si="153"/>
        <v>PTP</v>
      </c>
    </row>
    <row r="531" spans="1:18" s="152" customFormat="1" ht="15" customHeight="1">
      <c r="A531" s="153"/>
      <c r="B531" s="18">
        <f t="shared" si="156"/>
        <v>313</v>
      </c>
      <c r="C531" s="178" t="s">
        <v>1272</v>
      </c>
      <c r="D531" s="178" t="s">
        <v>2436</v>
      </c>
      <c r="E531" s="178" t="s">
        <v>2110</v>
      </c>
      <c r="F531" s="178" t="s">
        <v>2437</v>
      </c>
      <c r="G531" s="178" t="s">
        <v>2207</v>
      </c>
      <c r="H531" s="178" t="s">
        <v>1727</v>
      </c>
      <c r="I531" s="178"/>
      <c r="J531" s="135"/>
      <c r="K531" s="116">
        <v>0</v>
      </c>
      <c r="L531" s="116">
        <v>0</v>
      </c>
      <c r="M531" s="116">
        <v>720</v>
      </c>
      <c r="N531" s="129">
        <v>0</v>
      </c>
      <c r="O531" s="129">
        <f t="shared" si="154"/>
        <v>1</v>
      </c>
      <c r="P531" s="129">
        <f t="shared" si="155"/>
        <v>0</v>
      </c>
      <c r="Q531" s="117"/>
      <c r="R531" s="152" t="str">
        <f t="shared" si="153"/>
        <v>PTP</v>
      </c>
    </row>
    <row r="532" spans="1:18" s="152" customFormat="1" ht="15" customHeight="1">
      <c r="A532" s="153"/>
      <c r="B532" s="18">
        <f t="shared" si="156"/>
        <v>314</v>
      </c>
      <c r="C532" s="178" t="s">
        <v>1272</v>
      </c>
      <c r="D532" s="178" t="s">
        <v>2438</v>
      </c>
      <c r="E532" s="178" t="s">
        <v>2110</v>
      </c>
      <c r="F532" s="178" t="s">
        <v>2439</v>
      </c>
      <c r="G532" s="178" t="s">
        <v>2207</v>
      </c>
      <c r="H532" s="178" t="s">
        <v>1727</v>
      </c>
      <c r="I532" s="178"/>
      <c r="J532" s="135"/>
      <c r="K532" s="116">
        <v>0</v>
      </c>
      <c r="L532" s="116">
        <v>0</v>
      </c>
      <c r="M532" s="116">
        <v>720</v>
      </c>
      <c r="N532" s="129">
        <v>0</v>
      </c>
      <c r="O532" s="129">
        <f t="shared" si="154"/>
        <v>1</v>
      </c>
      <c r="P532" s="129">
        <f t="shared" si="155"/>
        <v>0</v>
      </c>
      <c r="Q532" s="117"/>
      <c r="R532" s="152" t="str">
        <f t="shared" ref="R532:R565" si="157">IF(O532&gt;89.9999999999999%,"PTP")</f>
        <v>PTP</v>
      </c>
    </row>
    <row r="533" spans="1:18" s="152" customFormat="1" ht="15" customHeight="1">
      <c r="A533" s="153"/>
      <c r="B533" s="18">
        <f t="shared" si="156"/>
        <v>315</v>
      </c>
      <c r="C533" s="178" t="s">
        <v>1272</v>
      </c>
      <c r="D533" s="178" t="s">
        <v>2440</v>
      </c>
      <c r="E533" s="178" t="s">
        <v>2110</v>
      </c>
      <c r="F533" s="178" t="s">
        <v>2441</v>
      </c>
      <c r="G533" s="178" t="s">
        <v>2207</v>
      </c>
      <c r="H533" s="178" t="s">
        <v>1727</v>
      </c>
      <c r="I533" s="178"/>
      <c r="J533" s="135"/>
      <c r="K533" s="116">
        <v>0</v>
      </c>
      <c r="L533" s="116">
        <v>0</v>
      </c>
      <c r="M533" s="116">
        <v>720</v>
      </c>
      <c r="N533" s="129">
        <v>0</v>
      </c>
      <c r="O533" s="129">
        <f t="shared" si="154"/>
        <v>1</v>
      </c>
      <c r="P533" s="129">
        <f t="shared" si="155"/>
        <v>0</v>
      </c>
      <c r="Q533" s="117"/>
      <c r="R533" s="152" t="str">
        <f t="shared" si="157"/>
        <v>PTP</v>
      </c>
    </row>
    <row r="534" spans="1:18" s="152" customFormat="1" ht="15" customHeight="1">
      <c r="A534" s="153"/>
      <c r="B534" s="18">
        <f t="shared" si="156"/>
        <v>316</v>
      </c>
      <c r="C534" s="178" t="s">
        <v>1272</v>
      </c>
      <c r="D534" s="178" t="s">
        <v>2442</v>
      </c>
      <c r="E534" s="178" t="s">
        <v>2108</v>
      </c>
      <c r="F534" s="178" t="s">
        <v>2443</v>
      </c>
      <c r="G534" s="178" t="s">
        <v>2207</v>
      </c>
      <c r="H534" s="178" t="s">
        <v>1727</v>
      </c>
      <c r="I534" s="178"/>
      <c r="J534" s="135"/>
      <c r="K534" s="116">
        <v>0</v>
      </c>
      <c r="L534" s="116">
        <v>0</v>
      </c>
      <c r="M534" s="116">
        <v>720</v>
      </c>
      <c r="N534" s="129">
        <v>0</v>
      </c>
      <c r="O534" s="129">
        <f t="shared" si="154"/>
        <v>1</v>
      </c>
      <c r="P534" s="129">
        <f t="shared" si="155"/>
        <v>0</v>
      </c>
      <c r="Q534" s="117"/>
      <c r="R534" s="152" t="str">
        <f t="shared" si="157"/>
        <v>PTP</v>
      </c>
    </row>
    <row r="535" spans="1:18" s="152" customFormat="1" ht="15" customHeight="1">
      <c r="A535" s="153"/>
      <c r="B535" s="18">
        <f t="shared" si="156"/>
        <v>317</v>
      </c>
      <c r="C535" s="178" t="s">
        <v>1272</v>
      </c>
      <c r="D535" s="178" t="s">
        <v>2444</v>
      </c>
      <c r="E535" s="178" t="s">
        <v>2110</v>
      </c>
      <c r="F535" s="178" t="s">
        <v>2445</v>
      </c>
      <c r="G535" s="178" t="s">
        <v>2207</v>
      </c>
      <c r="H535" s="178" t="s">
        <v>1727</v>
      </c>
      <c r="I535" s="178"/>
      <c r="J535" s="135"/>
      <c r="K535" s="116">
        <v>0</v>
      </c>
      <c r="L535" s="116">
        <v>0</v>
      </c>
      <c r="M535" s="116">
        <v>720</v>
      </c>
      <c r="N535" s="129">
        <v>0</v>
      </c>
      <c r="O535" s="129">
        <f t="shared" si="154"/>
        <v>1</v>
      </c>
      <c r="P535" s="129">
        <f t="shared" si="155"/>
        <v>0</v>
      </c>
      <c r="Q535" s="117"/>
      <c r="R535" s="152" t="str">
        <f t="shared" si="157"/>
        <v>PTP</v>
      </c>
    </row>
    <row r="536" spans="1:18" s="152" customFormat="1" ht="15" customHeight="1">
      <c r="A536" s="153"/>
      <c r="B536" s="18">
        <f t="shared" si="156"/>
        <v>318</v>
      </c>
      <c r="C536" s="178" t="s">
        <v>1272</v>
      </c>
      <c r="D536" s="178" t="s">
        <v>2446</v>
      </c>
      <c r="E536" s="178" t="s">
        <v>2110</v>
      </c>
      <c r="F536" s="178" t="s">
        <v>2447</v>
      </c>
      <c r="G536" s="178" t="s">
        <v>2207</v>
      </c>
      <c r="H536" s="178" t="s">
        <v>1727</v>
      </c>
      <c r="I536" s="178"/>
      <c r="J536" s="135"/>
      <c r="K536" s="116">
        <v>0</v>
      </c>
      <c r="L536" s="116">
        <v>0</v>
      </c>
      <c r="M536" s="116">
        <v>720</v>
      </c>
      <c r="N536" s="129">
        <v>0</v>
      </c>
      <c r="O536" s="129">
        <f t="shared" si="154"/>
        <v>1</v>
      </c>
      <c r="P536" s="129">
        <f t="shared" si="155"/>
        <v>0</v>
      </c>
      <c r="Q536" s="117"/>
      <c r="R536" s="152" t="str">
        <f t="shared" si="157"/>
        <v>PTP</v>
      </c>
    </row>
    <row r="537" spans="1:18" s="152" customFormat="1" ht="15" customHeight="1">
      <c r="A537" s="153"/>
      <c r="B537" s="18">
        <f t="shared" si="156"/>
        <v>319</v>
      </c>
      <c r="C537" s="178" t="s">
        <v>1272</v>
      </c>
      <c r="D537" s="178" t="s">
        <v>2448</v>
      </c>
      <c r="E537" s="178" t="s">
        <v>2110</v>
      </c>
      <c r="F537" s="178" t="s">
        <v>2449</v>
      </c>
      <c r="G537" s="178" t="s">
        <v>2207</v>
      </c>
      <c r="H537" s="178" t="s">
        <v>1727</v>
      </c>
      <c r="I537" s="178"/>
      <c r="J537" s="135"/>
      <c r="K537" s="116">
        <v>0</v>
      </c>
      <c r="L537" s="116">
        <v>0</v>
      </c>
      <c r="M537" s="116">
        <v>720</v>
      </c>
      <c r="N537" s="129">
        <v>0</v>
      </c>
      <c r="O537" s="129">
        <f t="shared" si="154"/>
        <v>1</v>
      </c>
      <c r="P537" s="129">
        <f t="shared" si="155"/>
        <v>0</v>
      </c>
      <c r="Q537" s="117"/>
      <c r="R537" s="152" t="str">
        <f t="shared" si="157"/>
        <v>PTP</v>
      </c>
    </row>
    <row r="538" spans="1:18" s="152" customFormat="1" ht="15" customHeight="1">
      <c r="A538" s="153"/>
      <c r="B538" s="18">
        <f t="shared" si="156"/>
        <v>320</v>
      </c>
      <c r="C538" s="178" t="s">
        <v>1272</v>
      </c>
      <c r="D538" s="178" t="s">
        <v>2450</v>
      </c>
      <c r="E538" s="178" t="s">
        <v>2110</v>
      </c>
      <c r="F538" s="178" t="s">
        <v>2449</v>
      </c>
      <c r="G538" s="178" t="s">
        <v>2207</v>
      </c>
      <c r="H538" s="178" t="s">
        <v>1727</v>
      </c>
      <c r="I538" s="178"/>
      <c r="J538" s="135"/>
      <c r="K538" s="116">
        <v>0</v>
      </c>
      <c r="L538" s="116">
        <v>0</v>
      </c>
      <c r="M538" s="116">
        <v>720</v>
      </c>
      <c r="N538" s="129">
        <v>0</v>
      </c>
      <c r="O538" s="129">
        <f t="shared" si="154"/>
        <v>1</v>
      </c>
      <c r="P538" s="129">
        <f t="shared" si="155"/>
        <v>0</v>
      </c>
      <c r="Q538" s="117"/>
      <c r="R538" s="152" t="str">
        <f t="shared" si="157"/>
        <v>PTP</v>
      </c>
    </row>
    <row r="539" spans="1:18" s="152" customFormat="1" ht="15" customHeight="1">
      <c r="A539" s="153"/>
      <c r="B539" s="18">
        <f t="shared" si="156"/>
        <v>321</v>
      </c>
      <c r="C539" s="178" t="s">
        <v>1272</v>
      </c>
      <c r="D539" s="178" t="s">
        <v>2451</v>
      </c>
      <c r="E539" s="178" t="s">
        <v>2110</v>
      </c>
      <c r="F539" s="178" t="s">
        <v>2449</v>
      </c>
      <c r="G539" s="178" t="s">
        <v>2207</v>
      </c>
      <c r="H539" s="178" t="s">
        <v>1727</v>
      </c>
      <c r="I539" s="178"/>
      <c r="J539" s="135"/>
      <c r="K539" s="116">
        <v>0</v>
      </c>
      <c r="L539" s="116">
        <v>0</v>
      </c>
      <c r="M539" s="116">
        <v>720</v>
      </c>
      <c r="N539" s="129">
        <v>0</v>
      </c>
      <c r="O539" s="129">
        <f t="shared" si="154"/>
        <v>1</v>
      </c>
      <c r="P539" s="129">
        <f t="shared" si="155"/>
        <v>0</v>
      </c>
      <c r="Q539" s="117"/>
      <c r="R539" s="152" t="str">
        <f t="shared" si="157"/>
        <v>PTP</v>
      </c>
    </row>
    <row r="540" spans="1:18" s="152" customFormat="1" ht="15" customHeight="1">
      <c r="A540" s="153"/>
      <c r="B540" s="18">
        <f t="shared" si="156"/>
        <v>322</v>
      </c>
      <c r="C540" s="178" t="s">
        <v>1272</v>
      </c>
      <c r="D540" s="178" t="s">
        <v>2452</v>
      </c>
      <c r="E540" s="178" t="s">
        <v>2110</v>
      </c>
      <c r="F540" s="178" t="s">
        <v>2453</v>
      </c>
      <c r="G540" s="178" t="s">
        <v>2207</v>
      </c>
      <c r="H540" s="178" t="s">
        <v>1727</v>
      </c>
      <c r="I540" s="178"/>
      <c r="J540" s="135"/>
      <c r="K540" s="116">
        <v>0</v>
      </c>
      <c r="L540" s="116">
        <v>0</v>
      </c>
      <c r="M540" s="116">
        <v>720</v>
      </c>
      <c r="N540" s="129">
        <v>0</v>
      </c>
      <c r="O540" s="129">
        <f t="shared" ref="O540:O564" si="158">+(K540+M540)/(K540+L540+M540)</f>
        <v>1</v>
      </c>
      <c r="P540" s="129">
        <f t="shared" ref="P540:P564" si="159">+K540/(K540+M540)</f>
        <v>0</v>
      </c>
      <c r="Q540" s="117"/>
      <c r="R540" s="152" t="str">
        <f t="shared" si="157"/>
        <v>PTP</v>
      </c>
    </row>
    <row r="541" spans="1:18" s="152" customFormat="1" ht="15" customHeight="1">
      <c r="A541" s="153"/>
      <c r="B541" s="18">
        <f t="shared" si="156"/>
        <v>323</v>
      </c>
      <c r="C541" s="178" t="s">
        <v>1272</v>
      </c>
      <c r="D541" s="178" t="s">
        <v>2454</v>
      </c>
      <c r="E541" s="178" t="s">
        <v>2110</v>
      </c>
      <c r="F541" s="178" t="s">
        <v>2453</v>
      </c>
      <c r="G541" s="178" t="s">
        <v>2207</v>
      </c>
      <c r="H541" s="178" t="s">
        <v>1727</v>
      </c>
      <c r="I541" s="178"/>
      <c r="J541" s="135"/>
      <c r="K541" s="116">
        <v>0</v>
      </c>
      <c r="L541" s="116">
        <v>0</v>
      </c>
      <c r="M541" s="116">
        <v>720</v>
      </c>
      <c r="N541" s="129">
        <v>0</v>
      </c>
      <c r="O541" s="129">
        <f t="shared" si="158"/>
        <v>1</v>
      </c>
      <c r="P541" s="129">
        <f t="shared" si="159"/>
        <v>0</v>
      </c>
      <c r="Q541" s="117"/>
      <c r="R541" s="152" t="str">
        <f t="shared" si="157"/>
        <v>PTP</v>
      </c>
    </row>
    <row r="542" spans="1:18" s="152" customFormat="1" ht="15" customHeight="1">
      <c r="A542" s="153"/>
      <c r="B542" s="18">
        <f t="shared" si="156"/>
        <v>324</v>
      </c>
      <c r="C542" s="178" t="s">
        <v>1272</v>
      </c>
      <c r="D542" s="178" t="s">
        <v>2455</v>
      </c>
      <c r="E542" s="178" t="s">
        <v>2456</v>
      </c>
      <c r="F542" s="178" t="s">
        <v>2457</v>
      </c>
      <c r="G542" s="178" t="s">
        <v>2207</v>
      </c>
      <c r="H542" s="178" t="s">
        <v>1727</v>
      </c>
      <c r="I542" s="178"/>
      <c r="J542" s="135"/>
      <c r="K542" s="116">
        <v>0</v>
      </c>
      <c r="L542" s="116">
        <v>0</v>
      </c>
      <c r="M542" s="116">
        <v>720</v>
      </c>
      <c r="N542" s="129">
        <v>0</v>
      </c>
      <c r="O542" s="129">
        <f t="shared" si="158"/>
        <v>1</v>
      </c>
      <c r="P542" s="129">
        <f t="shared" si="159"/>
        <v>0</v>
      </c>
      <c r="Q542" s="117"/>
      <c r="R542" s="152" t="str">
        <f t="shared" si="157"/>
        <v>PTP</v>
      </c>
    </row>
    <row r="543" spans="1:18" s="152" customFormat="1" ht="15" customHeight="1">
      <c r="A543" s="153"/>
      <c r="B543" s="18">
        <f t="shared" si="156"/>
        <v>325</v>
      </c>
      <c r="C543" s="178" t="s">
        <v>1272</v>
      </c>
      <c r="D543" s="178" t="s">
        <v>1730</v>
      </c>
      <c r="E543" s="178" t="s">
        <v>2108</v>
      </c>
      <c r="F543" s="178" t="s">
        <v>2109</v>
      </c>
      <c r="G543" s="178" t="s">
        <v>2207</v>
      </c>
      <c r="H543" s="178" t="s">
        <v>1727</v>
      </c>
      <c r="I543" s="178"/>
      <c r="J543" s="135"/>
      <c r="K543" s="116">
        <v>0</v>
      </c>
      <c r="L543" s="116">
        <v>0</v>
      </c>
      <c r="M543" s="116">
        <v>720</v>
      </c>
      <c r="N543" s="129">
        <v>0</v>
      </c>
      <c r="O543" s="129">
        <f t="shared" si="158"/>
        <v>1</v>
      </c>
      <c r="P543" s="129">
        <f t="shared" si="159"/>
        <v>0</v>
      </c>
      <c r="Q543" s="117"/>
      <c r="R543" s="152" t="str">
        <f t="shared" si="157"/>
        <v>PTP</v>
      </c>
    </row>
    <row r="544" spans="1:18" s="152" customFormat="1" ht="15" customHeight="1">
      <c r="A544" s="153"/>
      <c r="B544" s="18">
        <f t="shared" si="156"/>
        <v>326</v>
      </c>
      <c r="C544" s="178" t="s">
        <v>1272</v>
      </c>
      <c r="D544" s="178" t="s">
        <v>2458</v>
      </c>
      <c r="E544" s="178" t="s">
        <v>2456</v>
      </c>
      <c r="F544" s="178" t="s">
        <v>2459</v>
      </c>
      <c r="G544" s="178" t="s">
        <v>2207</v>
      </c>
      <c r="H544" s="178" t="s">
        <v>1727</v>
      </c>
      <c r="I544" s="178"/>
      <c r="J544" s="135"/>
      <c r="K544" s="116">
        <v>0</v>
      </c>
      <c r="L544" s="116">
        <v>0</v>
      </c>
      <c r="M544" s="116">
        <v>720</v>
      </c>
      <c r="N544" s="129">
        <v>0</v>
      </c>
      <c r="O544" s="129">
        <f t="shared" si="158"/>
        <v>1</v>
      </c>
      <c r="P544" s="129">
        <f t="shared" si="159"/>
        <v>0</v>
      </c>
      <c r="Q544" s="117"/>
      <c r="R544" s="152" t="str">
        <f t="shared" si="157"/>
        <v>PTP</v>
      </c>
    </row>
    <row r="545" spans="1:18" s="152" customFormat="1" ht="15" customHeight="1">
      <c r="A545" s="153"/>
      <c r="B545" s="18">
        <f t="shared" si="156"/>
        <v>327</v>
      </c>
      <c r="C545" s="178" t="s">
        <v>1272</v>
      </c>
      <c r="D545" s="178" t="s">
        <v>2460</v>
      </c>
      <c r="E545" s="178" t="s">
        <v>2456</v>
      </c>
      <c r="F545" s="178" t="s">
        <v>2461</v>
      </c>
      <c r="G545" s="178" t="s">
        <v>2207</v>
      </c>
      <c r="H545" s="178" t="s">
        <v>1727</v>
      </c>
      <c r="I545" s="178"/>
      <c r="J545" s="135"/>
      <c r="K545" s="116">
        <v>0</v>
      </c>
      <c r="L545" s="116">
        <v>0</v>
      </c>
      <c r="M545" s="116">
        <v>720</v>
      </c>
      <c r="N545" s="129">
        <v>0</v>
      </c>
      <c r="O545" s="129">
        <f t="shared" si="158"/>
        <v>1</v>
      </c>
      <c r="P545" s="129">
        <f t="shared" si="159"/>
        <v>0</v>
      </c>
      <c r="Q545" s="117"/>
      <c r="R545" s="152" t="str">
        <f t="shared" si="157"/>
        <v>PTP</v>
      </c>
    </row>
    <row r="546" spans="1:18" s="152" customFormat="1" ht="15" customHeight="1">
      <c r="A546" s="153"/>
      <c r="B546" s="18">
        <f t="shared" si="156"/>
        <v>328</v>
      </c>
      <c r="C546" s="178" t="s">
        <v>1272</v>
      </c>
      <c r="D546" s="178" t="s">
        <v>2462</v>
      </c>
      <c r="E546" s="178" t="s">
        <v>2456</v>
      </c>
      <c r="F546" s="178" t="s">
        <v>2461</v>
      </c>
      <c r="G546" s="178" t="s">
        <v>2207</v>
      </c>
      <c r="H546" s="178" t="s">
        <v>1727</v>
      </c>
      <c r="I546" s="178"/>
      <c r="J546" s="135"/>
      <c r="K546" s="116">
        <v>0</v>
      </c>
      <c r="L546" s="116">
        <v>0</v>
      </c>
      <c r="M546" s="116">
        <v>720</v>
      </c>
      <c r="N546" s="129">
        <v>0</v>
      </c>
      <c r="O546" s="129">
        <f t="shared" si="158"/>
        <v>1</v>
      </c>
      <c r="P546" s="129">
        <f t="shared" si="159"/>
        <v>0</v>
      </c>
      <c r="Q546" s="117"/>
      <c r="R546" s="152" t="str">
        <f t="shared" si="157"/>
        <v>PTP</v>
      </c>
    </row>
    <row r="547" spans="1:18" s="152" customFormat="1" ht="15" customHeight="1">
      <c r="A547" s="153"/>
      <c r="B547" s="18">
        <f t="shared" si="156"/>
        <v>329</v>
      </c>
      <c r="C547" s="178" t="s">
        <v>1272</v>
      </c>
      <c r="D547" s="178" t="s">
        <v>2463</v>
      </c>
      <c r="E547" s="178" t="s">
        <v>2456</v>
      </c>
      <c r="F547" s="178" t="s">
        <v>2461</v>
      </c>
      <c r="G547" s="178" t="s">
        <v>2207</v>
      </c>
      <c r="H547" s="178" t="s">
        <v>1727</v>
      </c>
      <c r="I547" s="178"/>
      <c r="J547" s="135"/>
      <c r="K547" s="116">
        <v>0</v>
      </c>
      <c r="L547" s="116">
        <v>0</v>
      </c>
      <c r="M547" s="116">
        <v>720</v>
      </c>
      <c r="N547" s="129">
        <v>0</v>
      </c>
      <c r="O547" s="129">
        <f t="shared" si="158"/>
        <v>1</v>
      </c>
      <c r="P547" s="129">
        <f t="shared" si="159"/>
        <v>0</v>
      </c>
      <c r="Q547" s="117"/>
      <c r="R547" s="152" t="str">
        <f t="shared" si="157"/>
        <v>PTP</v>
      </c>
    </row>
    <row r="548" spans="1:18" s="152" customFormat="1" ht="15" customHeight="1">
      <c r="A548" s="153"/>
      <c r="B548" s="18">
        <f t="shared" ref="B548:B565" si="160">+B547+1</f>
        <v>330</v>
      </c>
      <c r="C548" s="178" t="s">
        <v>1272</v>
      </c>
      <c r="D548" s="178" t="s">
        <v>2464</v>
      </c>
      <c r="E548" s="178" t="s">
        <v>2456</v>
      </c>
      <c r="F548" s="178" t="s">
        <v>2461</v>
      </c>
      <c r="G548" s="178" t="s">
        <v>2207</v>
      </c>
      <c r="H548" s="178" t="s">
        <v>1727</v>
      </c>
      <c r="I548" s="178"/>
      <c r="J548" s="135"/>
      <c r="K548" s="116">
        <v>0</v>
      </c>
      <c r="L548" s="116">
        <v>0</v>
      </c>
      <c r="M548" s="116">
        <v>720</v>
      </c>
      <c r="N548" s="129">
        <v>0</v>
      </c>
      <c r="O548" s="129">
        <f t="shared" si="158"/>
        <v>1</v>
      </c>
      <c r="P548" s="129">
        <f t="shared" si="159"/>
        <v>0</v>
      </c>
      <c r="Q548" s="117"/>
      <c r="R548" s="152" t="str">
        <f t="shared" si="157"/>
        <v>PTP</v>
      </c>
    </row>
    <row r="549" spans="1:18" s="152" customFormat="1" ht="15" customHeight="1">
      <c r="A549" s="153"/>
      <c r="B549" s="18">
        <f t="shared" si="160"/>
        <v>331</v>
      </c>
      <c r="C549" s="178" t="s">
        <v>1272</v>
      </c>
      <c r="D549" s="178" t="s">
        <v>2465</v>
      </c>
      <c r="E549" s="178" t="s">
        <v>2456</v>
      </c>
      <c r="F549" s="178" t="s">
        <v>2461</v>
      </c>
      <c r="G549" s="178" t="s">
        <v>2207</v>
      </c>
      <c r="H549" s="178" t="s">
        <v>1727</v>
      </c>
      <c r="I549" s="178"/>
      <c r="J549" s="135"/>
      <c r="K549" s="116">
        <v>0</v>
      </c>
      <c r="L549" s="116">
        <v>0</v>
      </c>
      <c r="M549" s="116">
        <v>720</v>
      </c>
      <c r="N549" s="129">
        <v>0</v>
      </c>
      <c r="O549" s="129">
        <f t="shared" si="158"/>
        <v>1</v>
      </c>
      <c r="P549" s="129">
        <f t="shared" si="159"/>
        <v>0</v>
      </c>
      <c r="Q549" s="117"/>
      <c r="R549" s="152" t="str">
        <f t="shared" si="157"/>
        <v>PTP</v>
      </c>
    </row>
    <row r="550" spans="1:18" s="152" customFormat="1" ht="15" customHeight="1">
      <c r="A550" s="153"/>
      <c r="B550" s="18">
        <f t="shared" si="160"/>
        <v>332</v>
      </c>
      <c r="C550" s="178" t="s">
        <v>1272</v>
      </c>
      <c r="D550" s="178" t="s">
        <v>2466</v>
      </c>
      <c r="E550" s="178" t="s">
        <v>2108</v>
      </c>
      <c r="F550" s="178" t="s">
        <v>2467</v>
      </c>
      <c r="G550" s="178" t="s">
        <v>2207</v>
      </c>
      <c r="H550" s="178" t="s">
        <v>1727</v>
      </c>
      <c r="I550" s="178"/>
      <c r="J550" s="135"/>
      <c r="K550" s="116">
        <v>0</v>
      </c>
      <c r="L550" s="116">
        <v>0</v>
      </c>
      <c r="M550" s="116">
        <v>720</v>
      </c>
      <c r="N550" s="129">
        <v>0</v>
      </c>
      <c r="O550" s="129">
        <f t="shared" si="158"/>
        <v>1</v>
      </c>
      <c r="P550" s="129">
        <f t="shared" si="159"/>
        <v>0</v>
      </c>
      <c r="Q550" s="117"/>
      <c r="R550" s="152" t="str">
        <f t="shared" si="157"/>
        <v>PTP</v>
      </c>
    </row>
    <row r="551" spans="1:18" s="152" customFormat="1" ht="15" customHeight="1">
      <c r="A551" s="153"/>
      <c r="B551" s="18">
        <f t="shared" si="160"/>
        <v>333</v>
      </c>
      <c r="C551" s="178" t="s">
        <v>1272</v>
      </c>
      <c r="D551" s="178" t="s">
        <v>2468</v>
      </c>
      <c r="E551" s="178" t="s">
        <v>2110</v>
      </c>
      <c r="F551" s="178" t="s">
        <v>2469</v>
      </c>
      <c r="G551" s="178" t="s">
        <v>2207</v>
      </c>
      <c r="H551" s="178" t="s">
        <v>1727</v>
      </c>
      <c r="I551" s="178"/>
      <c r="J551" s="135"/>
      <c r="K551" s="116">
        <v>0</v>
      </c>
      <c r="L551" s="116">
        <v>0</v>
      </c>
      <c r="M551" s="116">
        <v>720</v>
      </c>
      <c r="N551" s="129">
        <v>0</v>
      </c>
      <c r="O551" s="129">
        <f t="shared" si="158"/>
        <v>1</v>
      </c>
      <c r="P551" s="129">
        <f t="shared" si="159"/>
        <v>0</v>
      </c>
      <c r="Q551" s="117"/>
      <c r="R551" s="152" t="str">
        <f t="shared" si="157"/>
        <v>PTP</v>
      </c>
    </row>
    <row r="552" spans="1:18" s="152" customFormat="1" ht="15" customHeight="1">
      <c r="A552" s="153"/>
      <c r="B552" s="18">
        <f t="shared" si="160"/>
        <v>334</v>
      </c>
      <c r="C552" s="178" t="s">
        <v>1272</v>
      </c>
      <c r="D552" s="178" t="s">
        <v>1745</v>
      </c>
      <c r="E552" s="178">
        <v>0</v>
      </c>
      <c r="F552" s="178" t="s">
        <v>2086</v>
      </c>
      <c r="G552" s="178" t="s">
        <v>2207</v>
      </c>
      <c r="H552" s="178" t="s">
        <v>1923</v>
      </c>
      <c r="I552" s="178"/>
      <c r="J552" s="135"/>
      <c r="K552" s="116">
        <v>0</v>
      </c>
      <c r="L552" s="116">
        <v>0</v>
      </c>
      <c r="M552" s="116">
        <v>720</v>
      </c>
      <c r="N552" s="129">
        <v>0</v>
      </c>
      <c r="O552" s="129">
        <f t="shared" si="158"/>
        <v>1</v>
      </c>
      <c r="P552" s="129">
        <f t="shared" si="159"/>
        <v>0</v>
      </c>
      <c r="Q552" s="117"/>
      <c r="R552" s="152" t="str">
        <f t="shared" si="157"/>
        <v>PTP</v>
      </c>
    </row>
    <row r="553" spans="1:18" s="152" customFormat="1" ht="15" customHeight="1">
      <c r="A553" s="153"/>
      <c r="B553" s="18">
        <f t="shared" si="160"/>
        <v>335</v>
      </c>
      <c r="C553" s="178" t="s">
        <v>1272</v>
      </c>
      <c r="D553" s="178" t="s">
        <v>1751</v>
      </c>
      <c r="E553" s="178">
        <v>0</v>
      </c>
      <c r="F553" s="178" t="s">
        <v>2086</v>
      </c>
      <c r="G553" s="178" t="s">
        <v>2207</v>
      </c>
      <c r="H553" s="178" t="s">
        <v>1923</v>
      </c>
      <c r="I553" s="178"/>
      <c r="J553" s="135"/>
      <c r="K553" s="116">
        <v>0</v>
      </c>
      <c r="L553" s="116">
        <v>0</v>
      </c>
      <c r="M553" s="116">
        <v>720</v>
      </c>
      <c r="N553" s="129">
        <v>0</v>
      </c>
      <c r="O553" s="129">
        <f t="shared" si="158"/>
        <v>1</v>
      </c>
      <c r="P553" s="129">
        <f t="shared" si="159"/>
        <v>0</v>
      </c>
      <c r="Q553" s="117"/>
      <c r="R553" s="152" t="str">
        <f t="shared" si="157"/>
        <v>PTP</v>
      </c>
    </row>
    <row r="554" spans="1:18" s="152" customFormat="1" ht="15" customHeight="1">
      <c r="A554" s="153"/>
      <c r="B554" s="18">
        <f t="shared" si="160"/>
        <v>336</v>
      </c>
      <c r="C554" s="178" t="s">
        <v>1272</v>
      </c>
      <c r="D554" s="178" t="s">
        <v>1746</v>
      </c>
      <c r="E554" s="178" t="s">
        <v>1747</v>
      </c>
      <c r="F554" s="178" t="s">
        <v>2087</v>
      </c>
      <c r="G554" s="178" t="s">
        <v>2207</v>
      </c>
      <c r="H554" s="178" t="s">
        <v>1923</v>
      </c>
      <c r="I554" s="178"/>
      <c r="J554" s="135"/>
      <c r="K554" s="116">
        <v>0</v>
      </c>
      <c r="L554" s="116">
        <v>0</v>
      </c>
      <c r="M554" s="116">
        <v>720</v>
      </c>
      <c r="N554" s="129">
        <v>0</v>
      </c>
      <c r="O554" s="129">
        <f t="shared" si="158"/>
        <v>1</v>
      </c>
      <c r="P554" s="129">
        <f t="shared" si="159"/>
        <v>0</v>
      </c>
      <c r="Q554" s="117"/>
      <c r="R554" s="152" t="str">
        <f t="shared" si="157"/>
        <v>PTP</v>
      </c>
    </row>
    <row r="555" spans="1:18" s="152" customFormat="1" ht="15" customHeight="1">
      <c r="A555" s="153"/>
      <c r="B555" s="18">
        <f t="shared" si="160"/>
        <v>337</v>
      </c>
      <c r="C555" s="178" t="s">
        <v>1272</v>
      </c>
      <c r="D555" s="178" t="s">
        <v>1748</v>
      </c>
      <c r="E555" s="178" t="s">
        <v>1747</v>
      </c>
      <c r="F555" s="178" t="s">
        <v>2088</v>
      </c>
      <c r="G555" s="178" t="s">
        <v>2207</v>
      </c>
      <c r="H555" s="178" t="s">
        <v>1923</v>
      </c>
      <c r="I555" s="178"/>
      <c r="J555" s="135"/>
      <c r="K555" s="207">
        <v>0</v>
      </c>
      <c r="L555" s="207">
        <v>0</v>
      </c>
      <c r="M555" s="207">
        <v>720</v>
      </c>
      <c r="N555" s="129">
        <v>0</v>
      </c>
      <c r="O555" s="129">
        <f t="shared" si="158"/>
        <v>1</v>
      </c>
      <c r="P555" s="129">
        <f t="shared" si="159"/>
        <v>0</v>
      </c>
      <c r="Q555" s="117"/>
      <c r="R555" s="152" t="str">
        <f t="shared" si="157"/>
        <v>PTP</v>
      </c>
    </row>
    <row r="556" spans="1:18" s="152" customFormat="1" ht="15" customHeight="1">
      <c r="A556" s="153"/>
      <c r="B556" s="18">
        <f t="shared" si="160"/>
        <v>338</v>
      </c>
      <c r="C556" s="178" t="s">
        <v>1272</v>
      </c>
      <c r="D556" s="178" t="s">
        <v>1749</v>
      </c>
      <c r="E556" s="178" t="s">
        <v>1747</v>
      </c>
      <c r="F556" s="178" t="s">
        <v>2089</v>
      </c>
      <c r="G556" s="178" t="s">
        <v>2207</v>
      </c>
      <c r="H556" s="178" t="s">
        <v>1923</v>
      </c>
      <c r="I556" s="178"/>
      <c r="J556" s="135"/>
      <c r="K556" s="207">
        <v>0</v>
      </c>
      <c r="L556" s="207">
        <v>0</v>
      </c>
      <c r="M556" s="207">
        <v>720</v>
      </c>
      <c r="N556" s="129">
        <v>0</v>
      </c>
      <c r="O556" s="129">
        <f t="shared" si="158"/>
        <v>1</v>
      </c>
      <c r="P556" s="129">
        <f t="shared" si="159"/>
        <v>0</v>
      </c>
      <c r="Q556" s="117"/>
      <c r="R556" s="152" t="str">
        <f t="shared" si="157"/>
        <v>PTP</v>
      </c>
    </row>
    <row r="557" spans="1:18" s="152" customFormat="1" ht="15" customHeight="1">
      <c r="A557" s="153"/>
      <c r="B557" s="18">
        <f t="shared" si="160"/>
        <v>339</v>
      </c>
      <c r="C557" s="178" t="s">
        <v>1272</v>
      </c>
      <c r="D557" s="178" t="s">
        <v>1750</v>
      </c>
      <c r="E557" s="178" t="s">
        <v>1747</v>
      </c>
      <c r="F557" s="178" t="s">
        <v>2090</v>
      </c>
      <c r="G557" s="178" t="s">
        <v>2207</v>
      </c>
      <c r="H557" s="178" t="s">
        <v>1923</v>
      </c>
      <c r="I557" s="178"/>
      <c r="J557" s="135"/>
      <c r="K557" s="207">
        <v>0</v>
      </c>
      <c r="L557" s="207">
        <v>0</v>
      </c>
      <c r="M557" s="207">
        <v>720</v>
      </c>
      <c r="N557" s="129">
        <v>0</v>
      </c>
      <c r="O557" s="129">
        <f t="shared" si="158"/>
        <v>1</v>
      </c>
      <c r="P557" s="129">
        <f t="shared" si="159"/>
        <v>0</v>
      </c>
      <c r="Q557" s="117"/>
      <c r="R557" s="152" t="str">
        <f t="shared" si="157"/>
        <v>PTP</v>
      </c>
    </row>
    <row r="558" spans="1:18" s="152" customFormat="1" ht="15" customHeight="1">
      <c r="A558" s="153"/>
      <c r="B558" s="18">
        <f t="shared" si="160"/>
        <v>340</v>
      </c>
      <c r="C558" s="178" t="s">
        <v>1272</v>
      </c>
      <c r="D558" s="178" t="s">
        <v>1753</v>
      </c>
      <c r="E558" s="178" t="s">
        <v>1747</v>
      </c>
      <c r="F558" s="178" t="s">
        <v>2092</v>
      </c>
      <c r="G558" s="178" t="s">
        <v>2207</v>
      </c>
      <c r="H558" s="178" t="s">
        <v>1923</v>
      </c>
      <c r="I558" s="178"/>
      <c r="J558" s="135"/>
      <c r="K558" s="207">
        <v>0</v>
      </c>
      <c r="L558" s="207">
        <v>0</v>
      </c>
      <c r="M558" s="207">
        <v>720</v>
      </c>
      <c r="N558" s="129">
        <v>0</v>
      </c>
      <c r="O558" s="129">
        <f t="shared" si="158"/>
        <v>1</v>
      </c>
      <c r="P558" s="129">
        <f t="shared" si="159"/>
        <v>0</v>
      </c>
      <c r="Q558" s="117"/>
      <c r="R558" s="152" t="str">
        <f t="shared" si="157"/>
        <v>PTP</v>
      </c>
    </row>
    <row r="559" spans="1:18" s="152" customFormat="1" ht="15" customHeight="1">
      <c r="A559" s="153"/>
      <c r="B559" s="18">
        <f t="shared" si="160"/>
        <v>341</v>
      </c>
      <c r="C559" s="178" t="s">
        <v>1272</v>
      </c>
      <c r="D559" s="178" t="s">
        <v>1755</v>
      </c>
      <c r="E559" s="178" t="s">
        <v>1747</v>
      </c>
      <c r="F559" s="178" t="s">
        <v>2093</v>
      </c>
      <c r="G559" s="178" t="s">
        <v>2207</v>
      </c>
      <c r="H559" s="178" t="s">
        <v>1923</v>
      </c>
      <c r="I559" s="178"/>
      <c r="J559" s="135"/>
      <c r="K559" s="207">
        <v>0</v>
      </c>
      <c r="L559" s="207">
        <v>0</v>
      </c>
      <c r="M559" s="207">
        <v>720</v>
      </c>
      <c r="N559" s="129">
        <v>0</v>
      </c>
      <c r="O559" s="129">
        <f t="shared" si="158"/>
        <v>1</v>
      </c>
      <c r="P559" s="129">
        <f t="shared" si="159"/>
        <v>0</v>
      </c>
      <c r="Q559" s="117"/>
      <c r="R559" s="152" t="str">
        <f t="shared" si="157"/>
        <v>PTP</v>
      </c>
    </row>
    <row r="560" spans="1:18" s="152" customFormat="1" ht="15" customHeight="1">
      <c r="A560" s="153"/>
      <c r="B560" s="18">
        <f t="shared" si="160"/>
        <v>342</v>
      </c>
      <c r="C560" s="178" t="s">
        <v>1272</v>
      </c>
      <c r="D560" s="178" t="s">
        <v>1756</v>
      </c>
      <c r="E560" s="178" t="s">
        <v>1747</v>
      </c>
      <c r="F560" s="178" t="s">
        <v>2094</v>
      </c>
      <c r="G560" s="178" t="s">
        <v>2207</v>
      </c>
      <c r="H560" s="178" t="s">
        <v>1923</v>
      </c>
      <c r="I560" s="178"/>
      <c r="J560" s="135"/>
      <c r="K560" s="207">
        <v>0</v>
      </c>
      <c r="L560" s="207">
        <v>0</v>
      </c>
      <c r="M560" s="207">
        <v>720</v>
      </c>
      <c r="N560" s="129">
        <v>0</v>
      </c>
      <c r="O560" s="129">
        <f t="shared" si="158"/>
        <v>1</v>
      </c>
      <c r="P560" s="129">
        <f t="shared" si="159"/>
        <v>0</v>
      </c>
      <c r="Q560" s="117"/>
      <c r="R560" s="152" t="str">
        <f t="shared" si="157"/>
        <v>PTP</v>
      </c>
    </row>
    <row r="561" spans="1:23" s="152" customFormat="1" ht="15" customHeight="1">
      <c r="A561" s="153"/>
      <c r="B561" s="18">
        <f t="shared" si="160"/>
        <v>343</v>
      </c>
      <c r="C561" s="178" t="s">
        <v>1272</v>
      </c>
      <c r="D561" s="178" t="s">
        <v>1757</v>
      </c>
      <c r="E561" s="178" t="s">
        <v>1747</v>
      </c>
      <c r="F561" s="178" t="s">
        <v>2210</v>
      </c>
      <c r="G561" s="178" t="s">
        <v>2207</v>
      </c>
      <c r="H561" s="178" t="s">
        <v>1923</v>
      </c>
      <c r="I561" s="178"/>
      <c r="J561" s="135"/>
      <c r="K561" s="207">
        <v>0</v>
      </c>
      <c r="L561" s="207">
        <v>0</v>
      </c>
      <c r="M561" s="207">
        <v>720</v>
      </c>
      <c r="N561" s="129">
        <v>0</v>
      </c>
      <c r="O561" s="129">
        <f t="shared" si="158"/>
        <v>1</v>
      </c>
      <c r="P561" s="129">
        <f t="shared" si="159"/>
        <v>0</v>
      </c>
      <c r="Q561" s="117"/>
      <c r="R561" s="152" t="str">
        <f t="shared" si="157"/>
        <v>PTP</v>
      </c>
    </row>
    <row r="562" spans="1:23" s="152" customFormat="1" ht="15" customHeight="1">
      <c r="A562" s="153"/>
      <c r="B562" s="18">
        <f t="shared" si="160"/>
        <v>344</v>
      </c>
      <c r="C562" s="178" t="s">
        <v>1272</v>
      </c>
      <c r="D562" s="178" t="s">
        <v>1752</v>
      </c>
      <c r="E562" s="178" t="s">
        <v>1747</v>
      </c>
      <c r="F562" s="178" t="s">
        <v>2091</v>
      </c>
      <c r="G562" s="178" t="s">
        <v>2207</v>
      </c>
      <c r="H562" s="178" t="s">
        <v>1923</v>
      </c>
      <c r="I562" s="178"/>
      <c r="J562" s="135"/>
      <c r="K562" s="116">
        <v>0</v>
      </c>
      <c r="L562" s="116">
        <v>0</v>
      </c>
      <c r="M562" s="116">
        <v>720</v>
      </c>
      <c r="N562" s="129">
        <v>0</v>
      </c>
      <c r="O562" s="129">
        <f t="shared" si="158"/>
        <v>1</v>
      </c>
      <c r="P562" s="129">
        <f t="shared" si="159"/>
        <v>0</v>
      </c>
      <c r="Q562" s="117"/>
      <c r="R562" s="152" t="str">
        <f t="shared" si="157"/>
        <v>PTP</v>
      </c>
    </row>
    <row r="563" spans="1:23" s="152" customFormat="1" ht="15" customHeight="1">
      <c r="A563" s="153"/>
      <c r="B563" s="18">
        <f t="shared" si="160"/>
        <v>345</v>
      </c>
      <c r="C563" s="178" t="s">
        <v>1272</v>
      </c>
      <c r="D563" s="178" t="s">
        <v>2470</v>
      </c>
      <c r="E563" s="178" t="s">
        <v>1747</v>
      </c>
      <c r="F563" s="178" t="s">
        <v>2471</v>
      </c>
      <c r="G563" s="178" t="s">
        <v>2207</v>
      </c>
      <c r="H563" s="178" t="s">
        <v>1923</v>
      </c>
      <c r="I563" s="178"/>
      <c r="J563" s="135"/>
      <c r="K563" s="116">
        <v>0</v>
      </c>
      <c r="L563" s="116">
        <v>0</v>
      </c>
      <c r="M563" s="116">
        <v>720</v>
      </c>
      <c r="N563" s="129">
        <v>0</v>
      </c>
      <c r="O563" s="129">
        <f t="shared" si="158"/>
        <v>1</v>
      </c>
      <c r="P563" s="129">
        <f t="shared" si="159"/>
        <v>0</v>
      </c>
      <c r="Q563" s="117"/>
      <c r="R563" s="152" t="str">
        <f t="shared" si="157"/>
        <v>PTP</v>
      </c>
    </row>
    <row r="564" spans="1:23" s="152" customFormat="1" ht="15" customHeight="1">
      <c r="A564" s="153"/>
      <c r="B564" s="18">
        <f t="shared" si="160"/>
        <v>346</v>
      </c>
      <c r="C564" s="178" t="s">
        <v>1272</v>
      </c>
      <c r="D564" s="178" t="s">
        <v>1758</v>
      </c>
      <c r="E564" s="178" t="s">
        <v>1759</v>
      </c>
      <c r="F564" s="178" t="s">
        <v>2095</v>
      </c>
      <c r="G564" s="178" t="s">
        <v>2207</v>
      </c>
      <c r="H564" s="178" t="s">
        <v>2211</v>
      </c>
      <c r="I564" s="178"/>
      <c r="J564" s="135"/>
      <c r="K564" s="116">
        <v>51.799999999999272</v>
      </c>
      <c r="L564" s="116">
        <v>27.81666666666667</v>
      </c>
      <c r="M564" s="116">
        <v>640.38333333333401</v>
      </c>
      <c r="N564" s="129">
        <f t="shared" ref="N540:N564" si="161">+K564/(K564+L564)</f>
        <v>0.65061754239061853</v>
      </c>
      <c r="O564" s="129">
        <f t="shared" si="158"/>
        <v>0.96136574074074066</v>
      </c>
      <c r="P564" s="129">
        <f t="shared" si="159"/>
        <v>7.4835664924994744E-2</v>
      </c>
      <c r="Q564" s="117"/>
      <c r="R564" s="152" t="str">
        <f t="shared" si="157"/>
        <v>PTP</v>
      </c>
    </row>
    <row r="565" spans="1:23" s="152" customFormat="1" ht="15" hidden="1" customHeight="1">
      <c r="A565" s="153"/>
      <c r="B565" s="18">
        <f t="shared" si="160"/>
        <v>347</v>
      </c>
      <c r="C565" s="178"/>
      <c r="D565" s="178"/>
      <c r="E565" s="178"/>
      <c r="F565" s="178"/>
      <c r="G565" s="178"/>
      <c r="H565" s="178"/>
      <c r="I565" s="178"/>
      <c r="J565" s="135"/>
      <c r="K565" s="116"/>
      <c r="L565" s="116"/>
      <c r="M565" s="116"/>
      <c r="N565" s="129"/>
      <c r="O565" s="129"/>
      <c r="P565" s="129"/>
      <c r="Q565" s="117"/>
      <c r="R565" s="152" t="b">
        <f t="shared" si="157"/>
        <v>0</v>
      </c>
    </row>
    <row r="566" spans="1:23" s="4" customFormat="1" ht="15" customHeight="1">
      <c r="A566" s="153"/>
      <c r="B566" s="327" t="s">
        <v>22</v>
      </c>
      <c r="C566" s="328"/>
      <c r="D566" s="328"/>
      <c r="E566" s="354"/>
      <c r="F566" s="179">
        <f>+COUNTA(E219:E531)</f>
        <v>313</v>
      </c>
      <c r="G566" s="180"/>
      <c r="H566" s="181"/>
      <c r="I566" s="181"/>
      <c r="J566" s="135"/>
      <c r="K566" s="116"/>
      <c r="L566" s="116"/>
      <c r="M566" s="116"/>
      <c r="N566" s="129"/>
      <c r="O566" s="129"/>
      <c r="P566" s="129"/>
      <c r="Q566" s="117"/>
      <c r="R566" s="4" t="b">
        <f t="shared" si="153"/>
        <v>0</v>
      </c>
      <c r="U566" s="152"/>
      <c r="V566" s="152"/>
      <c r="W566" s="152"/>
    </row>
    <row r="567" spans="1:23" s="152" customFormat="1" ht="15" customHeight="1">
      <c r="K567" s="144"/>
      <c r="L567" s="144"/>
      <c r="M567" s="144"/>
      <c r="N567" s="144"/>
      <c r="O567" s="144"/>
      <c r="P567" s="144"/>
      <c r="Q567" s="144"/>
    </row>
    <row r="568" spans="1:23" s="152" customFormat="1" ht="15" customHeight="1">
      <c r="K568" s="1"/>
      <c r="L568" s="1"/>
      <c r="M568" s="1"/>
      <c r="N568" s="1"/>
      <c r="O568" s="1"/>
      <c r="P568" s="1"/>
      <c r="Q568" s="1"/>
    </row>
    <row r="569" spans="1:23" s="152" customFormat="1" ht="15" customHeight="1">
      <c r="K569" s="1"/>
      <c r="L569" s="1"/>
      <c r="M569" s="1"/>
      <c r="N569" s="1"/>
      <c r="O569" s="1"/>
      <c r="P569" s="1"/>
      <c r="Q569" s="1"/>
    </row>
    <row r="570" spans="1:23" s="152" customFormat="1" ht="15" customHeight="1">
      <c r="K570" s="1"/>
      <c r="L570" s="1"/>
      <c r="M570" s="1"/>
      <c r="N570" s="1"/>
      <c r="O570" s="1"/>
      <c r="P570" s="1"/>
      <c r="Q570" s="1"/>
    </row>
    <row r="571" spans="1:23" s="152" customFormat="1" ht="15" customHeight="1">
      <c r="K571" s="1"/>
      <c r="L571" s="1"/>
      <c r="M571" s="1"/>
      <c r="N571" s="1"/>
      <c r="O571" s="1"/>
      <c r="P571" s="1"/>
      <c r="Q571" s="1"/>
    </row>
    <row r="572" spans="1:23" s="152" customFormat="1" ht="15" customHeight="1">
      <c r="K572" s="1"/>
      <c r="L572" s="1"/>
      <c r="M572" s="1"/>
      <c r="N572" s="1"/>
      <c r="O572" s="1"/>
      <c r="P572" s="1"/>
      <c r="Q572" s="1"/>
    </row>
    <row r="573" spans="1:23" s="152" customFormat="1" ht="15" customHeight="1">
      <c r="K573" s="1"/>
      <c r="L573" s="1"/>
      <c r="M573" s="1"/>
      <c r="N573" s="1"/>
      <c r="O573" s="1"/>
      <c r="P573" s="1"/>
      <c r="Q573" s="1"/>
    </row>
    <row r="574" spans="1:23" s="152" customFormat="1" ht="15" customHeight="1">
      <c r="A574" s="4"/>
      <c r="K574" s="1"/>
      <c r="L574" s="1"/>
      <c r="M574" s="1"/>
      <c r="N574" s="1"/>
      <c r="O574" s="1"/>
      <c r="P574" s="1"/>
      <c r="Q574" s="1"/>
    </row>
    <row r="575" spans="1:23" s="152" customFormat="1" ht="15" customHeight="1">
      <c r="K575" s="1"/>
      <c r="L575" s="1"/>
      <c r="M575" s="1"/>
      <c r="N575" s="1"/>
      <c r="O575" s="1"/>
      <c r="P575" s="1"/>
      <c r="Q575" s="1"/>
    </row>
    <row r="576" spans="1:23" s="152" customFormat="1" ht="15" customHeight="1">
      <c r="K576" s="1"/>
      <c r="L576" s="1"/>
      <c r="M576" s="1"/>
      <c r="N576" s="1"/>
      <c r="O576" s="1"/>
      <c r="P576" s="1"/>
      <c r="Q576" s="1"/>
    </row>
    <row r="577" spans="11:22" s="152" customFormat="1" ht="15" customHeight="1">
      <c r="K577" s="1"/>
      <c r="L577" s="1"/>
      <c r="M577" s="1"/>
      <c r="N577" s="1"/>
      <c r="O577" s="1"/>
      <c r="P577" s="1"/>
      <c r="Q577" s="1"/>
    </row>
    <row r="578" spans="11:22" s="152" customFormat="1" ht="15" customHeight="1">
      <c r="K578" s="1"/>
      <c r="L578" s="1"/>
      <c r="M578" s="1"/>
      <c r="N578" s="1"/>
      <c r="O578" s="1"/>
      <c r="P578" s="1"/>
      <c r="Q578" s="1"/>
    </row>
    <row r="579" spans="11:22" s="152" customFormat="1" ht="15" customHeight="1">
      <c r="K579" s="1"/>
      <c r="L579" s="1"/>
      <c r="M579" s="1"/>
      <c r="N579" s="1"/>
      <c r="O579" s="1"/>
      <c r="P579" s="1"/>
      <c r="Q579" s="1"/>
    </row>
    <row r="580" spans="11:22" s="152" customFormat="1" ht="15" customHeight="1">
      <c r="K580" s="1"/>
      <c r="L580" s="1"/>
      <c r="M580" s="1"/>
      <c r="N580" s="1"/>
      <c r="O580" s="1"/>
      <c r="P580" s="1"/>
      <c r="Q580" s="1"/>
    </row>
    <row r="581" spans="11:22" s="152" customFormat="1" ht="15" customHeight="1">
      <c r="K581" s="1"/>
      <c r="L581" s="1"/>
      <c r="M581" s="1"/>
      <c r="N581" s="1"/>
      <c r="O581" s="1"/>
      <c r="P581" s="1"/>
      <c r="Q581" s="1"/>
    </row>
    <row r="582" spans="11:22" s="152" customFormat="1" ht="15" customHeight="1">
      <c r="K582" s="1"/>
      <c r="L582" s="1"/>
      <c r="M582" s="1"/>
      <c r="N582" s="1"/>
      <c r="O582" s="1"/>
      <c r="P582" s="1"/>
      <c r="Q582" s="1"/>
    </row>
    <row r="583" spans="11:22" s="152" customFormat="1" ht="15" customHeight="1">
      <c r="K583" s="1"/>
      <c r="L583" s="1"/>
      <c r="M583" s="1"/>
      <c r="N583" s="1"/>
      <c r="O583" s="1"/>
      <c r="P583" s="1"/>
      <c r="Q583" s="1"/>
    </row>
    <row r="584" spans="11:22" s="152" customFormat="1" ht="15" customHeight="1">
      <c r="K584" s="1"/>
      <c r="L584" s="1"/>
      <c r="M584" s="1"/>
      <c r="N584" s="1"/>
      <c r="O584" s="1"/>
      <c r="P584" s="1"/>
      <c r="Q584" s="1"/>
    </row>
    <row r="585" spans="11:22" s="152" customFormat="1" ht="15" customHeight="1">
      <c r="K585" s="1"/>
      <c r="L585" s="1"/>
      <c r="M585" s="1"/>
      <c r="N585" s="1"/>
      <c r="O585" s="1"/>
      <c r="P585" s="1"/>
      <c r="Q585" s="1"/>
    </row>
    <row r="586" spans="11:22" s="152" customFormat="1" ht="15" customHeight="1">
      <c r="K586" s="1"/>
      <c r="L586" s="1"/>
      <c r="M586" s="1"/>
      <c r="N586" s="1"/>
      <c r="O586" s="1"/>
      <c r="P586" s="1"/>
      <c r="Q586" s="1"/>
    </row>
    <row r="587" spans="11:22" s="152" customFormat="1" ht="15" customHeight="1">
      <c r="K587" s="1"/>
      <c r="L587" s="1"/>
      <c r="M587" s="1"/>
      <c r="N587" s="1"/>
      <c r="O587" s="1"/>
      <c r="P587" s="1"/>
      <c r="Q587" s="1"/>
    </row>
    <row r="588" spans="11:22" s="152" customFormat="1" ht="15" customHeight="1">
      <c r="K588" s="1"/>
      <c r="L588" s="1"/>
      <c r="M588" s="1"/>
      <c r="N588" s="1"/>
      <c r="O588" s="1"/>
      <c r="P588" s="1"/>
      <c r="Q588" s="1"/>
    </row>
    <row r="589" spans="11:22" s="152" customFormat="1" ht="15" customHeight="1">
      <c r="K589" s="1"/>
      <c r="L589" s="1"/>
      <c r="M589" s="1"/>
      <c r="N589" s="1"/>
      <c r="O589" s="1"/>
      <c r="P589" s="1"/>
      <c r="Q589" s="1"/>
    </row>
    <row r="590" spans="11:22" s="152" customFormat="1" ht="15" customHeight="1">
      <c r="K590" s="1"/>
      <c r="L590" s="1"/>
      <c r="M590" s="1"/>
      <c r="N590" s="1"/>
      <c r="O590" s="1"/>
      <c r="P590" s="1"/>
      <c r="Q590" s="1"/>
    </row>
    <row r="591" spans="11:22" s="152" customFormat="1" ht="15" customHeight="1">
      <c r="K591" s="1"/>
      <c r="L591" s="1"/>
      <c r="M591" s="1"/>
      <c r="N591" s="1"/>
      <c r="O591" s="1"/>
      <c r="P591" s="1"/>
      <c r="Q591" s="1"/>
      <c r="V591" s="108"/>
    </row>
    <row r="592" spans="11:22" s="152" customFormat="1" ht="15" customHeight="1">
      <c r="K592" s="1"/>
      <c r="L592" s="1"/>
      <c r="M592" s="1"/>
      <c r="N592" s="1"/>
      <c r="O592" s="1"/>
      <c r="P592" s="1"/>
      <c r="Q592" s="1"/>
      <c r="V592" s="108"/>
    </row>
    <row r="593" spans="1:23">
      <c r="A593" s="152"/>
      <c r="B593" s="152"/>
      <c r="C593" s="152"/>
      <c r="D593" s="152"/>
      <c r="E593" s="152"/>
      <c r="F593" s="152"/>
      <c r="G593" s="152"/>
      <c r="H593" s="152"/>
      <c r="I593" s="152"/>
      <c r="J593" s="152"/>
      <c r="U593" s="152"/>
      <c r="W593" s="152"/>
    </row>
    <row r="594" spans="1:23">
      <c r="A594" s="152"/>
      <c r="B594" s="152"/>
      <c r="C594" s="152"/>
      <c r="D594" s="152"/>
      <c r="E594" s="152"/>
      <c r="F594" s="152"/>
      <c r="G594" s="152"/>
      <c r="H594" s="152"/>
      <c r="I594" s="152"/>
      <c r="J594" s="152"/>
    </row>
    <row r="595" spans="1:23">
      <c r="A595" s="152"/>
      <c r="B595" s="152"/>
      <c r="C595" s="152"/>
      <c r="D595" s="152"/>
      <c r="E595" s="152"/>
      <c r="F595" s="152"/>
      <c r="G595" s="152"/>
      <c r="H595" s="152"/>
      <c r="I595" s="152"/>
      <c r="J595" s="152"/>
    </row>
    <row r="596" spans="1:23">
      <c r="A596" s="152"/>
      <c r="B596" s="152"/>
      <c r="C596" s="152"/>
      <c r="D596" s="152"/>
      <c r="E596" s="152"/>
      <c r="F596" s="152"/>
      <c r="G596" s="152"/>
      <c r="H596" s="152"/>
      <c r="I596" s="152"/>
      <c r="J596" s="152"/>
    </row>
    <row r="597" spans="1:23">
      <c r="A597" s="152"/>
      <c r="B597" s="152"/>
      <c r="C597" s="152"/>
      <c r="D597" s="152"/>
      <c r="E597" s="152"/>
      <c r="F597" s="152"/>
      <c r="G597" s="152"/>
      <c r="H597" s="152"/>
      <c r="I597" s="152"/>
      <c r="J597" s="152"/>
    </row>
    <row r="598" spans="1:23">
      <c r="A598" s="152"/>
      <c r="B598" s="152"/>
      <c r="C598" s="152"/>
      <c r="D598" s="152"/>
      <c r="E598" s="152"/>
      <c r="F598" s="152"/>
      <c r="G598" s="152"/>
      <c r="H598" s="152"/>
      <c r="I598" s="152"/>
      <c r="J598" s="152"/>
    </row>
    <row r="599" spans="1:23">
      <c r="A599" s="152"/>
      <c r="B599" s="152"/>
      <c r="C599" s="152"/>
      <c r="D599" s="152"/>
      <c r="E599" s="152"/>
      <c r="F599" s="152"/>
      <c r="G599" s="152"/>
      <c r="H599" s="152"/>
      <c r="I599" s="152"/>
      <c r="J599" s="152"/>
    </row>
    <row r="600" spans="1:23">
      <c r="A600" s="152"/>
      <c r="B600" s="152"/>
      <c r="C600" s="152"/>
      <c r="D600" s="152"/>
      <c r="E600" s="152"/>
      <c r="F600" s="152"/>
      <c r="G600" s="152"/>
      <c r="H600" s="152"/>
      <c r="I600" s="152"/>
      <c r="J600" s="152"/>
    </row>
    <row r="601" spans="1:23">
      <c r="A601" s="152"/>
      <c r="B601" s="152"/>
      <c r="C601" s="152"/>
      <c r="D601" s="152"/>
      <c r="E601" s="152"/>
      <c r="F601" s="152"/>
      <c r="G601" s="152"/>
      <c r="H601" s="152"/>
      <c r="I601" s="152"/>
      <c r="J601" s="152"/>
    </row>
    <row r="959" spans="2:2">
      <c r="B959" s="66"/>
    </row>
  </sheetData>
  <mergeCells count="14">
    <mergeCell ref="B566:E566"/>
    <mergeCell ref="A1:Q1"/>
    <mergeCell ref="A2:Q2"/>
    <mergeCell ref="B218:Q218"/>
    <mergeCell ref="B40:E40"/>
    <mergeCell ref="B214:E214"/>
    <mergeCell ref="A3:C3"/>
    <mergeCell ref="A6:C6"/>
    <mergeCell ref="A7:C7"/>
    <mergeCell ref="D7:E7"/>
    <mergeCell ref="B17:Q17"/>
    <mergeCell ref="B44:Q44"/>
    <mergeCell ref="B11:Q11"/>
    <mergeCell ref="B16:E16"/>
  </mergeCells>
  <phoneticPr fontId="9" type="noConversion"/>
  <dataValidations count="2">
    <dataValidation type="list" allowBlank="1" showInputMessage="1" showErrorMessage="1" sqref="D6" xr:uid="{00000000-0002-0000-0700-000001000000}">
      <formula1>$V$4:$V$15</formula1>
    </dataValidation>
    <dataValidation type="list" allowBlank="1" showInputMessage="1" showErrorMessage="1" sqref="D3" xr:uid="{00000000-0002-0000-0700-000000000000}">
      <formula1>$U$4:$U$16</formula1>
    </dataValidation>
  </dataValidations>
  <printOptions horizontalCentered="1"/>
  <pageMargins left="0.4" right="0.4" top="0.7" bottom="0.7" header="0" footer="0.3"/>
  <pageSetup paperSize="9" scale="39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F8A63-0EF6-48CB-8B3E-8936ECFDAD57}">
  <sheetPr>
    <pageSetUpPr fitToPage="1"/>
  </sheetPr>
  <dimension ref="A1:W313"/>
  <sheetViews>
    <sheetView showGridLines="0" view="pageBreakPreview" zoomScale="70" zoomScaleNormal="100" zoomScaleSheetLayoutView="70" workbookViewId="0">
      <selection activeCell="F129" sqref="F129"/>
    </sheetView>
  </sheetViews>
  <sheetFormatPr defaultColWidth="10.28515625" defaultRowHeight="15"/>
  <cols>
    <col min="1" max="1" width="3.85546875" style="108" customWidth="1"/>
    <col min="2" max="2" width="4.140625" style="108" customWidth="1"/>
    <col min="3" max="3" width="12" style="108" customWidth="1"/>
    <col min="4" max="4" width="17.85546875" style="108" customWidth="1"/>
    <col min="5" max="5" width="19.42578125" style="108" bestFit="1" customWidth="1"/>
    <col min="6" max="6" width="23" style="108" bestFit="1" customWidth="1"/>
    <col min="7" max="7" width="11" style="108" customWidth="1"/>
    <col min="8" max="8" width="19.42578125" style="108" bestFit="1" customWidth="1"/>
    <col min="9" max="9" width="16.85546875" style="108" customWidth="1"/>
    <col min="10" max="10" width="14.28515625" style="108" customWidth="1"/>
    <col min="11" max="16" width="8.85546875" style="1" customWidth="1"/>
    <col min="17" max="17" width="15.42578125" style="1" customWidth="1"/>
    <col min="18" max="18" width="18.140625" style="108" hidden="1" customWidth="1"/>
    <col min="19" max="20" width="10.28515625" style="108"/>
    <col min="21" max="22" width="16.42578125" style="108" hidden="1" customWidth="1"/>
    <col min="23" max="23" width="15.140625" style="108" customWidth="1"/>
    <col min="24" max="16384" width="10.28515625" style="108"/>
  </cols>
  <sheetData>
    <row r="1" spans="1:23" s="52" customFormat="1" ht="24" customHeight="1">
      <c r="A1" s="339" t="s">
        <v>249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1"/>
    </row>
    <row r="2" spans="1:23" s="52" customFormat="1" ht="15" customHeight="1" thickBot="1">
      <c r="A2" s="361" t="s">
        <v>260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4"/>
    </row>
    <row r="3" spans="1:23" s="52" customFormat="1" ht="15" customHeight="1" thickTop="1">
      <c r="A3" s="345" t="s">
        <v>250</v>
      </c>
      <c r="B3" s="362"/>
      <c r="C3" s="362"/>
      <c r="D3" s="212" t="s">
        <v>434</v>
      </c>
      <c r="E3" s="213"/>
      <c r="F3" s="213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5"/>
      <c r="U3" s="52" t="s">
        <v>250</v>
      </c>
      <c r="V3" s="52" t="s">
        <v>251</v>
      </c>
    </row>
    <row r="4" spans="1:23" s="52" customFormat="1" ht="15" customHeight="1">
      <c r="A4" s="81"/>
      <c r="B4" s="82"/>
      <c r="C4" s="82"/>
      <c r="D4" s="57" t="s">
        <v>252</v>
      </c>
      <c r="E4" s="58"/>
      <c r="F4" s="58"/>
      <c r="G4" s="4"/>
      <c r="H4" s="4"/>
      <c r="I4" s="4"/>
      <c r="J4" s="4"/>
      <c r="K4" s="4"/>
      <c r="L4" s="4"/>
      <c r="M4" s="4"/>
      <c r="N4" s="4"/>
      <c r="O4" s="4"/>
      <c r="P4" s="4"/>
      <c r="Q4" s="59"/>
      <c r="U4" s="52" t="s">
        <v>185</v>
      </c>
      <c r="V4" s="63" t="s">
        <v>467</v>
      </c>
    </row>
    <row r="5" spans="1:23" s="52" customFormat="1" ht="15" customHeight="1">
      <c r="A5" s="81"/>
      <c r="B5" s="82"/>
      <c r="C5" s="82"/>
      <c r="D5" s="57" t="s">
        <v>253</v>
      </c>
      <c r="E5" s="58"/>
      <c r="F5" s="58"/>
      <c r="G5" s="4"/>
      <c r="H5" s="4"/>
      <c r="I5" s="4"/>
      <c r="J5" s="4"/>
      <c r="K5" s="4"/>
      <c r="L5" s="4"/>
      <c r="M5" s="4"/>
      <c r="N5" s="4"/>
      <c r="O5" s="4"/>
      <c r="P5" s="4"/>
      <c r="Q5" s="59"/>
      <c r="U5" s="52" t="s">
        <v>261</v>
      </c>
      <c r="V5" s="63" t="s">
        <v>465</v>
      </c>
    </row>
    <row r="6" spans="1:23" s="52" customFormat="1" ht="15" customHeight="1">
      <c r="A6" s="347" t="s">
        <v>254</v>
      </c>
      <c r="B6" s="348"/>
      <c r="C6" s="348"/>
      <c r="D6" s="58" t="s">
        <v>259</v>
      </c>
      <c r="E6" s="58"/>
      <c r="F6" s="58"/>
      <c r="G6" s="4"/>
      <c r="H6" s="4"/>
      <c r="I6" s="4"/>
      <c r="J6" s="4"/>
      <c r="K6" s="4"/>
      <c r="L6" s="4"/>
      <c r="M6" s="4"/>
      <c r="N6" s="4"/>
      <c r="O6" s="4"/>
      <c r="P6" s="4"/>
      <c r="Q6" s="59"/>
      <c r="U6" s="52" t="s">
        <v>187</v>
      </c>
      <c r="V6" s="63" t="s">
        <v>466</v>
      </c>
    </row>
    <row r="7" spans="1:23" s="1" customFormat="1" ht="15" customHeight="1" thickBot="1">
      <c r="A7" s="363" t="s">
        <v>255</v>
      </c>
      <c r="B7" s="350"/>
      <c r="C7" s="350"/>
      <c r="D7" s="351">
        <f>+Pama!D7</f>
        <v>44652</v>
      </c>
      <c r="E7" s="351"/>
      <c r="F7" s="60"/>
      <c r="G7" s="61"/>
      <c r="H7" s="61"/>
      <c r="I7" s="84"/>
      <c r="J7" s="84"/>
      <c r="K7" s="84"/>
      <c r="L7" s="84"/>
      <c r="M7" s="84"/>
      <c r="N7" s="84"/>
      <c r="O7" s="84"/>
      <c r="P7" s="84"/>
      <c r="Q7" s="62" t="s">
        <v>541</v>
      </c>
      <c r="U7" s="52" t="s">
        <v>256</v>
      </c>
      <c r="V7" s="63" t="s">
        <v>340</v>
      </c>
      <c r="W7" s="52"/>
    </row>
    <row r="8" spans="1:23" s="152" customFormat="1" ht="8.25" customHeight="1" thickTop="1">
      <c r="A8" s="64"/>
      <c r="B8" s="4"/>
      <c r="C8" s="4"/>
      <c r="D8" s="4"/>
      <c r="E8" s="4"/>
      <c r="F8" s="16"/>
      <c r="G8" s="4"/>
      <c r="H8" s="4"/>
      <c r="I8" s="4"/>
      <c r="J8" s="4"/>
      <c r="K8" s="4"/>
      <c r="L8" s="4"/>
      <c r="M8" s="4"/>
      <c r="N8" s="4"/>
      <c r="O8" s="4"/>
      <c r="P8" s="4"/>
      <c r="Q8" s="59"/>
      <c r="U8" s="52" t="s">
        <v>191</v>
      </c>
      <c r="V8" s="63" t="s">
        <v>468</v>
      </c>
      <c r="W8" s="1"/>
    </row>
    <row r="9" spans="1:23" s="152" customFormat="1" ht="15" customHeight="1">
      <c r="A9" s="65" t="s">
        <v>0</v>
      </c>
      <c r="B9" s="66" t="s">
        <v>1</v>
      </c>
      <c r="C9" s="4"/>
      <c r="D9" s="4"/>
      <c r="E9" s="4"/>
      <c r="F9" s="16"/>
      <c r="G9" s="4"/>
      <c r="H9" s="4"/>
      <c r="I9" s="4"/>
      <c r="J9" s="4"/>
      <c r="K9" s="93"/>
      <c r="L9" s="4"/>
      <c r="M9" s="4"/>
      <c r="N9" s="4"/>
      <c r="O9" s="4"/>
      <c r="P9" s="4"/>
      <c r="Q9" s="59"/>
      <c r="U9" s="52" t="s">
        <v>434</v>
      </c>
      <c r="V9" s="52" t="s">
        <v>259</v>
      </c>
    </row>
    <row r="10" spans="1:23" s="152" customFormat="1" ht="15" customHeight="1">
      <c r="A10" s="64"/>
      <c r="B10" s="216" t="s">
        <v>2</v>
      </c>
      <c r="C10" s="216" t="s">
        <v>3</v>
      </c>
      <c r="D10" s="216" t="s">
        <v>4</v>
      </c>
      <c r="E10" s="216" t="s">
        <v>5</v>
      </c>
      <c r="F10" s="216" t="s">
        <v>6</v>
      </c>
      <c r="G10" s="216" t="s">
        <v>7</v>
      </c>
      <c r="H10" s="216" t="s">
        <v>8</v>
      </c>
      <c r="I10" s="217" t="s">
        <v>9</v>
      </c>
      <c r="J10" s="217" t="s">
        <v>267</v>
      </c>
      <c r="K10" s="216" t="s">
        <v>262</v>
      </c>
      <c r="L10" s="216" t="s">
        <v>268</v>
      </c>
      <c r="M10" s="216" t="s">
        <v>269</v>
      </c>
      <c r="N10" s="216" t="s">
        <v>263</v>
      </c>
      <c r="O10" s="216" t="s">
        <v>264</v>
      </c>
      <c r="P10" s="216" t="s">
        <v>265</v>
      </c>
      <c r="Q10" s="218" t="s">
        <v>266</v>
      </c>
      <c r="U10" s="52" t="s">
        <v>257</v>
      </c>
      <c r="V10" s="52"/>
    </row>
    <row r="11" spans="1:23" s="152" customFormat="1" ht="15" customHeight="1">
      <c r="A11" s="153"/>
      <c r="B11" s="209">
        <v>1</v>
      </c>
      <c r="C11" s="209" t="s">
        <v>1766</v>
      </c>
      <c r="D11" s="209" t="s">
        <v>2472</v>
      </c>
      <c r="E11" s="209" t="s">
        <v>208</v>
      </c>
      <c r="F11" s="209" t="s">
        <v>1768</v>
      </c>
      <c r="G11" s="219">
        <v>2017</v>
      </c>
      <c r="H11" s="209" t="s">
        <v>13</v>
      </c>
      <c r="I11" s="220">
        <v>2.66</v>
      </c>
      <c r="J11" s="221">
        <v>54360</v>
      </c>
      <c r="K11" s="221">
        <v>317.3006666666667</v>
      </c>
      <c r="L11" s="221">
        <v>136.82546750000003</v>
      </c>
      <c r="M11" s="221">
        <v>265.8738658333333</v>
      </c>
      <c r="N11" s="206">
        <f>+K11/(K11+L11)</f>
        <v>0.69870602635305645</v>
      </c>
      <c r="O11" s="206">
        <f t="shared" ref="O11" si="0">+(K11+M11)/(K11+L11+M11)</f>
        <v>0.80996462847222217</v>
      </c>
      <c r="P11" s="206">
        <f t="shared" ref="P11" si="1">+K11/(K11+M11)</f>
        <v>0.54409211819733694</v>
      </c>
      <c r="Q11" s="205">
        <f t="shared" ref="Q11" si="2">+J11/K11</f>
        <v>171.32015690690847</v>
      </c>
      <c r="R11" s="5" t="b">
        <f>IF(O11&gt;89.9999999999999%,"BIMA")</f>
        <v>0</v>
      </c>
      <c r="U11" s="63" t="s">
        <v>258</v>
      </c>
      <c r="V11" s="4"/>
    </row>
    <row r="12" spans="1:23" s="152" customFormat="1" ht="15" customHeight="1">
      <c r="A12" s="153"/>
      <c r="B12" s="209">
        <f t="shared" ref="B12:B32" si="3">+B11+1</f>
        <v>2</v>
      </c>
      <c r="C12" s="209" t="s">
        <v>1766</v>
      </c>
      <c r="D12" s="209" t="s">
        <v>2473</v>
      </c>
      <c r="E12" s="209" t="s">
        <v>208</v>
      </c>
      <c r="F12" s="209" t="s">
        <v>1768</v>
      </c>
      <c r="G12" s="219">
        <v>2017</v>
      </c>
      <c r="H12" s="209" t="s">
        <v>13</v>
      </c>
      <c r="I12" s="220">
        <v>2.66</v>
      </c>
      <c r="J12" s="221">
        <v>71863.5</v>
      </c>
      <c r="K12" s="221">
        <v>392.19333333333333</v>
      </c>
      <c r="L12" s="221">
        <v>118.55423472222219</v>
      </c>
      <c r="M12" s="221">
        <v>209.25243194444448</v>
      </c>
      <c r="N12" s="206">
        <f t="shared" ref="N12:N26" si="4">+K12/(K12+L12)</f>
        <v>0.76788096089509583</v>
      </c>
      <c r="O12" s="206">
        <f t="shared" ref="O12:O26" si="5">+(K12+M12)/(K12+L12+M12)</f>
        <v>0.83534134066358035</v>
      </c>
      <c r="P12" s="206">
        <f t="shared" ref="P12:P26" si="6">+K12/(K12+M12)</f>
        <v>0.65208428752041969</v>
      </c>
      <c r="Q12" s="205">
        <f t="shared" ref="Q12:Q26" si="7">+J12/K12</f>
        <v>183.23488415577353</v>
      </c>
      <c r="R12" s="5" t="b">
        <f t="shared" ref="R12:R75" si="8">IF(O12&gt;89.9999999999999%,"BIMA")</f>
        <v>0</v>
      </c>
      <c r="U12" s="52"/>
      <c r="V12" s="4"/>
    </row>
    <row r="13" spans="1:23" s="152" customFormat="1" ht="15" customHeight="1">
      <c r="A13" s="153"/>
      <c r="B13" s="209">
        <f t="shared" si="3"/>
        <v>3</v>
      </c>
      <c r="C13" s="209" t="s">
        <v>1766</v>
      </c>
      <c r="D13" s="209" t="s">
        <v>2474</v>
      </c>
      <c r="E13" s="209" t="s">
        <v>158</v>
      </c>
      <c r="F13" s="209" t="s">
        <v>1769</v>
      </c>
      <c r="G13" s="219">
        <v>2018</v>
      </c>
      <c r="H13" s="209" t="s">
        <v>13</v>
      </c>
      <c r="I13" s="220">
        <v>2.66</v>
      </c>
      <c r="J13" s="221">
        <v>58821</v>
      </c>
      <c r="K13" s="221">
        <v>326.91833333333341</v>
      </c>
      <c r="L13" s="221">
        <v>134.37165527777779</v>
      </c>
      <c r="M13" s="221">
        <v>258.7100113888888</v>
      </c>
      <c r="N13" s="206">
        <f t="shared" si="4"/>
        <v>0.70870459234904548</v>
      </c>
      <c r="O13" s="206">
        <f t="shared" si="5"/>
        <v>0.81337270100308645</v>
      </c>
      <c r="P13" s="206">
        <f t="shared" si="6"/>
        <v>0.55823516105320814</v>
      </c>
      <c r="Q13" s="205">
        <f t="shared" si="7"/>
        <v>179.92566950971442</v>
      </c>
      <c r="R13" s="5" t="b">
        <f t="shared" si="8"/>
        <v>0</v>
      </c>
      <c r="U13" s="52"/>
      <c r="V13" s="4"/>
    </row>
    <row r="14" spans="1:23" s="152" customFormat="1" ht="15" customHeight="1">
      <c r="A14" s="153"/>
      <c r="B14" s="209">
        <f t="shared" si="3"/>
        <v>4</v>
      </c>
      <c r="C14" s="209" t="s">
        <v>1766</v>
      </c>
      <c r="D14" s="209" t="s">
        <v>2475</v>
      </c>
      <c r="E14" s="209" t="s">
        <v>158</v>
      </c>
      <c r="F14" s="209" t="s">
        <v>1769</v>
      </c>
      <c r="G14" s="219">
        <v>2018</v>
      </c>
      <c r="H14" s="209" t="s">
        <v>13</v>
      </c>
      <c r="I14" s="220">
        <v>2.66</v>
      </c>
      <c r="J14" s="221">
        <v>77679</v>
      </c>
      <c r="K14" s="221">
        <v>426.70999999999992</v>
      </c>
      <c r="L14" s="221">
        <v>42.65954333333331</v>
      </c>
      <c r="M14" s="221">
        <v>250.63045666666676</v>
      </c>
      <c r="N14" s="206">
        <f t="shared" si="4"/>
        <v>0.90911309875289947</v>
      </c>
      <c r="O14" s="206">
        <f t="shared" si="5"/>
        <v>0.94075063425925931</v>
      </c>
      <c r="P14" s="206">
        <f t="shared" si="6"/>
        <v>0.62997861090407714</v>
      </c>
      <c r="Q14" s="205">
        <f t="shared" si="7"/>
        <v>182.04166764313004</v>
      </c>
      <c r="R14" s="5" t="str">
        <f t="shared" si="8"/>
        <v>BIMA</v>
      </c>
      <c r="U14" s="52"/>
      <c r="V14" s="4"/>
    </row>
    <row r="15" spans="1:23" s="152" customFormat="1" ht="15" customHeight="1">
      <c r="A15" s="153"/>
      <c r="B15" s="209">
        <f t="shared" si="3"/>
        <v>5</v>
      </c>
      <c r="C15" s="209" t="s">
        <v>1766</v>
      </c>
      <c r="D15" s="209" t="s">
        <v>2476</v>
      </c>
      <c r="E15" s="209" t="s">
        <v>158</v>
      </c>
      <c r="F15" s="209" t="s">
        <v>1769</v>
      </c>
      <c r="G15" s="219">
        <v>2018</v>
      </c>
      <c r="H15" s="209" t="s">
        <v>13</v>
      </c>
      <c r="I15" s="220">
        <v>2.66</v>
      </c>
      <c r="J15" s="221">
        <v>0</v>
      </c>
      <c r="K15" s="221">
        <v>0</v>
      </c>
      <c r="L15" s="221">
        <v>720</v>
      </c>
      <c r="M15" s="221">
        <v>0</v>
      </c>
      <c r="N15" s="206">
        <f t="shared" si="4"/>
        <v>0</v>
      </c>
      <c r="O15" s="206">
        <f t="shared" si="5"/>
        <v>0</v>
      </c>
      <c r="P15" s="206">
        <v>0</v>
      </c>
      <c r="Q15" s="205">
        <v>0</v>
      </c>
      <c r="R15" s="5" t="b">
        <f t="shared" si="8"/>
        <v>0</v>
      </c>
      <c r="U15" s="52"/>
      <c r="V15" s="4"/>
    </row>
    <row r="16" spans="1:23" s="152" customFormat="1" ht="15" customHeight="1">
      <c r="A16" s="153"/>
      <c r="B16" s="209">
        <f t="shared" si="3"/>
        <v>6</v>
      </c>
      <c r="C16" s="209" t="s">
        <v>1766</v>
      </c>
      <c r="D16" s="209" t="s">
        <v>2477</v>
      </c>
      <c r="E16" s="209" t="s">
        <v>158</v>
      </c>
      <c r="F16" s="209" t="s">
        <v>1769</v>
      </c>
      <c r="G16" s="219">
        <v>2018</v>
      </c>
      <c r="H16" s="209" t="s">
        <v>13</v>
      </c>
      <c r="I16" s="220">
        <v>2.66</v>
      </c>
      <c r="J16" s="221">
        <v>71253</v>
      </c>
      <c r="K16" s="221">
        <v>387.11520333333328</v>
      </c>
      <c r="L16" s="221">
        <v>95.536111111111111</v>
      </c>
      <c r="M16" s="221">
        <v>237.34868555555562</v>
      </c>
      <c r="N16" s="206">
        <f t="shared" si="4"/>
        <v>0.80205977223727676</v>
      </c>
      <c r="O16" s="206">
        <f t="shared" si="5"/>
        <v>0.8673109567901236</v>
      </c>
      <c r="P16" s="206">
        <f t="shared" si="6"/>
        <v>0.61991607556704176</v>
      </c>
      <c r="Q16" s="205">
        <f t="shared" si="7"/>
        <v>184.06148708824071</v>
      </c>
      <c r="R16" s="5" t="b">
        <f t="shared" si="8"/>
        <v>0</v>
      </c>
      <c r="U16" s="52"/>
      <c r="V16" s="4"/>
    </row>
    <row r="17" spans="1:22" s="152" customFormat="1" ht="15" customHeight="1">
      <c r="A17" s="153"/>
      <c r="B17" s="209">
        <f t="shared" si="3"/>
        <v>7</v>
      </c>
      <c r="C17" s="209" t="s">
        <v>1766</v>
      </c>
      <c r="D17" s="209" t="s">
        <v>2478</v>
      </c>
      <c r="E17" s="209" t="s">
        <v>208</v>
      </c>
      <c r="F17" s="209" t="s">
        <v>1768</v>
      </c>
      <c r="G17" s="219">
        <v>2017</v>
      </c>
      <c r="H17" s="209" t="s">
        <v>13</v>
      </c>
      <c r="I17" s="220">
        <v>2.66</v>
      </c>
      <c r="J17" s="221">
        <v>0</v>
      </c>
      <c r="K17" s="221">
        <v>0</v>
      </c>
      <c r="L17" s="221">
        <v>720</v>
      </c>
      <c r="M17" s="221">
        <v>0</v>
      </c>
      <c r="N17" s="206">
        <f t="shared" si="4"/>
        <v>0</v>
      </c>
      <c r="O17" s="206">
        <f t="shared" si="5"/>
        <v>0</v>
      </c>
      <c r="P17" s="206">
        <v>0</v>
      </c>
      <c r="Q17" s="205">
        <v>0</v>
      </c>
      <c r="R17" s="5" t="b">
        <f t="shared" si="8"/>
        <v>0</v>
      </c>
      <c r="U17" s="52"/>
      <c r="V17" s="4"/>
    </row>
    <row r="18" spans="1:22" s="152" customFormat="1" ht="15" customHeight="1">
      <c r="A18" s="153"/>
      <c r="B18" s="209">
        <f t="shared" si="3"/>
        <v>8</v>
      </c>
      <c r="C18" s="209" t="s">
        <v>1766</v>
      </c>
      <c r="D18" s="209" t="s">
        <v>2479</v>
      </c>
      <c r="E18" s="209" t="s">
        <v>208</v>
      </c>
      <c r="F18" s="209" t="s">
        <v>1768</v>
      </c>
      <c r="G18" s="219">
        <v>2017</v>
      </c>
      <c r="H18" s="209" t="s">
        <v>13</v>
      </c>
      <c r="I18" s="220">
        <v>2.66</v>
      </c>
      <c r="J18" s="221">
        <v>18733.5</v>
      </c>
      <c r="K18" s="221">
        <v>108.46453333333336</v>
      </c>
      <c r="L18" s="221">
        <v>558.88333333333333</v>
      </c>
      <c r="M18" s="221">
        <v>52.652133333333268</v>
      </c>
      <c r="N18" s="206">
        <f t="shared" si="4"/>
        <v>0.16253072610406688</v>
      </c>
      <c r="O18" s="206">
        <f t="shared" si="5"/>
        <v>0.22377314814814808</v>
      </c>
      <c r="P18" s="206">
        <v>0</v>
      </c>
      <c r="Q18" s="205">
        <v>0</v>
      </c>
      <c r="R18" s="5" t="b">
        <f t="shared" si="8"/>
        <v>0</v>
      </c>
      <c r="U18" s="63"/>
      <c r="V18" s="4"/>
    </row>
    <row r="19" spans="1:22" s="152" customFormat="1" ht="15" customHeight="1">
      <c r="A19" s="153"/>
      <c r="B19" s="209">
        <f t="shared" si="3"/>
        <v>9</v>
      </c>
      <c r="C19" s="209" t="s">
        <v>1766</v>
      </c>
      <c r="D19" s="209" t="s">
        <v>2480</v>
      </c>
      <c r="E19" s="209" t="s">
        <v>208</v>
      </c>
      <c r="F19" s="209" t="s">
        <v>1768</v>
      </c>
      <c r="G19" s="219">
        <v>2017</v>
      </c>
      <c r="H19" s="209" t="s">
        <v>13</v>
      </c>
      <c r="I19" s="220">
        <v>2.66</v>
      </c>
      <c r="J19" s="221">
        <v>53620.5</v>
      </c>
      <c r="K19" s="221">
        <v>305.16890000000006</v>
      </c>
      <c r="L19" s="221">
        <v>71.391659722222215</v>
      </c>
      <c r="M19" s="221">
        <v>343.43944027777775</v>
      </c>
      <c r="N19" s="206">
        <f t="shared" si="4"/>
        <v>0.81041121307317543</v>
      </c>
      <c r="O19" s="206">
        <f t="shared" si="5"/>
        <v>0.90084491705246927</v>
      </c>
      <c r="P19" s="206">
        <f t="shared" si="6"/>
        <v>0.47049795855123622</v>
      </c>
      <c r="Q19" s="205">
        <f t="shared" si="7"/>
        <v>175.70761633967285</v>
      </c>
      <c r="R19" s="5" t="str">
        <f t="shared" si="8"/>
        <v>BIMA</v>
      </c>
      <c r="U19" s="63"/>
      <c r="V19" s="4"/>
    </row>
    <row r="20" spans="1:22" s="152" customFormat="1" ht="15" customHeight="1">
      <c r="A20" s="153"/>
      <c r="B20" s="209">
        <f t="shared" si="3"/>
        <v>10</v>
      </c>
      <c r="C20" s="209" t="s">
        <v>1766</v>
      </c>
      <c r="D20" s="209" t="s">
        <v>2481</v>
      </c>
      <c r="E20" s="209" t="s">
        <v>11</v>
      </c>
      <c r="F20" s="209" t="s">
        <v>1771</v>
      </c>
      <c r="G20" s="219">
        <v>2019</v>
      </c>
      <c r="H20" s="209" t="s">
        <v>13</v>
      </c>
      <c r="I20" s="220">
        <v>2.66</v>
      </c>
      <c r="J20" s="221">
        <v>47829</v>
      </c>
      <c r="K20" s="221">
        <v>269.04666666666668</v>
      </c>
      <c r="L20" s="221">
        <v>249.34862833333335</v>
      </c>
      <c r="M20" s="221">
        <v>201.60470499999997</v>
      </c>
      <c r="N20" s="206">
        <f t="shared" si="4"/>
        <v>0.51899905200078378</v>
      </c>
      <c r="O20" s="206">
        <f t="shared" si="5"/>
        <v>0.65368246064814817</v>
      </c>
      <c r="P20" s="206">
        <f t="shared" si="6"/>
        <v>0.5716474717027189</v>
      </c>
      <c r="Q20" s="205">
        <f t="shared" si="7"/>
        <v>177.77213370666797</v>
      </c>
      <c r="R20" s="5" t="b">
        <f t="shared" si="8"/>
        <v>0</v>
      </c>
      <c r="U20" s="63"/>
      <c r="V20" s="4"/>
    </row>
    <row r="21" spans="1:22" s="152" customFormat="1" ht="15" customHeight="1">
      <c r="A21" s="153"/>
      <c r="B21" s="209">
        <f t="shared" si="3"/>
        <v>11</v>
      </c>
      <c r="C21" s="209" t="s">
        <v>1766</v>
      </c>
      <c r="D21" s="209" t="s">
        <v>2482</v>
      </c>
      <c r="E21" s="209" t="s">
        <v>208</v>
      </c>
      <c r="F21" s="209" t="s">
        <v>1772</v>
      </c>
      <c r="G21" s="219">
        <v>2019</v>
      </c>
      <c r="H21" s="209" t="s">
        <v>13</v>
      </c>
      <c r="I21" s="220">
        <v>2.66</v>
      </c>
      <c r="J21" s="221">
        <v>40962</v>
      </c>
      <c r="K21" s="221">
        <v>227.86999999999998</v>
      </c>
      <c r="L21" s="221">
        <v>350.56569027777789</v>
      </c>
      <c r="M21" s="221">
        <v>141.56430972222211</v>
      </c>
      <c r="N21" s="206">
        <f t="shared" si="4"/>
        <v>0.39394180516518895</v>
      </c>
      <c r="O21" s="206">
        <f t="shared" si="5"/>
        <v>0.51310320794753073</v>
      </c>
      <c r="P21" s="206">
        <f t="shared" si="6"/>
        <v>0.6168078979219217</v>
      </c>
      <c r="Q21" s="205">
        <f t="shared" si="7"/>
        <v>179.76038969587924</v>
      </c>
      <c r="R21" s="5" t="b">
        <f t="shared" si="8"/>
        <v>0</v>
      </c>
      <c r="U21" s="63"/>
      <c r="V21" s="4"/>
    </row>
    <row r="22" spans="1:22" s="152" customFormat="1" ht="15" customHeight="1">
      <c r="A22" s="153"/>
      <c r="B22" s="209">
        <f t="shared" si="3"/>
        <v>12</v>
      </c>
      <c r="C22" s="209" t="s">
        <v>1766</v>
      </c>
      <c r="D22" s="209" t="s">
        <v>2483</v>
      </c>
      <c r="E22" s="209" t="s">
        <v>208</v>
      </c>
      <c r="F22" s="209" t="s">
        <v>1772</v>
      </c>
      <c r="G22" s="219">
        <v>2019</v>
      </c>
      <c r="H22" s="209" t="s">
        <v>13</v>
      </c>
      <c r="I22" s="220">
        <v>2.66</v>
      </c>
      <c r="J22" s="221">
        <v>62653.5</v>
      </c>
      <c r="K22" s="221">
        <v>367.61000000000018</v>
      </c>
      <c r="L22" s="221">
        <v>32.769647500000019</v>
      </c>
      <c r="M22" s="221">
        <v>319.6203524999998</v>
      </c>
      <c r="N22" s="206">
        <f t="shared" si="4"/>
        <v>0.91815356323775177</v>
      </c>
      <c r="O22" s="206">
        <f t="shared" si="5"/>
        <v>0.95448660069444446</v>
      </c>
      <c r="P22" s="206">
        <f t="shared" si="6"/>
        <v>0.53491525608947865</v>
      </c>
      <c r="Q22" s="205">
        <f t="shared" si="7"/>
        <v>170.43469981774155</v>
      </c>
      <c r="R22" s="5" t="str">
        <f t="shared" si="8"/>
        <v>BIMA</v>
      </c>
      <c r="U22" s="63"/>
      <c r="V22" s="4"/>
    </row>
    <row r="23" spans="1:22" s="152" customFormat="1" ht="15" customHeight="1">
      <c r="A23" s="153"/>
      <c r="B23" s="209">
        <f t="shared" si="3"/>
        <v>13</v>
      </c>
      <c r="C23" s="209" t="s">
        <v>1766</v>
      </c>
      <c r="D23" s="209" t="s">
        <v>2484</v>
      </c>
      <c r="E23" s="209" t="s">
        <v>208</v>
      </c>
      <c r="F23" s="209" t="s">
        <v>2488</v>
      </c>
      <c r="G23" s="219">
        <v>2020</v>
      </c>
      <c r="H23" s="209" t="s">
        <v>13</v>
      </c>
      <c r="I23" s="220">
        <v>2.66</v>
      </c>
      <c r="J23" s="221">
        <v>69897</v>
      </c>
      <c r="K23" s="221">
        <v>405.34268333333341</v>
      </c>
      <c r="L23" s="221">
        <v>11.238055555555553</v>
      </c>
      <c r="M23" s="221">
        <v>303.41926111111104</v>
      </c>
      <c r="N23" s="206">
        <f t="shared" si="4"/>
        <v>0.97302310331118558</v>
      </c>
      <c r="O23" s="206">
        <f t="shared" si="5"/>
        <v>0.98439158950617289</v>
      </c>
      <c r="P23" s="206">
        <f t="shared" si="6"/>
        <v>0.57190243707435084</v>
      </c>
      <c r="Q23" s="205">
        <f t="shared" si="7"/>
        <v>172.43927884722723</v>
      </c>
      <c r="R23" s="5" t="str">
        <f t="shared" si="8"/>
        <v>BIMA</v>
      </c>
      <c r="U23" s="63"/>
      <c r="V23" s="4"/>
    </row>
    <row r="24" spans="1:22" s="152" customFormat="1" ht="15" customHeight="1">
      <c r="A24" s="153"/>
      <c r="B24" s="209">
        <f t="shared" si="3"/>
        <v>14</v>
      </c>
      <c r="C24" s="209" t="s">
        <v>1766</v>
      </c>
      <c r="D24" s="209" t="s">
        <v>2485</v>
      </c>
      <c r="E24" s="209" t="s">
        <v>208</v>
      </c>
      <c r="F24" s="209" t="s">
        <v>2488</v>
      </c>
      <c r="G24" s="219">
        <v>2021</v>
      </c>
      <c r="H24" s="209" t="s">
        <v>13</v>
      </c>
      <c r="I24" s="220">
        <v>2.66</v>
      </c>
      <c r="J24" s="222">
        <v>81784.5</v>
      </c>
      <c r="K24" s="222">
        <v>445.07666666666671</v>
      </c>
      <c r="L24" s="222">
        <v>9.4387905555555598</v>
      </c>
      <c r="M24" s="222">
        <v>265.48454277777773</v>
      </c>
      <c r="N24" s="206">
        <f t="shared" si="4"/>
        <v>0.97923329029723027</v>
      </c>
      <c r="O24" s="206">
        <f t="shared" si="5"/>
        <v>0.98689056867283953</v>
      </c>
      <c r="P24" s="206">
        <f t="shared" si="6"/>
        <v>0.62637343658916023</v>
      </c>
      <c r="Q24" s="205">
        <f t="shared" si="7"/>
        <v>183.75373531151934</v>
      </c>
      <c r="R24" s="5" t="str">
        <f t="shared" si="8"/>
        <v>BIMA</v>
      </c>
      <c r="U24" s="63"/>
      <c r="V24" s="4"/>
    </row>
    <row r="25" spans="1:22" s="152" customFormat="1" ht="15" customHeight="1">
      <c r="A25" s="153"/>
      <c r="B25" s="209">
        <f t="shared" si="3"/>
        <v>15</v>
      </c>
      <c r="C25" s="209" t="s">
        <v>1766</v>
      </c>
      <c r="D25" s="209" t="s">
        <v>2486</v>
      </c>
      <c r="E25" s="209" t="s">
        <v>11</v>
      </c>
      <c r="F25" s="209" t="s">
        <v>1771</v>
      </c>
      <c r="G25" s="219">
        <v>2022</v>
      </c>
      <c r="H25" s="209" t="s">
        <v>13</v>
      </c>
      <c r="I25" s="220">
        <v>2.66</v>
      </c>
      <c r="J25" s="221">
        <v>26452.5</v>
      </c>
      <c r="K25" s="221">
        <v>139.62333333333333</v>
      </c>
      <c r="L25" s="221">
        <v>473.73500000000001</v>
      </c>
      <c r="M25" s="221">
        <v>106.64166666666665</v>
      </c>
      <c r="N25" s="206">
        <f t="shared" si="4"/>
        <v>0.22763746042960206</v>
      </c>
      <c r="O25" s="206">
        <f t="shared" si="5"/>
        <v>0.3420347222222222</v>
      </c>
      <c r="P25" s="206">
        <f t="shared" si="6"/>
        <v>0.56696377208833304</v>
      </c>
      <c r="Q25" s="205">
        <f t="shared" si="7"/>
        <v>189.45615584787643</v>
      </c>
      <c r="R25" s="5" t="b">
        <f t="shared" si="8"/>
        <v>0</v>
      </c>
      <c r="U25" s="63"/>
      <c r="V25" s="4"/>
    </row>
    <row r="26" spans="1:22" s="152" customFormat="1" ht="15" customHeight="1">
      <c r="A26" s="153"/>
      <c r="B26" s="209">
        <f t="shared" si="3"/>
        <v>16</v>
      </c>
      <c r="C26" s="209" t="s">
        <v>1766</v>
      </c>
      <c r="D26" s="209" t="s">
        <v>2487</v>
      </c>
      <c r="E26" s="209" t="s">
        <v>1767</v>
      </c>
      <c r="F26" s="209" t="s">
        <v>1768</v>
      </c>
      <c r="G26" s="219">
        <v>2022</v>
      </c>
      <c r="H26" s="209" t="s">
        <v>13</v>
      </c>
      <c r="I26" s="220">
        <v>2.66</v>
      </c>
      <c r="J26" s="221">
        <v>62449.5</v>
      </c>
      <c r="K26" s="221">
        <v>359.1466666666667</v>
      </c>
      <c r="L26" s="221">
        <v>58.259790555555512</v>
      </c>
      <c r="M26" s="221">
        <v>302.59354277777777</v>
      </c>
      <c r="N26" s="206">
        <f t="shared" si="4"/>
        <v>0.86042431891622917</v>
      </c>
      <c r="O26" s="206">
        <f t="shared" si="5"/>
        <v>0.91908362422839507</v>
      </c>
      <c r="P26" s="206">
        <f t="shared" si="6"/>
        <v>0.54273060869035561</v>
      </c>
      <c r="Q26" s="205">
        <f t="shared" si="7"/>
        <v>173.88300044550041</v>
      </c>
      <c r="R26" s="5" t="str">
        <f t="shared" si="8"/>
        <v>BIMA</v>
      </c>
      <c r="U26" s="63"/>
      <c r="V26" s="4"/>
    </row>
    <row r="27" spans="1:22" s="152" customFormat="1" ht="15" hidden="1" customHeight="1">
      <c r="A27" s="153"/>
      <c r="B27" s="209">
        <f t="shared" si="3"/>
        <v>17</v>
      </c>
      <c r="C27" s="209"/>
      <c r="D27" s="209"/>
      <c r="E27" s="209"/>
      <c r="F27" s="209"/>
      <c r="G27" s="219"/>
      <c r="H27" s="209"/>
      <c r="I27" s="220"/>
      <c r="J27" s="221"/>
      <c r="K27" s="221"/>
      <c r="L27" s="221"/>
      <c r="M27" s="221"/>
      <c r="N27" s="206"/>
      <c r="O27" s="206"/>
      <c r="P27" s="206"/>
      <c r="Q27" s="205"/>
      <c r="R27" s="5" t="b">
        <f t="shared" si="8"/>
        <v>0</v>
      </c>
      <c r="U27" s="63"/>
      <c r="V27" s="4"/>
    </row>
    <row r="28" spans="1:22" s="152" customFormat="1" ht="15" hidden="1" customHeight="1">
      <c r="A28" s="153"/>
      <c r="B28" s="209">
        <f t="shared" si="3"/>
        <v>18</v>
      </c>
      <c r="C28" s="209"/>
      <c r="D28" s="209"/>
      <c r="E28" s="209"/>
      <c r="F28" s="209"/>
      <c r="G28" s="219"/>
      <c r="H28" s="209"/>
      <c r="I28" s="220"/>
      <c r="J28" s="221"/>
      <c r="K28" s="221"/>
      <c r="L28" s="221"/>
      <c r="M28" s="221"/>
      <c r="N28" s="206"/>
      <c r="O28" s="206"/>
      <c r="P28" s="206"/>
      <c r="Q28" s="205"/>
      <c r="R28" s="5" t="b">
        <f t="shared" si="8"/>
        <v>0</v>
      </c>
      <c r="U28" s="63"/>
      <c r="V28" s="4"/>
    </row>
    <row r="29" spans="1:22" s="152" customFormat="1" ht="15" hidden="1" customHeight="1">
      <c r="A29" s="153"/>
      <c r="B29" s="209">
        <f t="shared" si="3"/>
        <v>19</v>
      </c>
      <c r="C29" s="209" t="s">
        <v>1766</v>
      </c>
      <c r="D29" s="209"/>
      <c r="E29" s="209"/>
      <c r="F29" s="209"/>
      <c r="G29" s="219"/>
      <c r="H29" s="209"/>
      <c r="I29" s="220"/>
      <c r="J29" s="221"/>
      <c r="K29" s="221"/>
      <c r="L29" s="221"/>
      <c r="M29" s="221"/>
      <c r="N29" s="206" t="e">
        <f t="shared" ref="N29" si="9">+K29/(K29+L29)</f>
        <v>#DIV/0!</v>
      </c>
      <c r="O29" s="206" t="e">
        <f t="shared" ref="O29" si="10">+(K29+M29)/(K29+L29+M29)</f>
        <v>#DIV/0!</v>
      </c>
      <c r="P29" s="206" t="e">
        <f t="shared" ref="P29" si="11">+K29/(K29+M29)</f>
        <v>#DIV/0!</v>
      </c>
      <c r="Q29" s="205" t="e">
        <f t="shared" ref="Q29" si="12">+J29/K29</f>
        <v>#DIV/0!</v>
      </c>
      <c r="R29" s="5" t="e">
        <f t="shared" si="8"/>
        <v>#DIV/0!</v>
      </c>
      <c r="U29" s="63"/>
      <c r="V29" s="4"/>
    </row>
    <row r="30" spans="1:22" s="152" customFormat="1" ht="15" hidden="1" customHeight="1">
      <c r="A30" s="153"/>
      <c r="B30" s="209">
        <f t="shared" si="3"/>
        <v>20</v>
      </c>
      <c r="C30" s="209" t="s">
        <v>1766</v>
      </c>
      <c r="D30" s="209"/>
      <c r="E30" s="209"/>
      <c r="F30" s="209"/>
      <c r="G30" s="219"/>
      <c r="H30" s="209"/>
      <c r="I30" s="220"/>
      <c r="J30" s="221"/>
      <c r="K30" s="221"/>
      <c r="L30" s="221"/>
      <c r="M30" s="221"/>
      <c r="N30" s="206" t="e">
        <f t="shared" ref="N30:N31" si="13">+K30/(K30+L30)</f>
        <v>#DIV/0!</v>
      </c>
      <c r="O30" s="206" t="e">
        <f t="shared" ref="O30:O31" si="14">+(K30+M30)/(K30+L30+M30)</f>
        <v>#DIV/0!</v>
      </c>
      <c r="P30" s="206" t="e">
        <f t="shared" ref="P30:P31" si="15">+K30/(K30+M30)</f>
        <v>#DIV/0!</v>
      </c>
      <c r="Q30" s="205">
        <v>0</v>
      </c>
      <c r="R30" s="5" t="e">
        <f t="shared" si="8"/>
        <v>#DIV/0!</v>
      </c>
      <c r="U30" s="63"/>
      <c r="V30" s="4"/>
    </row>
    <row r="31" spans="1:22" s="152" customFormat="1" ht="15" hidden="1" customHeight="1">
      <c r="A31" s="153"/>
      <c r="B31" s="209">
        <f t="shared" si="3"/>
        <v>21</v>
      </c>
      <c r="C31" s="209" t="s">
        <v>1766</v>
      </c>
      <c r="D31" s="209"/>
      <c r="E31" s="209"/>
      <c r="F31" s="209"/>
      <c r="G31" s="219"/>
      <c r="H31" s="209"/>
      <c r="I31" s="220"/>
      <c r="J31" s="221"/>
      <c r="K31" s="221"/>
      <c r="L31" s="221"/>
      <c r="M31" s="221"/>
      <c r="N31" s="206" t="e">
        <f t="shared" si="13"/>
        <v>#DIV/0!</v>
      </c>
      <c r="O31" s="206" t="e">
        <f t="shared" si="14"/>
        <v>#DIV/0!</v>
      </c>
      <c r="P31" s="206" t="e">
        <f t="shared" si="15"/>
        <v>#DIV/0!</v>
      </c>
      <c r="Q31" s="205" t="e">
        <f t="shared" ref="Q31" si="16">+J31/K31</f>
        <v>#DIV/0!</v>
      </c>
      <c r="R31" s="5" t="e">
        <f t="shared" si="8"/>
        <v>#DIV/0!</v>
      </c>
      <c r="U31" s="63"/>
      <c r="V31" s="4"/>
    </row>
    <row r="32" spans="1:22" s="152" customFormat="1" ht="15" hidden="1" customHeight="1">
      <c r="A32" s="153"/>
      <c r="B32" s="209">
        <f t="shared" si="3"/>
        <v>22</v>
      </c>
      <c r="C32" s="209"/>
      <c r="D32" s="209"/>
      <c r="E32" s="209"/>
      <c r="F32" s="209"/>
      <c r="G32" s="219"/>
      <c r="H32" s="209"/>
      <c r="I32" s="220"/>
      <c r="J32" s="237"/>
      <c r="K32" s="236"/>
      <c r="L32" s="236"/>
      <c r="M32" s="236"/>
      <c r="N32" s="206"/>
      <c r="O32" s="206"/>
      <c r="P32" s="206"/>
      <c r="Q32" s="205"/>
      <c r="R32" s="5" t="b">
        <f t="shared" si="8"/>
        <v>0</v>
      </c>
      <c r="U32" s="63"/>
      <c r="V32" s="4"/>
    </row>
    <row r="33" spans="1:23" s="152" customFormat="1" ht="15" customHeight="1">
      <c r="A33" s="64"/>
      <c r="B33" s="359" t="s">
        <v>22</v>
      </c>
      <c r="C33" s="360"/>
      <c r="D33" s="360"/>
      <c r="E33" s="358"/>
      <c r="F33" s="223">
        <f>+COUNTA(F11:F31)</f>
        <v>16</v>
      </c>
      <c r="G33" s="224"/>
      <c r="H33" s="210"/>
      <c r="I33" s="202"/>
      <c r="J33" s="202"/>
      <c r="K33" s="210"/>
      <c r="L33" s="210"/>
      <c r="M33" s="210"/>
      <c r="N33" s="206"/>
      <c r="O33" s="206"/>
      <c r="P33" s="206"/>
      <c r="Q33" s="205"/>
      <c r="R33" s="5" t="b">
        <f t="shared" si="8"/>
        <v>0</v>
      </c>
      <c r="U33" s="4"/>
      <c r="V33" s="4"/>
    </row>
    <row r="34" spans="1:23" s="4" customFormat="1" ht="15" customHeight="1">
      <c r="A34" s="64"/>
      <c r="B34" s="10"/>
      <c r="C34" s="10"/>
      <c r="D34" s="10"/>
      <c r="E34" s="10"/>
      <c r="F34" s="10"/>
      <c r="G34" s="10"/>
      <c r="H34" s="10"/>
      <c r="I34" s="10"/>
      <c r="J34" s="10"/>
      <c r="K34" s="225"/>
      <c r="L34" s="225"/>
      <c r="M34" s="225"/>
      <c r="N34" s="225"/>
      <c r="O34" s="225"/>
      <c r="P34" s="225"/>
      <c r="Q34" s="226"/>
      <c r="R34" s="5" t="b">
        <f t="shared" si="8"/>
        <v>0</v>
      </c>
      <c r="V34" s="159"/>
      <c r="W34" s="152"/>
    </row>
    <row r="35" spans="1:23" s="152" customFormat="1" ht="15" customHeight="1">
      <c r="A35" s="65" t="s">
        <v>23</v>
      </c>
      <c r="B35" s="66" t="s">
        <v>166</v>
      </c>
      <c r="C35" s="4"/>
      <c r="D35" s="4"/>
      <c r="E35" s="4"/>
      <c r="F35" s="16"/>
      <c r="G35" s="4"/>
      <c r="H35" s="4"/>
      <c r="I35" s="4"/>
      <c r="J35" s="4"/>
      <c r="K35" s="106"/>
      <c r="L35" s="106"/>
      <c r="M35" s="106"/>
      <c r="N35" s="106"/>
      <c r="O35" s="106"/>
      <c r="P35" s="106"/>
      <c r="Q35" s="107"/>
      <c r="R35" s="5" t="b">
        <f t="shared" si="8"/>
        <v>0</v>
      </c>
      <c r="U35" s="4"/>
      <c r="V35" s="159"/>
      <c r="W35" s="4"/>
    </row>
    <row r="36" spans="1:23" s="19" customFormat="1" ht="15" customHeight="1">
      <c r="A36" s="64"/>
      <c r="B36" s="216" t="s">
        <v>2</v>
      </c>
      <c r="C36" s="216" t="s">
        <v>3</v>
      </c>
      <c r="D36" s="216" t="s">
        <v>4</v>
      </c>
      <c r="E36" s="216" t="s">
        <v>5</v>
      </c>
      <c r="F36" s="216" t="s">
        <v>6</v>
      </c>
      <c r="G36" s="216" t="s">
        <v>7</v>
      </c>
      <c r="H36" s="216" t="s">
        <v>8</v>
      </c>
      <c r="I36" s="217" t="s">
        <v>9</v>
      </c>
      <c r="J36" s="217" t="s">
        <v>267</v>
      </c>
      <c r="K36" s="216" t="s">
        <v>262</v>
      </c>
      <c r="L36" s="216" t="s">
        <v>268</v>
      </c>
      <c r="M36" s="216" t="s">
        <v>269</v>
      </c>
      <c r="N36" s="216" t="s">
        <v>263</v>
      </c>
      <c r="O36" s="216" t="s">
        <v>264</v>
      </c>
      <c r="P36" s="216" t="s">
        <v>265</v>
      </c>
      <c r="Q36" s="218" t="s">
        <v>266</v>
      </c>
      <c r="R36" s="5" t="str">
        <f t="shared" si="8"/>
        <v>BIMA</v>
      </c>
      <c r="U36" s="4"/>
      <c r="V36" s="159"/>
      <c r="W36" s="152"/>
    </row>
    <row r="37" spans="1:23" s="19" customFormat="1" ht="15" customHeight="1">
      <c r="A37" s="80"/>
      <c r="B37" s="209">
        <v>1</v>
      </c>
      <c r="C37" s="209" t="s">
        <v>1766</v>
      </c>
      <c r="D37" s="209" t="s">
        <v>2489</v>
      </c>
      <c r="E37" s="227" t="s">
        <v>1950</v>
      </c>
      <c r="F37" s="209" t="s">
        <v>1774</v>
      </c>
      <c r="G37" s="209">
        <v>2017</v>
      </c>
      <c r="H37" s="209" t="s">
        <v>25</v>
      </c>
      <c r="I37" s="220">
        <v>10.5</v>
      </c>
      <c r="J37" s="208">
        <v>13555.5</v>
      </c>
      <c r="K37" s="248">
        <v>378.90000000000146</v>
      </c>
      <c r="L37" s="207">
        <v>166.86703388888884</v>
      </c>
      <c r="M37" s="248">
        <v>174.23296611110968</v>
      </c>
      <c r="N37" s="206">
        <f t="shared" ref="N37" si="17">+K37/(K37+L37)</f>
        <v>0.69425226602664247</v>
      </c>
      <c r="O37" s="206">
        <f t="shared" ref="O37" si="18">+(K37+M37)/(K37+L37+M37)</f>
        <v>0.76824023070987657</v>
      </c>
      <c r="P37" s="206">
        <f t="shared" ref="P37" si="19">+K37/(K37+M37)</f>
        <v>0.68500708367450569</v>
      </c>
      <c r="Q37" s="205">
        <f t="shared" ref="Q37" si="20">+J37/K37</f>
        <v>35.775930324623772</v>
      </c>
      <c r="R37" s="5" t="b">
        <f t="shared" si="8"/>
        <v>0</v>
      </c>
      <c r="U37" s="4"/>
      <c r="V37" s="155"/>
    </row>
    <row r="38" spans="1:23" s="19" customFormat="1" ht="15" customHeight="1">
      <c r="A38" s="80"/>
      <c r="B38" s="209">
        <f>+B37+1</f>
        <v>2</v>
      </c>
      <c r="C38" s="209" t="s">
        <v>1766</v>
      </c>
      <c r="D38" s="209" t="s">
        <v>2490</v>
      </c>
      <c r="E38" s="227" t="s">
        <v>1950</v>
      </c>
      <c r="F38" s="209" t="s">
        <v>1774</v>
      </c>
      <c r="G38" s="209">
        <v>2017</v>
      </c>
      <c r="H38" s="209" t="s">
        <v>25</v>
      </c>
      <c r="I38" s="220">
        <v>10.5</v>
      </c>
      <c r="J38" s="208">
        <v>12946.5</v>
      </c>
      <c r="K38" s="248">
        <v>366</v>
      </c>
      <c r="L38" s="207">
        <v>86.216474444444458</v>
      </c>
      <c r="M38" s="248">
        <v>267.78352555555551</v>
      </c>
      <c r="N38" s="206">
        <f t="shared" ref="N38:N101" si="21">+K38/(K38+L38)</f>
        <v>0.80934689619531708</v>
      </c>
      <c r="O38" s="206">
        <f t="shared" ref="O38:O101" si="22">+(K38+M38)/(K38+L38+M38)</f>
        <v>0.88025489660493828</v>
      </c>
      <c r="P38" s="206">
        <f t="shared" ref="P38:P101" si="23">+K38/(K38+M38)</f>
        <v>0.57748424381838481</v>
      </c>
      <c r="Q38" s="205">
        <f t="shared" ref="Q38:Q101" si="24">+J38/K38</f>
        <v>35.372950819672134</v>
      </c>
      <c r="R38" s="5" t="b">
        <f t="shared" si="8"/>
        <v>0</v>
      </c>
      <c r="U38" s="4"/>
    </row>
    <row r="39" spans="1:23" s="19" customFormat="1" ht="15" customHeight="1">
      <c r="A39" s="80"/>
      <c r="B39" s="209">
        <f t="shared" ref="B39:B102" si="25">+B38+1</f>
        <v>3</v>
      </c>
      <c r="C39" s="209" t="s">
        <v>1766</v>
      </c>
      <c r="D39" s="209" t="s">
        <v>2491</v>
      </c>
      <c r="E39" s="227" t="s">
        <v>1950</v>
      </c>
      <c r="F39" s="209" t="s">
        <v>1774</v>
      </c>
      <c r="G39" s="209">
        <v>2017</v>
      </c>
      <c r="H39" s="209" t="s">
        <v>25</v>
      </c>
      <c r="I39" s="220">
        <v>10.5</v>
      </c>
      <c r="J39" s="208">
        <v>0</v>
      </c>
      <c r="K39" s="248">
        <v>0</v>
      </c>
      <c r="L39" s="207">
        <v>720</v>
      </c>
      <c r="M39" s="248">
        <v>0</v>
      </c>
      <c r="N39" s="206">
        <f t="shared" si="21"/>
        <v>0</v>
      </c>
      <c r="O39" s="206">
        <f t="shared" si="22"/>
        <v>0</v>
      </c>
      <c r="P39" s="206">
        <v>0</v>
      </c>
      <c r="Q39" s="205">
        <v>0</v>
      </c>
      <c r="R39" s="5" t="b">
        <f t="shared" si="8"/>
        <v>0</v>
      </c>
      <c r="U39" s="4"/>
    </row>
    <row r="40" spans="1:23" s="19" customFormat="1" ht="15" customHeight="1">
      <c r="A40" s="80"/>
      <c r="B40" s="209">
        <f t="shared" si="25"/>
        <v>4</v>
      </c>
      <c r="C40" s="209" t="s">
        <v>1766</v>
      </c>
      <c r="D40" s="209" t="s">
        <v>2492</v>
      </c>
      <c r="E40" s="227" t="s">
        <v>1950</v>
      </c>
      <c r="F40" s="209" t="s">
        <v>1774</v>
      </c>
      <c r="G40" s="209">
        <v>2017</v>
      </c>
      <c r="H40" s="209" t="s">
        <v>25</v>
      </c>
      <c r="I40" s="220">
        <v>10.5</v>
      </c>
      <c r="J40" s="208">
        <v>11193</v>
      </c>
      <c r="K40" s="248">
        <v>310.21861111111156</v>
      </c>
      <c r="L40" s="207">
        <v>191.55461194444439</v>
      </c>
      <c r="M40" s="248">
        <v>218.22677694444405</v>
      </c>
      <c r="N40" s="206">
        <f t="shared" si="21"/>
        <v>0.61824465088437852</v>
      </c>
      <c r="O40" s="206">
        <f t="shared" si="22"/>
        <v>0.73395192785493846</v>
      </c>
      <c r="P40" s="206">
        <f t="shared" si="23"/>
        <v>0.58704005772967061</v>
      </c>
      <c r="Q40" s="205">
        <f t="shared" si="24"/>
        <v>36.081007389949868</v>
      </c>
      <c r="R40" s="5" t="b">
        <f t="shared" si="8"/>
        <v>0</v>
      </c>
      <c r="U40" s="152"/>
      <c r="V40" s="155"/>
    </row>
    <row r="41" spans="1:23" s="19" customFormat="1" ht="15" customHeight="1">
      <c r="A41" s="80"/>
      <c r="B41" s="209">
        <f t="shared" si="25"/>
        <v>5</v>
      </c>
      <c r="C41" s="209" t="s">
        <v>1766</v>
      </c>
      <c r="D41" s="209" t="s">
        <v>2493</v>
      </c>
      <c r="E41" s="227" t="s">
        <v>1950</v>
      </c>
      <c r="F41" s="209" t="s">
        <v>1774</v>
      </c>
      <c r="G41" s="209">
        <v>2017</v>
      </c>
      <c r="H41" s="209" t="s">
        <v>25</v>
      </c>
      <c r="I41" s="220">
        <v>10.5</v>
      </c>
      <c r="J41" s="208">
        <v>9523.5</v>
      </c>
      <c r="K41" s="248">
        <v>247.41666666666666</v>
      </c>
      <c r="L41" s="207">
        <v>305.14922277777777</v>
      </c>
      <c r="M41" s="248">
        <v>167.43411055555555</v>
      </c>
      <c r="N41" s="206">
        <f t="shared" si="21"/>
        <v>0.447759572917941</v>
      </c>
      <c r="O41" s="206">
        <f t="shared" si="22"/>
        <v>0.57618163503086417</v>
      </c>
      <c r="P41" s="206">
        <f t="shared" si="23"/>
        <v>0.59639918797629132</v>
      </c>
      <c r="Q41" s="205">
        <f t="shared" si="24"/>
        <v>38.491748063320983</v>
      </c>
      <c r="R41" s="5" t="b">
        <f t="shared" si="8"/>
        <v>0</v>
      </c>
      <c r="V41" s="155"/>
    </row>
    <row r="42" spans="1:23" s="19" customFormat="1" ht="15" customHeight="1">
      <c r="A42" s="80"/>
      <c r="B42" s="209">
        <f t="shared" si="25"/>
        <v>6</v>
      </c>
      <c r="C42" s="209" t="s">
        <v>1766</v>
      </c>
      <c r="D42" s="209" t="s">
        <v>2494</v>
      </c>
      <c r="E42" s="227" t="s">
        <v>1950</v>
      </c>
      <c r="F42" s="209" t="s">
        <v>1774</v>
      </c>
      <c r="G42" s="209">
        <v>2017</v>
      </c>
      <c r="H42" s="209" t="s">
        <v>25</v>
      </c>
      <c r="I42" s="220">
        <v>10.5</v>
      </c>
      <c r="J42" s="208">
        <v>31.5</v>
      </c>
      <c r="K42" s="248">
        <v>0</v>
      </c>
      <c r="L42" s="207">
        <v>720</v>
      </c>
      <c r="M42" s="248">
        <v>0</v>
      </c>
      <c r="N42" s="206">
        <f t="shared" si="21"/>
        <v>0</v>
      </c>
      <c r="O42" s="206">
        <f t="shared" si="22"/>
        <v>0</v>
      </c>
      <c r="P42" s="206">
        <v>0</v>
      </c>
      <c r="Q42" s="205">
        <v>0</v>
      </c>
      <c r="R42" s="5" t="b">
        <f t="shared" si="8"/>
        <v>0</v>
      </c>
      <c r="V42" s="155"/>
    </row>
    <row r="43" spans="1:23" s="19" customFormat="1" ht="15" customHeight="1">
      <c r="A43" s="80"/>
      <c r="B43" s="209">
        <f t="shared" si="25"/>
        <v>7</v>
      </c>
      <c r="C43" s="209" t="s">
        <v>1766</v>
      </c>
      <c r="D43" s="209" t="s">
        <v>2495</v>
      </c>
      <c r="E43" s="227" t="s">
        <v>1950</v>
      </c>
      <c r="F43" s="209" t="s">
        <v>1774</v>
      </c>
      <c r="G43" s="209">
        <v>2018</v>
      </c>
      <c r="H43" s="209" t="s">
        <v>25</v>
      </c>
      <c r="I43" s="220">
        <v>10.5</v>
      </c>
      <c r="J43" s="208">
        <v>12379.5</v>
      </c>
      <c r="K43" s="248">
        <v>363.90000000000146</v>
      </c>
      <c r="L43" s="207">
        <v>117.60437611111108</v>
      </c>
      <c r="M43" s="248">
        <v>238.49562388888754</v>
      </c>
      <c r="N43" s="206">
        <f t="shared" si="21"/>
        <v>0.755756371186183</v>
      </c>
      <c r="O43" s="206">
        <f t="shared" si="22"/>
        <v>0.83666058873456783</v>
      </c>
      <c r="P43" s="206">
        <f t="shared" si="23"/>
        <v>0.60408805371255869</v>
      </c>
      <c r="Q43" s="205">
        <f t="shared" si="24"/>
        <v>34.018961253091369</v>
      </c>
      <c r="R43" s="5" t="b">
        <f t="shared" si="8"/>
        <v>0</v>
      </c>
      <c r="U43" s="152"/>
    </row>
    <row r="44" spans="1:23" s="19" customFormat="1" ht="15" customHeight="1">
      <c r="A44" s="80"/>
      <c r="B44" s="209">
        <f t="shared" si="25"/>
        <v>8</v>
      </c>
      <c r="C44" s="209" t="s">
        <v>1766</v>
      </c>
      <c r="D44" s="209" t="s">
        <v>2496</v>
      </c>
      <c r="E44" s="227" t="s">
        <v>1950</v>
      </c>
      <c r="F44" s="209" t="s">
        <v>1774</v>
      </c>
      <c r="G44" s="209">
        <v>2018</v>
      </c>
      <c r="H44" s="209" t="s">
        <v>25</v>
      </c>
      <c r="I44" s="220">
        <v>10.5</v>
      </c>
      <c r="J44" s="208">
        <v>13335</v>
      </c>
      <c r="K44" s="248">
        <v>362.83333333333337</v>
      </c>
      <c r="L44" s="207">
        <v>119.74411055555555</v>
      </c>
      <c r="M44" s="248">
        <v>237.42255611111116</v>
      </c>
      <c r="N44" s="206">
        <f t="shared" si="21"/>
        <v>0.75186550454868328</v>
      </c>
      <c r="O44" s="206">
        <f t="shared" si="22"/>
        <v>0.83368873533950616</v>
      </c>
      <c r="P44" s="206">
        <f t="shared" si="23"/>
        <v>0.60446442877744511</v>
      </c>
      <c r="Q44" s="205">
        <f t="shared" si="24"/>
        <v>36.752411575562697</v>
      </c>
      <c r="R44" s="5" t="b">
        <f t="shared" si="8"/>
        <v>0</v>
      </c>
      <c r="U44" s="152"/>
      <c r="V44" s="155"/>
    </row>
    <row r="45" spans="1:23" s="19" customFormat="1" ht="15" customHeight="1">
      <c r="A45" s="80"/>
      <c r="B45" s="209">
        <f t="shared" si="25"/>
        <v>9</v>
      </c>
      <c r="C45" s="209" t="s">
        <v>1766</v>
      </c>
      <c r="D45" s="209" t="s">
        <v>2497</v>
      </c>
      <c r="E45" s="227" t="s">
        <v>1950</v>
      </c>
      <c r="F45" s="209" t="s">
        <v>1774</v>
      </c>
      <c r="G45" s="209">
        <v>2018</v>
      </c>
      <c r="H45" s="209" t="s">
        <v>25</v>
      </c>
      <c r="I45" s="220">
        <v>10.5</v>
      </c>
      <c r="J45" s="208">
        <v>903</v>
      </c>
      <c r="K45" s="248">
        <v>24.571428571428573</v>
      </c>
      <c r="L45" s="207">
        <v>0</v>
      </c>
      <c r="M45" s="248">
        <v>0</v>
      </c>
      <c r="N45" s="206">
        <f t="shared" si="21"/>
        <v>1</v>
      </c>
      <c r="O45" s="206">
        <f t="shared" si="22"/>
        <v>1</v>
      </c>
      <c r="P45" s="206">
        <f t="shared" si="23"/>
        <v>1</v>
      </c>
      <c r="Q45" s="205">
        <f t="shared" si="24"/>
        <v>36.75</v>
      </c>
      <c r="R45" s="5" t="str">
        <f t="shared" si="8"/>
        <v>BIMA</v>
      </c>
      <c r="U45" s="152"/>
      <c r="V45" s="155"/>
    </row>
    <row r="46" spans="1:23" s="19" customFormat="1" ht="15" customHeight="1">
      <c r="A46" s="80"/>
      <c r="B46" s="209">
        <f t="shared" si="25"/>
        <v>10</v>
      </c>
      <c r="C46" s="209" t="s">
        <v>1766</v>
      </c>
      <c r="D46" s="209" t="s">
        <v>2498</v>
      </c>
      <c r="E46" s="227" t="s">
        <v>1950</v>
      </c>
      <c r="F46" s="209" t="s">
        <v>1774</v>
      </c>
      <c r="G46" s="209">
        <v>2018</v>
      </c>
      <c r="H46" s="209" t="s">
        <v>25</v>
      </c>
      <c r="I46" s="220">
        <v>10.5</v>
      </c>
      <c r="J46" s="208">
        <v>2299.5</v>
      </c>
      <c r="K46" s="248">
        <v>65</v>
      </c>
      <c r="L46" s="207">
        <v>620.14835083333332</v>
      </c>
      <c r="M46" s="248">
        <v>34.851649166666675</v>
      </c>
      <c r="N46" s="206">
        <f t="shared" si="21"/>
        <v>9.4869964907514842E-2</v>
      </c>
      <c r="O46" s="206">
        <f t="shared" si="22"/>
        <v>0.13868284606481482</v>
      </c>
      <c r="P46" s="206">
        <f t="shared" si="23"/>
        <v>0.65096571306003881</v>
      </c>
      <c r="Q46" s="205">
        <f t="shared" si="24"/>
        <v>35.376923076923077</v>
      </c>
      <c r="R46" s="5" t="b">
        <f t="shared" si="8"/>
        <v>0</v>
      </c>
    </row>
    <row r="47" spans="1:23" s="19" customFormat="1" ht="15" customHeight="1">
      <c r="A47" s="80"/>
      <c r="B47" s="209">
        <f t="shared" si="25"/>
        <v>11</v>
      </c>
      <c r="C47" s="209" t="s">
        <v>1766</v>
      </c>
      <c r="D47" s="209" t="s">
        <v>2499</v>
      </c>
      <c r="E47" s="227" t="s">
        <v>1950</v>
      </c>
      <c r="F47" s="209" t="s">
        <v>1774</v>
      </c>
      <c r="G47" s="209">
        <v>2018</v>
      </c>
      <c r="H47" s="209" t="s">
        <v>25</v>
      </c>
      <c r="I47" s="220">
        <v>10.5</v>
      </c>
      <c r="J47" s="208">
        <v>9450</v>
      </c>
      <c r="K47" s="248">
        <v>262.15999999999985</v>
      </c>
      <c r="L47" s="207">
        <v>208.77326611111107</v>
      </c>
      <c r="M47" s="248">
        <v>249.06673388888905</v>
      </c>
      <c r="N47" s="206">
        <f t="shared" si="21"/>
        <v>0.55668184616659977</v>
      </c>
      <c r="O47" s="206">
        <f t="shared" si="22"/>
        <v>0.71003713040123462</v>
      </c>
      <c r="P47" s="206">
        <f t="shared" si="23"/>
        <v>0.51280573299787224</v>
      </c>
      <c r="Q47" s="205">
        <f t="shared" si="24"/>
        <v>36.04668904485812</v>
      </c>
      <c r="R47" s="5" t="b">
        <f t="shared" si="8"/>
        <v>0</v>
      </c>
      <c r="U47" s="152"/>
    </row>
    <row r="48" spans="1:23" s="19" customFormat="1" ht="15" customHeight="1">
      <c r="A48" s="80"/>
      <c r="B48" s="209">
        <f t="shared" si="25"/>
        <v>12</v>
      </c>
      <c r="C48" s="209" t="s">
        <v>1766</v>
      </c>
      <c r="D48" s="209" t="s">
        <v>2500</v>
      </c>
      <c r="E48" s="227" t="s">
        <v>1950</v>
      </c>
      <c r="F48" s="209" t="s">
        <v>1774</v>
      </c>
      <c r="G48" s="209">
        <v>2018</v>
      </c>
      <c r="H48" s="209" t="s">
        <v>25</v>
      </c>
      <c r="I48" s="220">
        <v>10.5</v>
      </c>
      <c r="J48" s="208">
        <v>4809</v>
      </c>
      <c r="K48" s="248">
        <v>125.31333333333333</v>
      </c>
      <c r="L48" s="207">
        <v>531.34221916666661</v>
      </c>
      <c r="M48" s="248">
        <v>63.34444750000003</v>
      </c>
      <c r="N48" s="206">
        <f t="shared" si="21"/>
        <v>0.19083571722837653</v>
      </c>
      <c r="O48" s="206">
        <f t="shared" si="22"/>
        <v>0.26202469560185193</v>
      </c>
      <c r="P48" s="206">
        <f t="shared" si="23"/>
        <v>0.6642362312320389</v>
      </c>
      <c r="Q48" s="205">
        <f t="shared" si="24"/>
        <v>38.375804649678138</v>
      </c>
      <c r="R48" s="5" t="b">
        <f t="shared" si="8"/>
        <v>0</v>
      </c>
      <c r="U48" s="152"/>
    </row>
    <row r="49" spans="1:18" s="19" customFormat="1" ht="15" customHeight="1">
      <c r="A49" s="80"/>
      <c r="B49" s="209">
        <f t="shared" si="25"/>
        <v>13</v>
      </c>
      <c r="C49" s="209" t="s">
        <v>1766</v>
      </c>
      <c r="D49" s="209" t="s">
        <v>2501</v>
      </c>
      <c r="E49" s="227" t="s">
        <v>1950</v>
      </c>
      <c r="F49" s="209" t="s">
        <v>1774</v>
      </c>
      <c r="G49" s="209">
        <v>2018</v>
      </c>
      <c r="H49" s="209" t="s">
        <v>25</v>
      </c>
      <c r="I49" s="220">
        <v>10.5</v>
      </c>
      <c r="J49" s="208">
        <v>9439.5</v>
      </c>
      <c r="K49" s="248">
        <v>248.70000000000073</v>
      </c>
      <c r="L49" s="207">
        <v>305.07781388888895</v>
      </c>
      <c r="M49" s="248">
        <v>166.22218611111029</v>
      </c>
      <c r="N49" s="206">
        <f t="shared" si="21"/>
        <v>0.44909708146939242</v>
      </c>
      <c r="O49" s="206">
        <f t="shared" si="22"/>
        <v>0.57628081404320974</v>
      </c>
      <c r="P49" s="206">
        <f t="shared" si="23"/>
        <v>0.59938949597022018</v>
      </c>
      <c r="Q49" s="205">
        <f t="shared" si="24"/>
        <v>37.955367913148258</v>
      </c>
      <c r="R49" s="5" t="b">
        <f t="shared" si="8"/>
        <v>0</v>
      </c>
    </row>
    <row r="50" spans="1:18" s="19" customFormat="1" ht="15" customHeight="1">
      <c r="A50" s="80"/>
      <c r="B50" s="209">
        <f t="shared" si="25"/>
        <v>14</v>
      </c>
      <c r="C50" s="209" t="s">
        <v>1766</v>
      </c>
      <c r="D50" s="209" t="s">
        <v>2502</v>
      </c>
      <c r="E50" s="227" t="s">
        <v>1950</v>
      </c>
      <c r="F50" s="209" t="s">
        <v>1774</v>
      </c>
      <c r="G50" s="209">
        <v>2018</v>
      </c>
      <c r="H50" s="209" t="s">
        <v>25</v>
      </c>
      <c r="I50" s="220">
        <v>10.5</v>
      </c>
      <c r="J50" s="208">
        <v>15561</v>
      </c>
      <c r="K50" s="248">
        <v>418.77999999999884</v>
      </c>
      <c r="L50" s="207">
        <v>70.30017361111112</v>
      </c>
      <c r="M50" s="248">
        <v>230.91982638889004</v>
      </c>
      <c r="N50" s="206">
        <f t="shared" si="21"/>
        <v>0.85626043048923506</v>
      </c>
      <c r="O50" s="206">
        <f t="shared" si="22"/>
        <v>0.90236086998456777</v>
      </c>
      <c r="P50" s="206">
        <f t="shared" si="23"/>
        <v>0.64457459120410932</v>
      </c>
      <c r="Q50" s="205">
        <f t="shared" si="24"/>
        <v>37.157934953913852</v>
      </c>
      <c r="R50" s="5" t="str">
        <f t="shared" si="8"/>
        <v>BIMA</v>
      </c>
    </row>
    <row r="51" spans="1:18" s="19" customFormat="1" ht="15" customHeight="1">
      <c r="A51" s="80"/>
      <c r="B51" s="209">
        <f t="shared" si="25"/>
        <v>15</v>
      </c>
      <c r="C51" s="209" t="s">
        <v>1766</v>
      </c>
      <c r="D51" s="209" t="s">
        <v>2503</v>
      </c>
      <c r="E51" s="227" t="s">
        <v>158</v>
      </c>
      <c r="F51" s="209" t="s">
        <v>1776</v>
      </c>
      <c r="G51" s="209">
        <v>2018</v>
      </c>
      <c r="H51" s="209" t="s">
        <v>25</v>
      </c>
      <c r="I51" s="220">
        <v>10.5</v>
      </c>
      <c r="J51" s="208">
        <v>10069.5</v>
      </c>
      <c r="K51" s="248">
        <v>319.51000000000204</v>
      </c>
      <c r="L51" s="207">
        <v>274.67452805555553</v>
      </c>
      <c r="M51" s="248">
        <v>125.81547194444241</v>
      </c>
      <c r="N51" s="206">
        <f t="shared" si="21"/>
        <v>0.53772857574326993</v>
      </c>
      <c r="O51" s="206">
        <f t="shared" si="22"/>
        <v>0.61850759992283944</v>
      </c>
      <c r="P51" s="206">
        <f t="shared" si="23"/>
        <v>0.71747524031111742</v>
      </c>
      <c r="Q51" s="205">
        <v>0</v>
      </c>
      <c r="R51" s="5" t="b">
        <f t="shared" si="8"/>
        <v>0</v>
      </c>
    </row>
    <row r="52" spans="1:18" s="19" customFormat="1" ht="15" customHeight="1">
      <c r="A52" s="80"/>
      <c r="B52" s="209">
        <f t="shared" si="25"/>
        <v>16</v>
      </c>
      <c r="C52" s="209" t="s">
        <v>1766</v>
      </c>
      <c r="D52" s="209" t="s">
        <v>2504</v>
      </c>
      <c r="E52" s="227" t="s">
        <v>158</v>
      </c>
      <c r="F52" s="209" t="s">
        <v>1776</v>
      </c>
      <c r="G52" s="209">
        <v>2018</v>
      </c>
      <c r="H52" s="209" t="s">
        <v>25</v>
      </c>
      <c r="I52" s="220">
        <v>10.5</v>
      </c>
      <c r="J52" s="208">
        <v>12337.5</v>
      </c>
      <c r="K52" s="248">
        <v>381.58333333333331</v>
      </c>
      <c r="L52" s="207">
        <v>137.8411111111111</v>
      </c>
      <c r="M52" s="248">
        <v>200.57555555555555</v>
      </c>
      <c r="N52" s="206">
        <f t="shared" si="21"/>
        <v>0.73462721559332778</v>
      </c>
      <c r="O52" s="206">
        <f t="shared" si="22"/>
        <v>0.80855401234567914</v>
      </c>
      <c r="P52" s="206">
        <f t="shared" si="23"/>
        <v>0.65546252168651931</v>
      </c>
      <c r="Q52" s="205">
        <f t="shared" si="24"/>
        <v>32.332386984057656</v>
      </c>
      <c r="R52" s="5" t="b">
        <f t="shared" si="8"/>
        <v>0</v>
      </c>
    </row>
    <row r="53" spans="1:18" s="19" customFormat="1" ht="15" customHeight="1">
      <c r="A53" s="80"/>
      <c r="B53" s="209">
        <f t="shared" si="25"/>
        <v>17</v>
      </c>
      <c r="C53" s="209" t="s">
        <v>1766</v>
      </c>
      <c r="D53" s="209" t="s">
        <v>2505</v>
      </c>
      <c r="E53" s="227" t="s">
        <v>158</v>
      </c>
      <c r="F53" s="209" t="s">
        <v>1776</v>
      </c>
      <c r="G53" s="209">
        <v>2018</v>
      </c>
      <c r="H53" s="209" t="s">
        <v>25</v>
      </c>
      <c r="I53" s="220">
        <v>10.5</v>
      </c>
      <c r="J53" s="208">
        <v>0</v>
      </c>
      <c r="K53" s="248">
        <v>0</v>
      </c>
      <c r="L53" s="207">
        <v>720</v>
      </c>
      <c r="M53" s="248">
        <v>0</v>
      </c>
      <c r="N53" s="206">
        <f t="shared" si="21"/>
        <v>0</v>
      </c>
      <c r="O53" s="206">
        <f t="shared" si="22"/>
        <v>0</v>
      </c>
      <c r="P53" s="206">
        <v>0</v>
      </c>
      <c r="Q53" s="205">
        <v>0</v>
      </c>
      <c r="R53" s="5" t="b">
        <f t="shared" si="8"/>
        <v>0</v>
      </c>
    </row>
    <row r="54" spans="1:18" s="19" customFormat="1" ht="15" customHeight="1">
      <c r="A54" s="80"/>
      <c r="B54" s="209">
        <f t="shared" si="25"/>
        <v>18</v>
      </c>
      <c r="C54" s="209" t="s">
        <v>1766</v>
      </c>
      <c r="D54" s="209" t="s">
        <v>2506</v>
      </c>
      <c r="E54" s="227" t="s">
        <v>158</v>
      </c>
      <c r="F54" s="209" t="s">
        <v>1776</v>
      </c>
      <c r="G54" s="209">
        <v>2018</v>
      </c>
      <c r="H54" s="209" t="s">
        <v>25</v>
      </c>
      <c r="I54" s="220">
        <v>10.5</v>
      </c>
      <c r="J54" s="208">
        <v>13870.5</v>
      </c>
      <c r="K54" s="248">
        <v>409.07999999999811</v>
      </c>
      <c r="L54" s="207">
        <v>78.930000000000007</v>
      </c>
      <c r="M54" s="248">
        <v>231.99000000000191</v>
      </c>
      <c r="N54" s="206">
        <f t="shared" si="21"/>
        <v>0.83826151103460933</v>
      </c>
      <c r="O54" s="206">
        <f t="shared" si="22"/>
        <v>0.89037500000000003</v>
      </c>
      <c r="P54" s="206">
        <f t="shared" si="23"/>
        <v>0.63812064205156704</v>
      </c>
      <c r="Q54" s="205">
        <f t="shared" si="24"/>
        <v>33.906570841889277</v>
      </c>
      <c r="R54" s="5" t="b">
        <f t="shared" si="8"/>
        <v>0</v>
      </c>
    </row>
    <row r="55" spans="1:18" s="19" customFormat="1" ht="15" customHeight="1">
      <c r="A55" s="80"/>
      <c r="B55" s="209">
        <f t="shared" si="25"/>
        <v>19</v>
      </c>
      <c r="C55" s="209" t="s">
        <v>1766</v>
      </c>
      <c r="D55" s="209" t="s">
        <v>2507</v>
      </c>
      <c r="E55" s="227" t="s">
        <v>158</v>
      </c>
      <c r="F55" s="209" t="s">
        <v>1776</v>
      </c>
      <c r="G55" s="209">
        <v>2018</v>
      </c>
      <c r="H55" s="209" t="s">
        <v>25</v>
      </c>
      <c r="I55" s="220">
        <v>10.5</v>
      </c>
      <c r="J55" s="208">
        <v>13776</v>
      </c>
      <c r="K55" s="248">
        <v>364.61999999999898</v>
      </c>
      <c r="L55" s="207">
        <v>125.48683749999995</v>
      </c>
      <c r="M55" s="248">
        <v>229.89316250000107</v>
      </c>
      <c r="N55" s="206">
        <f t="shared" si="21"/>
        <v>0.74396023907746389</v>
      </c>
      <c r="O55" s="206">
        <f t="shared" si="22"/>
        <v>0.82571272569444443</v>
      </c>
      <c r="P55" s="206">
        <f t="shared" si="23"/>
        <v>0.61330854049846029</v>
      </c>
      <c r="Q55" s="205">
        <f t="shared" si="24"/>
        <v>37.781800230376938</v>
      </c>
      <c r="R55" s="5" t="b">
        <f t="shared" si="8"/>
        <v>0</v>
      </c>
    </row>
    <row r="56" spans="1:18" s="19" customFormat="1" ht="15" customHeight="1">
      <c r="A56" s="80"/>
      <c r="B56" s="209">
        <f t="shared" si="25"/>
        <v>20</v>
      </c>
      <c r="C56" s="209" t="s">
        <v>1766</v>
      </c>
      <c r="D56" s="209" t="s">
        <v>2508</v>
      </c>
      <c r="E56" s="227" t="s">
        <v>158</v>
      </c>
      <c r="F56" s="209" t="s">
        <v>1776</v>
      </c>
      <c r="G56" s="209">
        <v>2018</v>
      </c>
      <c r="H56" s="209" t="s">
        <v>25</v>
      </c>
      <c r="I56" s="220">
        <v>10.5</v>
      </c>
      <c r="J56" s="208">
        <v>9313.5</v>
      </c>
      <c r="K56" s="248">
        <v>294.40000000000146</v>
      </c>
      <c r="L56" s="207">
        <v>215.66268388888892</v>
      </c>
      <c r="M56" s="248">
        <v>209.93731611110962</v>
      </c>
      <c r="N56" s="206">
        <f t="shared" si="21"/>
        <v>0.57718396051911958</v>
      </c>
      <c r="O56" s="206">
        <f t="shared" si="22"/>
        <v>0.70046849459876537</v>
      </c>
      <c r="P56" s="206">
        <f t="shared" si="23"/>
        <v>0.58373630226311057</v>
      </c>
      <c r="Q56" s="205">
        <f t="shared" si="24"/>
        <v>31.635529891304191</v>
      </c>
      <c r="R56" s="5" t="b">
        <f t="shared" si="8"/>
        <v>0</v>
      </c>
    </row>
    <row r="57" spans="1:18" s="19" customFormat="1" ht="15" customHeight="1">
      <c r="A57" s="80"/>
      <c r="B57" s="209">
        <f t="shared" si="25"/>
        <v>21</v>
      </c>
      <c r="C57" s="209" t="s">
        <v>1766</v>
      </c>
      <c r="D57" s="209" t="s">
        <v>2509</v>
      </c>
      <c r="E57" s="227" t="s">
        <v>158</v>
      </c>
      <c r="F57" s="209" t="s">
        <v>1776</v>
      </c>
      <c r="G57" s="209">
        <v>2018</v>
      </c>
      <c r="H57" s="209" t="s">
        <v>25</v>
      </c>
      <c r="I57" s="220">
        <v>10.5</v>
      </c>
      <c r="J57" s="208">
        <v>11844</v>
      </c>
      <c r="K57" s="248">
        <v>356.7599999999984</v>
      </c>
      <c r="L57" s="207">
        <v>159.56935444444449</v>
      </c>
      <c r="M57" s="248">
        <v>203.67064555555712</v>
      </c>
      <c r="N57" s="206">
        <f t="shared" si="21"/>
        <v>0.69095432388085509</v>
      </c>
      <c r="O57" s="206">
        <f t="shared" si="22"/>
        <v>0.77837589660493822</v>
      </c>
      <c r="P57" s="206">
        <f t="shared" si="23"/>
        <v>0.6365818907821178</v>
      </c>
      <c r="Q57" s="205">
        <f t="shared" si="24"/>
        <v>33.198789101917406</v>
      </c>
      <c r="R57" s="5" t="b">
        <f t="shared" si="8"/>
        <v>0</v>
      </c>
    </row>
    <row r="58" spans="1:18" s="19" customFormat="1" ht="15" customHeight="1">
      <c r="A58" s="80"/>
      <c r="B58" s="209">
        <f t="shared" si="25"/>
        <v>22</v>
      </c>
      <c r="C58" s="209" t="s">
        <v>1766</v>
      </c>
      <c r="D58" s="209" t="s">
        <v>2510</v>
      </c>
      <c r="E58" s="227" t="s">
        <v>158</v>
      </c>
      <c r="F58" s="209" t="s">
        <v>1776</v>
      </c>
      <c r="G58" s="209">
        <v>2018</v>
      </c>
      <c r="H58" s="209" t="s">
        <v>25</v>
      </c>
      <c r="I58" s="220">
        <v>10.5</v>
      </c>
      <c r="J58" s="208">
        <v>13702.5</v>
      </c>
      <c r="K58" s="248">
        <v>399.52000000000044</v>
      </c>
      <c r="L58" s="207">
        <v>171.02427611111113</v>
      </c>
      <c r="M58" s="248">
        <v>149.45572388888843</v>
      </c>
      <c r="N58" s="206">
        <f t="shared" si="21"/>
        <v>0.70024363879902507</v>
      </c>
      <c r="O58" s="206">
        <f t="shared" si="22"/>
        <v>0.76246628317901233</v>
      </c>
      <c r="P58" s="206">
        <v>0</v>
      </c>
      <c r="Q58" s="205">
        <v>0</v>
      </c>
      <c r="R58" s="5" t="b">
        <f t="shared" si="8"/>
        <v>0</v>
      </c>
    </row>
    <row r="59" spans="1:18" s="19" customFormat="1" ht="15" customHeight="1">
      <c r="A59" s="80"/>
      <c r="B59" s="209">
        <f t="shared" si="25"/>
        <v>23</v>
      </c>
      <c r="C59" s="209" t="s">
        <v>1766</v>
      </c>
      <c r="D59" s="209" t="s">
        <v>2511</v>
      </c>
      <c r="E59" s="227" t="s">
        <v>158</v>
      </c>
      <c r="F59" s="209" t="s">
        <v>1776</v>
      </c>
      <c r="G59" s="209">
        <v>2018</v>
      </c>
      <c r="H59" s="209" t="s">
        <v>25</v>
      </c>
      <c r="I59" s="220">
        <v>10.5</v>
      </c>
      <c r="J59" s="208">
        <v>420</v>
      </c>
      <c r="K59" s="248">
        <v>13</v>
      </c>
      <c r="L59" s="207">
        <v>683.63333333333298</v>
      </c>
      <c r="M59" s="248">
        <v>23.366666666666671</v>
      </c>
      <c r="N59" s="206">
        <f t="shared" si="21"/>
        <v>1.8661179960763684E-2</v>
      </c>
      <c r="O59" s="206">
        <f t="shared" si="22"/>
        <v>5.0509259259259295E-2</v>
      </c>
      <c r="P59" s="206">
        <f t="shared" si="23"/>
        <v>0.3574702108157653</v>
      </c>
      <c r="Q59" s="205">
        <f t="shared" si="24"/>
        <v>32.307692307692307</v>
      </c>
      <c r="R59" s="5" t="b">
        <f t="shared" si="8"/>
        <v>0</v>
      </c>
    </row>
    <row r="60" spans="1:18" s="19" customFormat="1" ht="15" customHeight="1">
      <c r="A60" s="80"/>
      <c r="B60" s="209">
        <f t="shared" si="25"/>
        <v>24</v>
      </c>
      <c r="C60" s="209" t="s">
        <v>1766</v>
      </c>
      <c r="D60" s="209" t="s">
        <v>2512</v>
      </c>
      <c r="E60" s="227" t="s">
        <v>158</v>
      </c>
      <c r="F60" s="209" t="s">
        <v>1776</v>
      </c>
      <c r="G60" s="209">
        <v>2018</v>
      </c>
      <c r="H60" s="209" t="s">
        <v>25</v>
      </c>
      <c r="I60" s="220">
        <v>10.5</v>
      </c>
      <c r="J60" s="208">
        <v>15445.5</v>
      </c>
      <c r="K60" s="248">
        <v>444.28000000000247</v>
      </c>
      <c r="L60" s="207">
        <v>29.834166666666672</v>
      </c>
      <c r="M60" s="248">
        <v>245.88583333333085</v>
      </c>
      <c r="N60" s="206">
        <f t="shared" si="21"/>
        <v>0.93707387636944017</v>
      </c>
      <c r="O60" s="206">
        <f t="shared" si="22"/>
        <v>0.95856365740740745</v>
      </c>
      <c r="P60" s="206">
        <f t="shared" si="23"/>
        <v>0.64372934524190795</v>
      </c>
      <c r="Q60" s="205">
        <f t="shared" si="24"/>
        <v>34.765238138110909</v>
      </c>
      <c r="R60" s="5" t="str">
        <f t="shared" si="8"/>
        <v>BIMA</v>
      </c>
    </row>
    <row r="61" spans="1:18" s="19" customFormat="1" ht="15" customHeight="1">
      <c r="A61" s="80"/>
      <c r="B61" s="209">
        <f t="shared" si="25"/>
        <v>25</v>
      </c>
      <c r="C61" s="209" t="s">
        <v>1766</v>
      </c>
      <c r="D61" s="209" t="s">
        <v>2513</v>
      </c>
      <c r="E61" s="227" t="s">
        <v>158</v>
      </c>
      <c r="F61" s="209" t="s">
        <v>1776</v>
      </c>
      <c r="G61" s="209">
        <v>2018</v>
      </c>
      <c r="H61" s="209" t="s">
        <v>25</v>
      </c>
      <c r="I61" s="220">
        <v>10.5</v>
      </c>
      <c r="J61" s="208">
        <v>8883</v>
      </c>
      <c r="K61" s="248">
        <v>257.45000000000073</v>
      </c>
      <c r="L61" s="207">
        <v>361.95861111111105</v>
      </c>
      <c r="M61" s="248">
        <v>100.59138888888815</v>
      </c>
      <c r="N61" s="206">
        <f t="shared" si="21"/>
        <v>0.41563839343172837</v>
      </c>
      <c r="O61" s="206">
        <f t="shared" si="22"/>
        <v>0.49727970679012351</v>
      </c>
      <c r="P61" s="206">
        <f t="shared" si="23"/>
        <v>0.71905094771011313</v>
      </c>
      <c r="Q61" s="205">
        <f t="shared" si="24"/>
        <v>34.503787143134488</v>
      </c>
      <c r="R61" s="5" t="b">
        <f t="shared" si="8"/>
        <v>0</v>
      </c>
    </row>
    <row r="62" spans="1:18" s="19" customFormat="1" ht="15" customHeight="1">
      <c r="A62" s="80"/>
      <c r="B62" s="209">
        <f t="shared" si="25"/>
        <v>26</v>
      </c>
      <c r="C62" s="209" t="s">
        <v>1766</v>
      </c>
      <c r="D62" s="209" t="s">
        <v>2514</v>
      </c>
      <c r="E62" s="227" t="s">
        <v>158</v>
      </c>
      <c r="F62" s="209" t="s">
        <v>1776</v>
      </c>
      <c r="G62" s="209">
        <v>2018</v>
      </c>
      <c r="H62" s="209" t="s">
        <v>25</v>
      </c>
      <c r="I62" s="220">
        <v>10.5</v>
      </c>
      <c r="J62" s="208">
        <v>11781</v>
      </c>
      <c r="K62" s="248">
        <v>343.95999999999913</v>
      </c>
      <c r="L62" s="207">
        <v>153.54747583333329</v>
      </c>
      <c r="M62" s="248">
        <v>222.49252416666758</v>
      </c>
      <c r="N62" s="206">
        <f t="shared" si="21"/>
        <v>0.69136649539559381</v>
      </c>
      <c r="O62" s="206">
        <f t="shared" si="22"/>
        <v>0.78673961689814831</v>
      </c>
      <c r="P62" s="206">
        <v>0</v>
      </c>
      <c r="Q62" s="205">
        <v>0</v>
      </c>
      <c r="R62" s="5" t="b">
        <f t="shared" si="8"/>
        <v>0</v>
      </c>
    </row>
    <row r="63" spans="1:18" s="19" customFormat="1" ht="15" customHeight="1">
      <c r="A63" s="80"/>
      <c r="B63" s="209">
        <f t="shared" si="25"/>
        <v>27</v>
      </c>
      <c r="C63" s="209" t="s">
        <v>1766</v>
      </c>
      <c r="D63" s="209" t="s">
        <v>2515</v>
      </c>
      <c r="E63" s="227" t="s">
        <v>158</v>
      </c>
      <c r="F63" s="209" t="s">
        <v>1776</v>
      </c>
      <c r="G63" s="209">
        <v>2018</v>
      </c>
      <c r="H63" s="209" t="s">
        <v>25</v>
      </c>
      <c r="I63" s="220">
        <v>10.5</v>
      </c>
      <c r="J63" s="208">
        <v>4945.5</v>
      </c>
      <c r="K63" s="248">
        <v>135.97000000000025</v>
      </c>
      <c r="L63" s="207">
        <v>479.58666666666664</v>
      </c>
      <c r="M63" s="248">
        <v>104.44333333333311</v>
      </c>
      <c r="N63" s="206">
        <f t="shared" si="21"/>
        <v>0.22088949297925489</v>
      </c>
      <c r="O63" s="206">
        <f t="shared" si="22"/>
        <v>0.33390740740740743</v>
      </c>
      <c r="P63" s="206">
        <f t="shared" si="23"/>
        <v>0.5655676335200498</v>
      </c>
      <c r="Q63" s="205">
        <f t="shared" si="24"/>
        <v>36.371993822166587</v>
      </c>
      <c r="R63" s="5" t="b">
        <f t="shared" si="8"/>
        <v>0</v>
      </c>
    </row>
    <row r="64" spans="1:18" s="19" customFormat="1" ht="15" customHeight="1">
      <c r="A64" s="80"/>
      <c r="B64" s="209">
        <f t="shared" si="25"/>
        <v>28</v>
      </c>
      <c r="C64" s="209" t="s">
        <v>1766</v>
      </c>
      <c r="D64" s="209" t="s">
        <v>2516</v>
      </c>
      <c r="E64" s="227" t="s">
        <v>158</v>
      </c>
      <c r="F64" s="209" t="s">
        <v>1776</v>
      </c>
      <c r="G64" s="209">
        <v>2018</v>
      </c>
      <c r="H64" s="209" t="s">
        <v>25</v>
      </c>
      <c r="I64" s="220">
        <v>10.5</v>
      </c>
      <c r="J64" s="208">
        <v>15750</v>
      </c>
      <c r="K64" s="248">
        <v>465.95999999999913</v>
      </c>
      <c r="L64" s="207">
        <v>25.263035555555561</v>
      </c>
      <c r="M64" s="248">
        <v>228.7769644444453</v>
      </c>
      <c r="N64" s="206">
        <f t="shared" si="21"/>
        <v>0.94857115052232022</v>
      </c>
      <c r="O64" s="206">
        <f t="shared" si="22"/>
        <v>0.96491245061728392</v>
      </c>
      <c r="P64" s="206">
        <f t="shared" si="23"/>
        <v>0.67069988189358853</v>
      </c>
      <c r="Q64" s="205">
        <f t="shared" si="24"/>
        <v>33.801184651043073</v>
      </c>
      <c r="R64" s="5" t="str">
        <f t="shared" si="8"/>
        <v>BIMA</v>
      </c>
    </row>
    <row r="65" spans="1:22" s="19" customFormat="1" ht="15" customHeight="1">
      <c r="A65" s="80"/>
      <c r="B65" s="209">
        <f t="shared" si="25"/>
        <v>29</v>
      </c>
      <c r="C65" s="209" t="s">
        <v>1766</v>
      </c>
      <c r="D65" s="209" t="s">
        <v>2517</v>
      </c>
      <c r="E65" s="227" t="s">
        <v>2518</v>
      </c>
      <c r="F65" s="209" t="s">
        <v>1777</v>
      </c>
      <c r="G65" s="209">
        <v>2017</v>
      </c>
      <c r="H65" s="209" t="s">
        <v>25</v>
      </c>
      <c r="I65" s="220">
        <v>10.5</v>
      </c>
      <c r="J65" s="208">
        <v>5481</v>
      </c>
      <c r="K65" s="248">
        <v>147.59999999999854</v>
      </c>
      <c r="L65" s="207">
        <v>415.03295388888893</v>
      </c>
      <c r="M65" s="248">
        <v>157.36704611111253</v>
      </c>
      <c r="N65" s="206">
        <f t="shared" si="21"/>
        <v>0.26233799314419043</v>
      </c>
      <c r="O65" s="206">
        <f t="shared" si="22"/>
        <v>0.4235653418209876</v>
      </c>
      <c r="P65" s="206">
        <f t="shared" si="23"/>
        <v>0.4839867188346057</v>
      </c>
      <c r="Q65" s="205">
        <f t="shared" si="24"/>
        <v>37.134146341463783</v>
      </c>
      <c r="R65" s="5" t="b">
        <f t="shared" si="8"/>
        <v>0</v>
      </c>
    </row>
    <row r="66" spans="1:22" s="19" customFormat="1" ht="15" customHeight="1">
      <c r="A66" s="80"/>
      <c r="B66" s="209">
        <f t="shared" si="25"/>
        <v>30</v>
      </c>
      <c r="C66" s="209" t="s">
        <v>1766</v>
      </c>
      <c r="D66" s="209" t="s">
        <v>2519</v>
      </c>
      <c r="E66" s="227" t="s">
        <v>2518</v>
      </c>
      <c r="F66" s="209" t="s">
        <v>1777</v>
      </c>
      <c r="G66" s="209">
        <v>2017</v>
      </c>
      <c r="H66" s="209" t="s">
        <v>25</v>
      </c>
      <c r="I66" s="220">
        <v>10.5</v>
      </c>
      <c r="J66" s="208">
        <v>8578.5</v>
      </c>
      <c r="K66" s="248">
        <v>254.73666666667003</v>
      </c>
      <c r="L66" s="207">
        <v>334.90835277777779</v>
      </c>
      <c r="M66" s="248">
        <v>130.35498055555217</v>
      </c>
      <c r="N66" s="206">
        <f t="shared" si="21"/>
        <v>0.43201699033543606</v>
      </c>
      <c r="O66" s="206">
        <f t="shared" si="22"/>
        <v>0.53484951003086423</v>
      </c>
      <c r="P66" s="206">
        <f t="shared" si="23"/>
        <v>0.66149621396402525</v>
      </c>
      <c r="Q66" s="205">
        <f t="shared" si="24"/>
        <v>33.67595294487073</v>
      </c>
      <c r="R66" s="5" t="b">
        <f t="shared" si="8"/>
        <v>0</v>
      </c>
    </row>
    <row r="67" spans="1:22" s="19" customFormat="1" ht="15" customHeight="1">
      <c r="A67" s="80"/>
      <c r="B67" s="209">
        <f t="shared" si="25"/>
        <v>31</v>
      </c>
      <c r="C67" s="209" t="s">
        <v>1766</v>
      </c>
      <c r="D67" s="209" t="s">
        <v>2520</v>
      </c>
      <c r="E67" s="227" t="s">
        <v>2518</v>
      </c>
      <c r="F67" s="209" t="s">
        <v>1777</v>
      </c>
      <c r="G67" s="209">
        <v>2017</v>
      </c>
      <c r="H67" s="209" t="s">
        <v>25</v>
      </c>
      <c r="I67" s="220">
        <v>10.5</v>
      </c>
      <c r="J67" s="208">
        <v>9513</v>
      </c>
      <c r="K67" s="248">
        <v>257.8999999999993</v>
      </c>
      <c r="L67" s="207">
        <v>224.28080277777772</v>
      </c>
      <c r="M67" s="248">
        <v>237.81919722222295</v>
      </c>
      <c r="N67" s="206">
        <f t="shared" si="21"/>
        <v>0.53486160899453694</v>
      </c>
      <c r="O67" s="206">
        <f t="shared" si="22"/>
        <v>0.6884988850308642</v>
      </c>
      <c r="P67" s="206">
        <f t="shared" si="23"/>
        <v>0.52025421134616101</v>
      </c>
      <c r="Q67" s="205">
        <f t="shared" si="24"/>
        <v>36.886390073672068</v>
      </c>
      <c r="R67" s="5" t="b">
        <f t="shared" si="8"/>
        <v>0</v>
      </c>
    </row>
    <row r="68" spans="1:22" s="19" customFormat="1" ht="15" customHeight="1">
      <c r="A68" s="80"/>
      <c r="B68" s="209">
        <f t="shared" si="25"/>
        <v>32</v>
      </c>
      <c r="C68" s="209" t="s">
        <v>1766</v>
      </c>
      <c r="D68" s="209" t="s">
        <v>2521</v>
      </c>
      <c r="E68" s="227" t="s">
        <v>2518</v>
      </c>
      <c r="F68" s="209" t="s">
        <v>1777</v>
      </c>
      <c r="G68" s="209">
        <v>2017</v>
      </c>
      <c r="H68" s="209" t="s">
        <v>25</v>
      </c>
      <c r="I68" s="220">
        <v>10.5</v>
      </c>
      <c r="J68" s="208">
        <v>12106.5</v>
      </c>
      <c r="K68" s="248">
        <v>299.45000000000437</v>
      </c>
      <c r="L68" s="207">
        <v>142.14951416666665</v>
      </c>
      <c r="M68" s="248">
        <v>278.40048583332896</v>
      </c>
      <c r="N68" s="206">
        <f t="shared" si="21"/>
        <v>0.67810310109848582</v>
      </c>
      <c r="O68" s="206">
        <f t="shared" si="22"/>
        <v>0.80257011921296295</v>
      </c>
      <c r="P68" s="206">
        <f t="shared" si="23"/>
        <v>0.51821363370173457</v>
      </c>
      <c r="Q68" s="205">
        <f t="shared" si="24"/>
        <v>40.429120053430701</v>
      </c>
      <c r="R68" s="5" t="b">
        <f t="shared" si="8"/>
        <v>0</v>
      </c>
    </row>
    <row r="69" spans="1:22" s="19" customFormat="1" ht="15" customHeight="1">
      <c r="A69" s="80"/>
      <c r="B69" s="209">
        <f t="shared" si="25"/>
        <v>33</v>
      </c>
      <c r="C69" s="209" t="s">
        <v>1766</v>
      </c>
      <c r="D69" s="209" t="s">
        <v>2522</v>
      </c>
      <c r="E69" s="227" t="s">
        <v>2518</v>
      </c>
      <c r="F69" s="209" t="s">
        <v>1777</v>
      </c>
      <c r="G69" s="209">
        <v>2017</v>
      </c>
      <c r="H69" s="209" t="s">
        <v>25</v>
      </c>
      <c r="I69" s="220">
        <v>10.5</v>
      </c>
      <c r="J69" s="208">
        <v>7665</v>
      </c>
      <c r="K69" s="248">
        <v>227.51333333333505</v>
      </c>
      <c r="L69" s="207">
        <v>358.85271666666665</v>
      </c>
      <c r="M69" s="248">
        <v>133.63394999999824</v>
      </c>
      <c r="N69" s="206">
        <f t="shared" si="21"/>
        <v>0.38800563800263405</v>
      </c>
      <c r="O69" s="206">
        <f t="shared" si="22"/>
        <v>0.5015934490740741</v>
      </c>
      <c r="P69" s="206">
        <f t="shared" si="23"/>
        <v>0.62997381908406547</v>
      </c>
      <c r="Q69" s="205">
        <f t="shared" si="24"/>
        <v>33.690333167286646</v>
      </c>
      <c r="R69" s="5" t="b">
        <f t="shared" si="8"/>
        <v>0</v>
      </c>
    </row>
    <row r="70" spans="1:22" s="19" customFormat="1" ht="15" customHeight="1">
      <c r="A70" s="80"/>
      <c r="B70" s="209">
        <f t="shared" si="25"/>
        <v>34</v>
      </c>
      <c r="C70" s="209" t="s">
        <v>1766</v>
      </c>
      <c r="D70" s="209" t="s">
        <v>2523</v>
      </c>
      <c r="E70" s="227" t="s">
        <v>2518</v>
      </c>
      <c r="F70" s="209" t="s">
        <v>1777</v>
      </c>
      <c r="G70" s="209">
        <v>2017</v>
      </c>
      <c r="H70" s="209" t="s">
        <v>25</v>
      </c>
      <c r="I70" s="220">
        <v>10.5</v>
      </c>
      <c r="J70" s="208">
        <v>0</v>
      </c>
      <c r="K70" s="248">
        <v>0</v>
      </c>
      <c r="L70" s="207">
        <v>720</v>
      </c>
      <c r="M70" s="248">
        <v>0</v>
      </c>
      <c r="N70" s="206">
        <f t="shared" si="21"/>
        <v>0</v>
      </c>
      <c r="O70" s="206">
        <f t="shared" si="22"/>
        <v>0</v>
      </c>
      <c r="P70" s="206">
        <v>0</v>
      </c>
      <c r="Q70" s="205">
        <v>0</v>
      </c>
      <c r="R70" s="5" t="b">
        <f t="shared" si="8"/>
        <v>0</v>
      </c>
    </row>
    <row r="71" spans="1:22" s="19" customFormat="1" ht="15" customHeight="1">
      <c r="A71" s="80"/>
      <c r="B71" s="209">
        <f t="shared" si="25"/>
        <v>35</v>
      </c>
      <c r="C71" s="209" t="s">
        <v>1766</v>
      </c>
      <c r="D71" s="209" t="s">
        <v>2524</v>
      </c>
      <c r="E71" s="227" t="s">
        <v>1950</v>
      </c>
      <c r="F71" s="209" t="s">
        <v>1774</v>
      </c>
      <c r="G71" s="209">
        <v>2011</v>
      </c>
      <c r="H71" s="209" t="s">
        <v>25</v>
      </c>
      <c r="I71" s="220">
        <v>10.5</v>
      </c>
      <c r="J71" s="208">
        <v>0</v>
      </c>
      <c r="K71" s="248">
        <v>0</v>
      </c>
      <c r="L71" s="207">
        <v>720</v>
      </c>
      <c r="M71" s="248">
        <v>0</v>
      </c>
      <c r="N71" s="206">
        <f t="shared" si="21"/>
        <v>0</v>
      </c>
      <c r="O71" s="206">
        <f t="shared" si="22"/>
        <v>0</v>
      </c>
      <c r="P71" s="206">
        <v>0</v>
      </c>
      <c r="Q71" s="205">
        <v>0</v>
      </c>
      <c r="R71" s="5" t="b">
        <f t="shared" si="8"/>
        <v>0</v>
      </c>
    </row>
    <row r="72" spans="1:22" s="19" customFormat="1" ht="15" customHeight="1">
      <c r="A72" s="80"/>
      <c r="B72" s="209">
        <f t="shared" si="25"/>
        <v>36</v>
      </c>
      <c r="C72" s="209" t="s">
        <v>1766</v>
      </c>
      <c r="D72" s="209" t="s">
        <v>2525</v>
      </c>
      <c r="E72" s="227" t="s">
        <v>1950</v>
      </c>
      <c r="F72" s="209" t="s">
        <v>1774</v>
      </c>
      <c r="G72" s="209">
        <v>2011</v>
      </c>
      <c r="H72" s="209" t="s">
        <v>25</v>
      </c>
      <c r="I72" s="220">
        <v>10.5</v>
      </c>
      <c r="J72" s="208">
        <v>6016.5</v>
      </c>
      <c r="K72" s="248">
        <v>163</v>
      </c>
      <c r="L72" s="207">
        <v>465.07219249999991</v>
      </c>
      <c r="M72" s="248">
        <v>91.927807500000057</v>
      </c>
      <c r="N72" s="206">
        <f t="shared" si="21"/>
        <v>0.25952430619669575</v>
      </c>
      <c r="O72" s="206">
        <f t="shared" si="22"/>
        <v>0.35406639930555561</v>
      </c>
      <c r="P72" s="206">
        <f t="shared" si="23"/>
        <v>0.63939670449642871</v>
      </c>
      <c r="Q72" s="205">
        <f t="shared" si="24"/>
        <v>36.911042944785279</v>
      </c>
      <c r="R72" s="5" t="b">
        <f t="shared" si="8"/>
        <v>0</v>
      </c>
    </row>
    <row r="73" spans="1:22" s="19" customFormat="1" ht="15" customHeight="1">
      <c r="A73" s="80"/>
      <c r="B73" s="209">
        <f t="shared" si="25"/>
        <v>37</v>
      </c>
      <c r="C73" s="209" t="s">
        <v>1766</v>
      </c>
      <c r="D73" s="209" t="s">
        <v>2526</v>
      </c>
      <c r="E73" s="227" t="s">
        <v>1950</v>
      </c>
      <c r="F73" s="209" t="s">
        <v>1774</v>
      </c>
      <c r="G73" s="209">
        <v>2011</v>
      </c>
      <c r="H73" s="209" t="s">
        <v>25</v>
      </c>
      <c r="I73" s="220">
        <v>10.5</v>
      </c>
      <c r="J73" s="208">
        <v>777</v>
      </c>
      <c r="K73" s="248">
        <v>27</v>
      </c>
      <c r="L73" s="207">
        <v>687.48722222222227</v>
      </c>
      <c r="M73" s="248">
        <v>5.5127777777777744</v>
      </c>
      <c r="N73" s="206">
        <f t="shared" si="21"/>
        <v>3.7789339207528007E-2</v>
      </c>
      <c r="O73" s="206">
        <f t="shared" si="22"/>
        <v>4.5156635802469126E-2</v>
      </c>
      <c r="P73" s="206">
        <f t="shared" si="23"/>
        <v>0.83044273191736595</v>
      </c>
      <c r="Q73" s="205">
        <f t="shared" si="24"/>
        <v>28.777777777777779</v>
      </c>
      <c r="R73" s="5" t="b">
        <f t="shared" si="8"/>
        <v>0</v>
      </c>
    </row>
    <row r="74" spans="1:22" s="19" customFormat="1" ht="15" customHeight="1">
      <c r="A74" s="80"/>
      <c r="B74" s="209">
        <f t="shared" si="25"/>
        <v>38</v>
      </c>
      <c r="C74" s="209" t="s">
        <v>1766</v>
      </c>
      <c r="D74" s="209" t="s">
        <v>2527</v>
      </c>
      <c r="E74" s="227" t="s">
        <v>2518</v>
      </c>
      <c r="F74" s="209" t="s">
        <v>1777</v>
      </c>
      <c r="G74" s="209">
        <v>2017</v>
      </c>
      <c r="H74" s="209" t="s">
        <v>25</v>
      </c>
      <c r="I74" s="220">
        <v>10.5</v>
      </c>
      <c r="J74" s="208">
        <v>0</v>
      </c>
      <c r="K74" s="248">
        <v>2</v>
      </c>
      <c r="L74" s="207">
        <v>718</v>
      </c>
      <c r="M74" s="248">
        <v>0</v>
      </c>
      <c r="N74" s="206">
        <f t="shared" si="21"/>
        <v>2.7777777777777779E-3</v>
      </c>
      <c r="O74" s="206">
        <f t="shared" si="22"/>
        <v>2.7777777777777779E-3</v>
      </c>
      <c r="P74" s="206">
        <f t="shared" si="23"/>
        <v>1</v>
      </c>
      <c r="Q74" s="205">
        <f t="shared" si="24"/>
        <v>0</v>
      </c>
      <c r="R74" s="5" t="b">
        <f t="shared" si="8"/>
        <v>0</v>
      </c>
    </row>
    <row r="75" spans="1:22" s="19" customFormat="1" ht="15" customHeight="1">
      <c r="A75" s="80"/>
      <c r="B75" s="209">
        <f t="shared" si="25"/>
        <v>39</v>
      </c>
      <c r="C75" s="209" t="s">
        <v>1766</v>
      </c>
      <c r="D75" s="209" t="s">
        <v>2528</v>
      </c>
      <c r="E75" s="227" t="s">
        <v>2518</v>
      </c>
      <c r="F75" s="209" t="s">
        <v>1777</v>
      </c>
      <c r="G75" s="209">
        <v>2017</v>
      </c>
      <c r="H75" s="209" t="s">
        <v>25</v>
      </c>
      <c r="I75" s="220">
        <v>10.5</v>
      </c>
      <c r="J75" s="208">
        <v>0</v>
      </c>
      <c r="K75" s="248">
        <v>0</v>
      </c>
      <c r="L75" s="207">
        <v>720</v>
      </c>
      <c r="M75" s="248">
        <v>0</v>
      </c>
      <c r="N75" s="206">
        <f t="shared" si="21"/>
        <v>0</v>
      </c>
      <c r="O75" s="206">
        <f t="shared" si="22"/>
        <v>0</v>
      </c>
      <c r="P75" s="206">
        <v>0</v>
      </c>
      <c r="Q75" s="205">
        <v>0</v>
      </c>
      <c r="R75" s="5" t="b">
        <f t="shared" si="8"/>
        <v>0</v>
      </c>
    </row>
    <row r="76" spans="1:22" s="19" customFormat="1" ht="15" customHeight="1">
      <c r="A76" s="80"/>
      <c r="B76" s="209">
        <f t="shared" si="25"/>
        <v>40</v>
      </c>
      <c r="C76" s="209" t="s">
        <v>1766</v>
      </c>
      <c r="D76" s="209" t="s">
        <v>2529</v>
      </c>
      <c r="E76" s="227" t="s">
        <v>2518</v>
      </c>
      <c r="F76" s="209" t="s">
        <v>1777</v>
      </c>
      <c r="G76" s="209">
        <v>2017</v>
      </c>
      <c r="H76" s="209" t="s">
        <v>25</v>
      </c>
      <c r="I76" s="220">
        <v>10.5</v>
      </c>
      <c r="J76" s="208">
        <v>10080</v>
      </c>
      <c r="K76" s="248">
        <v>236.5399999999965</v>
      </c>
      <c r="L76" s="207">
        <v>156.38809722222223</v>
      </c>
      <c r="M76" s="248">
        <v>327.0719027777813</v>
      </c>
      <c r="N76" s="206">
        <f t="shared" si="21"/>
        <v>0.60199309154067016</v>
      </c>
      <c r="O76" s="206">
        <f t="shared" si="22"/>
        <v>0.7827943094135803</v>
      </c>
      <c r="P76" s="206">
        <f t="shared" si="23"/>
        <v>0.41968595559143118</v>
      </c>
      <c r="Q76" s="205">
        <f t="shared" si="24"/>
        <v>42.614356979792632</v>
      </c>
      <c r="R76" s="5" t="b">
        <f t="shared" ref="R76:R146" si="26">IF(O76&gt;89.9999999999999%,"BIMA")</f>
        <v>0</v>
      </c>
    </row>
    <row r="77" spans="1:22" s="19" customFormat="1" ht="15" customHeight="1">
      <c r="A77" s="80"/>
      <c r="B77" s="209">
        <f t="shared" si="25"/>
        <v>41</v>
      </c>
      <c r="C77" s="209" t="s">
        <v>1766</v>
      </c>
      <c r="D77" s="209" t="s">
        <v>2530</v>
      </c>
      <c r="E77" s="227" t="s">
        <v>2518</v>
      </c>
      <c r="F77" s="209" t="s">
        <v>1777</v>
      </c>
      <c r="G77" s="209">
        <v>2017</v>
      </c>
      <c r="H77" s="209" t="s">
        <v>25</v>
      </c>
      <c r="I77" s="220">
        <v>10.5</v>
      </c>
      <c r="J77" s="208">
        <v>0</v>
      </c>
      <c r="K77" s="248">
        <v>0</v>
      </c>
      <c r="L77" s="207">
        <v>720</v>
      </c>
      <c r="M77" s="248">
        <v>0</v>
      </c>
      <c r="N77" s="206">
        <f t="shared" si="21"/>
        <v>0</v>
      </c>
      <c r="O77" s="206">
        <f t="shared" si="22"/>
        <v>0</v>
      </c>
      <c r="P77" s="206">
        <v>0</v>
      </c>
      <c r="Q77" s="205">
        <v>0</v>
      </c>
      <c r="R77" s="5" t="b">
        <f t="shared" si="26"/>
        <v>0</v>
      </c>
      <c r="V77" s="4"/>
    </row>
    <row r="78" spans="1:22" s="19" customFormat="1" ht="15" customHeight="1">
      <c r="A78" s="80"/>
      <c r="B78" s="209">
        <f t="shared" si="25"/>
        <v>42</v>
      </c>
      <c r="C78" s="209" t="s">
        <v>1766</v>
      </c>
      <c r="D78" s="209" t="s">
        <v>2531</v>
      </c>
      <c r="E78" s="227" t="s">
        <v>2518</v>
      </c>
      <c r="F78" s="209" t="s">
        <v>1777</v>
      </c>
      <c r="G78" s="209">
        <v>2017</v>
      </c>
      <c r="H78" s="209" t="s">
        <v>25</v>
      </c>
      <c r="I78" s="220">
        <v>10.5</v>
      </c>
      <c r="J78" s="208">
        <v>6132</v>
      </c>
      <c r="K78" s="248">
        <v>190.9400000000096</v>
      </c>
      <c r="L78" s="207">
        <v>310.95428277777779</v>
      </c>
      <c r="M78" s="248">
        <v>218.1057172222126</v>
      </c>
      <c r="N78" s="206">
        <f t="shared" si="21"/>
        <v>0.3804386831091835</v>
      </c>
      <c r="O78" s="206">
        <f t="shared" si="22"/>
        <v>0.56811905169753085</v>
      </c>
      <c r="P78" s="206">
        <f t="shared" si="23"/>
        <v>0.4667937884710272</v>
      </c>
      <c r="Q78" s="205">
        <f t="shared" si="24"/>
        <v>32.114800460876147</v>
      </c>
      <c r="R78" s="5" t="b">
        <f t="shared" si="26"/>
        <v>0</v>
      </c>
      <c r="V78" s="4"/>
    </row>
    <row r="79" spans="1:22" s="19" customFormat="1" ht="15" customHeight="1">
      <c r="A79" s="80"/>
      <c r="B79" s="209">
        <f t="shared" si="25"/>
        <v>43</v>
      </c>
      <c r="C79" s="209" t="s">
        <v>1766</v>
      </c>
      <c r="D79" s="209" t="s">
        <v>2532</v>
      </c>
      <c r="E79" s="227" t="s">
        <v>2518</v>
      </c>
      <c r="F79" s="209" t="s">
        <v>1777</v>
      </c>
      <c r="G79" s="209">
        <v>2017</v>
      </c>
      <c r="H79" s="209" t="s">
        <v>25</v>
      </c>
      <c r="I79" s="220">
        <v>10.5</v>
      </c>
      <c r="J79" s="208">
        <v>0</v>
      </c>
      <c r="K79" s="248">
        <v>0</v>
      </c>
      <c r="L79" s="207">
        <v>720</v>
      </c>
      <c r="M79" s="248">
        <v>0</v>
      </c>
      <c r="N79" s="206">
        <f t="shared" si="21"/>
        <v>0</v>
      </c>
      <c r="O79" s="206">
        <f t="shared" si="22"/>
        <v>0</v>
      </c>
      <c r="P79" s="206">
        <v>0</v>
      </c>
      <c r="Q79" s="205">
        <v>0</v>
      </c>
      <c r="R79" s="5" t="b">
        <f t="shared" si="26"/>
        <v>0</v>
      </c>
      <c r="V79" s="4"/>
    </row>
    <row r="80" spans="1:22" s="19" customFormat="1" ht="15" customHeight="1">
      <c r="A80" s="80"/>
      <c r="B80" s="209">
        <f t="shared" si="25"/>
        <v>44</v>
      </c>
      <c r="C80" s="209" t="s">
        <v>1766</v>
      </c>
      <c r="D80" s="209" t="s">
        <v>2533</v>
      </c>
      <c r="E80" s="227" t="s">
        <v>1950</v>
      </c>
      <c r="F80" s="209" t="s">
        <v>1774</v>
      </c>
      <c r="G80" s="209">
        <v>2018</v>
      </c>
      <c r="H80" s="209" t="s">
        <v>25</v>
      </c>
      <c r="I80" s="220">
        <v>10.5</v>
      </c>
      <c r="J80" s="208">
        <v>2740.5</v>
      </c>
      <c r="K80" s="248">
        <v>59</v>
      </c>
      <c r="L80" s="207">
        <v>639.19091666666668</v>
      </c>
      <c r="M80" s="248">
        <v>21.809083333333369</v>
      </c>
      <c r="N80" s="206">
        <f t="shared" si="21"/>
        <v>8.4504107102510523E-2</v>
      </c>
      <c r="O80" s="206">
        <f t="shared" si="22"/>
        <v>0.11223483796296302</v>
      </c>
      <c r="P80" s="206">
        <v>0</v>
      </c>
      <c r="Q80" s="205">
        <v>0</v>
      </c>
      <c r="R80" s="5" t="b">
        <f t="shared" si="26"/>
        <v>0</v>
      </c>
      <c r="U80" s="4"/>
      <c r="V80" s="4"/>
    </row>
    <row r="81" spans="1:22" s="19" customFormat="1" ht="15" customHeight="1">
      <c r="A81" s="80"/>
      <c r="B81" s="209">
        <f t="shared" si="25"/>
        <v>45</v>
      </c>
      <c r="C81" s="209" t="s">
        <v>1766</v>
      </c>
      <c r="D81" s="209" t="s">
        <v>2534</v>
      </c>
      <c r="E81" s="227" t="s">
        <v>1950</v>
      </c>
      <c r="F81" s="209" t="s">
        <v>1774</v>
      </c>
      <c r="G81" s="209">
        <v>2018</v>
      </c>
      <c r="H81" s="209" t="s">
        <v>25</v>
      </c>
      <c r="I81" s="220">
        <v>10.5</v>
      </c>
      <c r="J81" s="208">
        <v>12705</v>
      </c>
      <c r="K81" s="248">
        <v>330.09999999999854</v>
      </c>
      <c r="L81" s="207">
        <v>161.08065999999997</v>
      </c>
      <c r="M81" s="248">
        <v>228.81934000000149</v>
      </c>
      <c r="N81" s="206">
        <f t="shared" si="21"/>
        <v>0.6720541480603075</v>
      </c>
      <c r="O81" s="206">
        <f t="shared" si="22"/>
        <v>0.77627686111111116</v>
      </c>
      <c r="P81" s="206">
        <v>0</v>
      </c>
      <c r="Q81" s="205">
        <v>0</v>
      </c>
      <c r="R81" s="5" t="b">
        <f t="shared" si="26"/>
        <v>0</v>
      </c>
      <c r="U81" s="4"/>
      <c r="V81" s="4"/>
    </row>
    <row r="82" spans="1:22" s="19" customFormat="1" ht="15" customHeight="1">
      <c r="A82" s="80"/>
      <c r="B82" s="209">
        <f t="shared" si="25"/>
        <v>46</v>
      </c>
      <c r="C82" s="209" t="s">
        <v>1766</v>
      </c>
      <c r="D82" s="209" t="s">
        <v>2535</v>
      </c>
      <c r="E82" s="227" t="s">
        <v>1950</v>
      </c>
      <c r="F82" s="209" t="s">
        <v>1774</v>
      </c>
      <c r="G82" s="209">
        <v>2018</v>
      </c>
      <c r="H82" s="209" t="s">
        <v>25</v>
      </c>
      <c r="I82" s="220">
        <v>10.5</v>
      </c>
      <c r="J82" s="208">
        <v>6741</v>
      </c>
      <c r="K82" s="248">
        <v>212</v>
      </c>
      <c r="L82" s="207">
        <v>396.54901583333333</v>
      </c>
      <c r="M82" s="248">
        <v>111.45098416666666</v>
      </c>
      <c r="N82" s="206">
        <f t="shared" si="21"/>
        <v>0.3483696374230299</v>
      </c>
      <c r="O82" s="206">
        <f t="shared" si="22"/>
        <v>0.44923747800925928</v>
      </c>
      <c r="P82" s="206">
        <v>0</v>
      </c>
      <c r="Q82" s="205">
        <v>0</v>
      </c>
      <c r="R82" s="5" t="b">
        <f t="shared" si="26"/>
        <v>0</v>
      </c>
      <c r="U82" s="4"/>
      <c r="V82" s="4"/>
    </row>
    <row r="83" spans="1:22" s="19" customFormat="1" ht="15" customHeight="1">
      <c r="A83" s="80"/>
      <c r="B83" s="209">
        <f t="shared" si="25"/>
        <v>47</v>
      </c>
      <c r="C83" s="209" t="s">
        <v>1766</v>
      </c>
      <c r="D83" s="209" t="s">
        <v>2536</v>
      </c>
      <c r="E83" s="227" t="s">
        <v>1950</v>
      </c>
      <c r="F83" s="209" t="s">
        <v>1774</v>
      </c>
      <c r="G83" s="209">
        <v>2018</v>
      </c>
      <c r="H83" s="209" t="s">
        <v>25</v>
      </c>
      <c r="I83" s="220">
        <v>10.5</v>
      </c>
      <c r="J83" s="208">
        <v>5586</v>
      </c>
      <c r="K83" s="248">
        <v>142.70000000000073</v>
      </c>
      <c r="L83" s="207">
        <v>541.67694444444442</v>
      </c>
      <c r="M83" s="248">
        <v>35.623055555554828</v>
      </c>
      <c r="N83" s="206">
        <f t="shared" si="21"/>
        <v>0.2085108231047145</v>
      </c>
      <c r="O83" s="206">
        <f t="shared" si="22"/>
        <v>0.24767091049382717</v>
      </c>
      <c r="P83" s="206">
        <f t="shared" si="23"/>
        <v>0.80023303523723743</v>
      </c>
      <c r="Q83" s="205">
        <f t="shared" si="24"/>
        <v>39.145059565521876</v>
      </c>
      <c r="R83" s="5" t="b">
        <f t="shared" si="26"/>
        <v>0</v>
      </c>
      <c r="U83" s="4"/>
      <c r="V83" s="4"/>
    </row>
    <row r="84" spans="1:22" s="19" customFormat="1" ht="15" customHeight="1">
      <c r="A84" s="80"/>
      <c r="B84" s="209">
        <f t="shared" si="25"/>
        <v>48</v>
      </c>
      <c r="C84" s="209" t="s">
        <v>1766</v>
      </c>
      <c r="D84" s="209" t="s">
        <v>2537</v>
      </c>
      <c r="E84" s="227" t="s">
        <v>1950</v>
      </c>
      <c r="F84" s="209" t="s">
        <v>1774</v>
      </c>
      <c r="G84" s="209">
        <v>2018</v>
      </c>
      <c r="H84" s="209" t="s">
        <v>25</v>
      </c>
      <c r="I84" s="220">
        <v>10.5</v>
      </c>
      <c r="J84" s="208">
        <v>0</v>
      </c>
      <c r="K84" s="248">
        <v>0</v>
      </c>
      <c r="L84" s="207">
        <v>720</v>
      </c>
      <c r="M84" s="248">
        <v>0</v>
      </c>
      <c r="N84" s="206">
        <f t="shared" si="21"/>
        <v>0</v>
      </c>
      <c r="O84" s="206">
        <f t="shared" si="22"/>
        <v>0</v>
      </c>
      <c r="P84" s="206">
        <v>0</v>
      </c>
      <c r="Q84" s="205">
        <v>0</v>
      </c>
      <c r="R84" s="5" t="b">
        <f t="shared" si="26"/>
        <v>0</v>
      </c>
      <c r="U84" s="4"/>
      <c r="V84" s="4"/>
    </row>
    <row r="85" spans="1:22" s="19" customFormat="1" ht="15" customHeight="1">
      <c r="A85" s="80"/>
      <c r="B85" s="209">
        <f t="shared" si="25"/>
        <v>49</v>
      </c>
      <c r="C85" s="209" t="s">
        <v>1766</v>
      </c>
      <c r="D85" s="209" t="s">
        <v>2538</v>
      </c>
      <c r="E85" s="227" t="s">
        <v>2518</v>
      </c>
      <c r="F85" s="209" t="s">
        <v>1777</v>
      </c>
      <c r="G85" s="209">
        <v>2019</v>
      </c>
      <c r="H85" s="209" t="s">
        <v>25</v>
      </c>
      <c r="I85" s="220">
        <v>10.5</v>
      </c>
      <c r="J85" s="208">
        <v>9051</v>
      </c>
      <c r="K85" s="248">
        <v>264.76666666666597</v>
      </c>
      <c r="L85" s="207">
        <v>355.26008166666668</v>
      </c>
      <c r="M85" s="248">
        <v>99.973251666667409</v>
      </c>
      <c r="N85" s="206">
        <f t="shared" si="21"/>
        <v>0.4270245878558851</v>
      </c>
      <c r="O85" s="206">
        <f t="shared" si="22"/>
        <v>0.50658321990740751</v>
      </c>
      <c r="P85" s="206">
        <f t="shared" si="23"/>
        <v>0.72590537355085294</v>
      </c>
      <c r="Q85" s="205">
        <f t="shared" si="24"/>
        <v>34.184816819841458</v>
      </c>
      <c r="R85" s="5" t="b">
        <f t="shared" si="26"/>
        <v>0</v>
      </c>
      <c r="U85" s="4"/>
      <c r="V85" s="4"/>
    </row>
    <row r="86" spans="1:22" s="19" customFormat="1" ht="15" customHeight="1">
      <c r="A86" s="80"/>
      <c r="B86" s="209">
        <f t="shared" si="25"/>
        <v>50</v>
      </c>
      <c r="C86" s="209" t="s">
        <v>1766</v>
      </c>
      <c r="D86" s="209" t="s">
        <v>2539</v>
      </c>
      <c r="E86" s="227" t="s">
        <v>2518</v>
      </c>
      <c r="F86" s="209" t="s">
        <v>1777</v>
      </c>
      <c r="G86" s="209">
        <v>2019</v>
      </c>
      <c r="H86" s="209" t="s">
        <v>25</v>
      </c>
      <c r="I86" s="220">
        <v>10.5</v>
      </c>
      <c r="J86" s="208">
        <v>11739</v>
      </c>
      <c r="K86" s="248">
        <v>338.20000000000073</v>
      </c>
      <c r="L86" s="207">
        <v>164.9148216666666</v>
      </c>
      <c r="M86" s="248">
        <v>216.88517833333268</v>
      </c>
      <c r="N86" s="206">
        <f t="shared" si="21"/>
        <v>0.67221235677304503</v>
      </c>
      <c r="O86" s="206">
        <f t="shared" si="22"/>
        <v>0.77095163657407417</v>
      </c>
      <c r="P86" s="206">
        <f t="shared" si="23"/>
        <v>0.60927586107678189</v>
      </c>
      <c r="Q86" s="205">
        <f t="shared" si="24"/>
        <v>34.710230632761608</v>
      </c>
      <c r="R86" s="5" t="b">
        <f t="shared" si="26"/>
        <v>0</v>
      </c>
      <c r="U86" s="4"/>
      <c r="V86" s="4"/>
    </row>
    <row r="87" spans="1:22" s="19" customFormat="1" ht="15" customHeight="1">
      <c r="A87" s="80"/>
      <c r="B87" s="209">
        <f t="shared" si="25"/>
        <v>51</v>
      </c>
      <c r="C87" s="209" t="s">
        <v>1766</v>
      </c>
      <c r="D87" s="209" t="s">
        <v>2540</v>
      </c>
      <c r="E87" s="227" t="s">
        <v>2518</v>
      </c>
      <c r="F87" s="209" t="s">
        <v>1777</v>
      </c>
      <c r="G87" s="209">
        <v>2019</v>
      </c>
      <c r="H87" s="209" t="s">
        <v>25</v>
      </c>
      <c r="I87" s="220">
        <v>10.5</v>
      </c>
      <c r="J87" s="208">
        <v>8631</v>
      </c>
      <c r="K87" s="248">
        <v>216.49999999999639</v>
      </c>
      <c r="L87" s="207">
        <v>357.20689472222222</v>
      </c>
      <c r="M87" s="248">
        <v>146.29310527778142</v>
      </c>
      <c r="N87" s="206">
        <f t="shared" si="21"/>
        <v>0.37737039940024225</v>
      </c>
      <c r="O87" s="206">
        <f t="shared" si="22"/>
        <v>0.50387931288580257</v>
      </c>
      <c r="P87" s="206">
        <f t="shared" si="23"/>
        <v>0.59675886021656888</v>
      </c>
      <c r="Q87" s="205">
        <f t="shared" si="24"/>
        <v>39.866050808314753</v>
      </c>
      <c r="R87" s="5" t="b">
        <f t="shared" si="26"/>
        <v>0</v>
      </c>
      <c r="U87" s="4"/>
      <c r="V87" s="4"/>
    </row>
    <row r="88" spans="1:22" s="19" customFormat="1" ht="15" customHeight="1">
      <c r="A88" s="80"/>
      <c r="B88" s="209">
        <f t="shared" si="25"/>
        <v>52</v>
      </c>
      <c r="C88" s="209" t="s">
        <v>1766</v>
      </c>
      <c r="D88" s="209" t="s">
        <v>2541</v>
      </c>
      <c r="E88" s="227" t="s">
        <v>2518</v>
      </c>
      <c r="F88" s="209" t="s">
        <v>1777</v>
      </c>
      <c r="G88" s="209">
        <v>2019</v>
      </c>
      <c r="H88" s="209" t="s">
        <v>25</v>
      </c>
      <c r="I88" s="220">
        <v>10.5</v>
      </c>
      <c r="J88" s="208">
        <v>0</v>
      </c>
      <c r="K88" s="248">
        <v>0</v>
      </c>
      <c r="L88" s="207">
        <v>720</v>
      </c>
      <c r="M88" s="248">
        <v>0</v>
      </c>
      <c r="N88" s="206">
        <f t="shared" si="21"/>
        <v>0</v>
      </c>
      <c r="O88" s="206">
        <f t="shared" si="22"/>
        <v>0</v>
      </c>
      <c r="P88" s="206">
        <v>0</v>
      </c>
      <c r="Q88" s="205">
        <v>0</v>
      </c>
      <c r="R88" s="5" t="b">
        <f t="shared" si="26"/>
        <v>0</v>
      </c>
      <c r="U88" s="4"/>
      <c r="V88" s="4"/>
    </row>
    <row r="89" spans="1:22" s="19" customFormat="1" ht="15" customHeight="1">
      <c r="A89" s="80"/>
      <c r="B89" s="209">
        <f t="shared" si="25"/>
        <v>53</v>
      </c>
      <c r="C89" s="209" t="s">
        <v>1766</v>
      </c>
      <c r="D89" s="209" t="s">
        <v>2542</v>
      </c>
      <c r="E89" s="227" t="s">
        <v>2518</v>
      </c>
      <c r="F89" s="209" t="s">
        <v>1777</v>
      </c>
      <c r="G89" s="209">
        <v>2019</v>
      </c>
      <c r="H89" s="209" t="s">
        <v>25</v>
      </c>
      <c r="I89" s="220">
        <v>10.5</v>
      </c>
      <c r="J89" s="208">
        <v>2383.5</v>
      </c>
      <c r="K89" s="248">
        <v>61.199999999998909</v>
      </c>
      <c r="L89" s="207">
        <v>646.81555555555553</v>
      </c>
      <c r="M89" s="248">
        <v>11.984444444445533</v>
      </c>
      <c r="N89" s="206">
        <f t="shared" si="21"/>
        <v>8.643877880900154E-2</v>
      </c>
      <c r="O89" s="206">
        <f t="shared" si="22"/>
        <v>0.10164506172839505</v>
      </c>
      <c r="P89" s="206">
        <f t="shared" si="23"/>
        <v>0.83624328181457841</v>
      </c>
      <c r="Q89" s="205">
        <f t="shared" si="24"/>
        <v>38.946078431373245</v>
      </c>
      <c r="R89" s="5" t="b">
        <f t="shared" si="26"/>
        <v>0</v>
      </c>
      <c r="U89" s="4"/>
      <c r="V89" s="4"/>
    </row>
    <row r="90" spans="1:22" s="19" customFormat="1" ht="15" customHeight="1">
      <c r="A90" s="80"/>
      <c r="B90" s="209">
        <f t="shared" si="25"/>
        <v>54</v>
      </c>
      <c r="C90" s="209" t="s">
        <v>1766</v>
      </c>
      <c r="D90" s="209" t="s">
        <v>2543</v>
      </c>
      <c r="E90" s="227" t="s">
        <v>2518</v>
      </c>
      <c r="F90" s="209" t="s">
        <v>1777</v>
      </c>
      <c r="G90" s="209">
        <v>2019</v>
      </c>
      <c r="H90" s="209" t="s">
        <v>25</v>
      </c>
      <c r="I90" s="220">
        <v>10.5</v>
      </c>
      <c r="J90" s="208">
        <v>9303</v>
      </c>
      <c r="K90" s="248">
        <v>245.7761111111096</v>
      </c>
      <c r="L90" s="207">
        <v>307.32988416666677</v>
      </c>
      <c r="M90" s="248">
        <v>166.89400472222366</v>
      </c>
      <c r="N90" s="206">
        <f t="shared" si="21"/>
        <v>0.44435625939595524</v>
      </c>
      <c r="O90" s="206">
        <f t="shared" si="22"/>
        <v>0.57315293865740735</v>
      </c>
      <c r="P90" s="206">
        <f t="shared" si="23"/>
        <v>0.59557525898088581</v>
      </c>
      <c r="Q90" s="205">
        <f t="shared" si="24"/>
        <v>37.851522501283014</v>
      </c>
      <c r="R90" s="5" t="b">
        <f t="shared" si="26"/>
        <v>0</v>
      </c>
      <c r="U90" s="4"/>
      <c r="V90" s="4"/>
    </row>
    <row r="91" spans="1:22" s="19" customFormat="1" ht="15" customHeight="1">
      <c r="A91" s="80"/>
      <c r="B91" s="209">
        <f t="shared" si="25"/>
        <v>55</v>
      </c>
      <c r="C91" s="209" t="s">
        <v>1766</v>
      </c>
      <c r="D91" s="209" t="s">
        <v>2544</v>
      </c>
      <c r="E91" s="227" t="s">
        <v>158</v>
      </c>
      <c r="F91" s="209" t="s">
        <v>1776</v>
      </c>
      <c r="G91" s="209">
        <v>2021</v>
      </c>
      <c r="H91" s="209" t="s">
        <v>25</v>
      </c>
      <c r="I91" s="220">
        <v>10.5</v>
      </c>
      <c r="J91" s="208">
        <v>18324</v>
      </c>
      <c r="K91" s="248">
        <v>470.77999999999975</v>
      </c>
      <c r="L91" s="207">
        <v>45.730808333333357</v>
      </c>
      <c r="M91" s="248">
        <v>203.4891916666669</v>
      </c>
      <c r="N91" s="206">
        <f t="shared" si="21"/>
        <v>0.91146204959215349</v>
      </c>
      <c r="O91" s="206">
        <f t="shared" si="22"/>
        <v>0.93648498842592587</v>
      </c>
      <c r="P91" s="206">
        <f t="shared" si="23"/>
        <v>0.69820778676884243</v>
      </c>
      <c r="Q91" s="205">
        <f t="shared" si="24"/>
        <v>38.922639024597501</v>
      </c>
      <c r="R91" s="5" t="str">
        <f t="shared" si="26"/>
        <v>BIMA</v>
      </c>
      <c r="U91" s="4"/>
      <c r="V91" s="4"/>
    </row>
    <row r="92" spans="1:22" s="19" customFormat="1" ht="15" customHeight="1">
      <c r="A92" s="80"/>
      <c r="B92" s="209">
        <f t="shared" si="25"/>
        <v>56</v>
      </c>
      <c r="C92" s="209" t="s">
        <v>1766</v>
      </c>
      <c r="D92" s="209" t="s">
        <v>2545</v>
      </c>
      <c r="E92" s="227" t="s">
        <v>158</v>
      </c>
      <c r="F92" s="209" t="s">
        <v>1776</v>
      </c>
      <c r="G92" s="209">
        <v>2021</v>
      </c>
      <c r="H92" s="209" t="s">
        <v>25</v>
      </c>
      <c r="I92" s="220">
        <v>12</v>
      </c>
      <c r="J92" s="208">
        <v>13140</v>
      </c>
      <c r="K92" s="248">
        <v>375.5</v>
      </c>
      <c r="L92" s="207">
        <v>140.63719222222221</v>
      </c>
      <c r="M92" s="248">
        <v>203.86280777777779</v>
      </c>
      <c r="N92" s="206">
        <f t="shared" si="21"/>
        <v>0.72751974796330687</v>
      </c>
      <c r="O92" s="206">
        <f t="shared" si="22"/>
        <v>0.8046705663580247</v>
      </c>
      <c r="P92" s="206">
        <f t="shared" si="23"/>
        <v>0.64812582885718817</v>
      </c>
      <c r="Q92" s="205">
        <f t="shared" si="24"/>
        <v>34.993342210386153</v>
      </c>
      <c r="R92" s="5" t="b">
        <f t="shared" si="26"/>
        <v>0</v>
      </c>
      <c r="U92" s="4"/>
      <c r="V92" s="4"/>
    </row>
    <row r="93" spans="1:22" s="19" customFormat="1" ht="15" customHeight="1">
      <c r="A93" s="80"/>
      <c r="B93" s="209">
        <f t="shared" si="25"/>
        <v>57</v>
      </c>
      <c r="C93" s="209" t="s">
        <v>1766</v>
      </c>
      <c r="D93" s="209" t="s">
        <v>2546</v>
      </c>
      <c r="E93" s="227" t="s">
        <v>158</v>
      </c>
      <c r="F93" s="209" t="s">
        <v>1776</v>
      </c>
      <c r="G93" s="209">
        <v>2021</v>
      </c>
      <c r="H93" s="209" t="s">
        <v>25</v>
      </c>
      <c r="I93" s="220">
        <v>12</v>
      </c>
      <c r="J93" s="208">
        <v>13296</v>
      </c>
      <c r="K93" s="248">
        <v>357.91666666666669</v>
      </c>
      <c r="L93" s="207">
        <v>195.56030416666658</v>
      </c>
      <c r="M93" s="248">
        <v>166.52302916666673</v>
      </c>
      <c r="N93" s="206">
        <f t="shared" si="21"/>
        <v>0.64666948315442185</v>
      </c>
      <c r="O93" s="206">
        <f t="shared" si="22"/>
        <v>0.72838846643518529</v>
      </c>
      <c r="P93" s="206">
        <f t="shared" si="23"/>
        <v>0.68247439984103031</v>
      </c>
      <c r="Q93" s="205">
        <f t="shared" si="24"/>
        <v>37.148311990686842</v>
      </c>
      <c r="R93" s="5" t="b">
        <f t="shared" si="26"/>
        <v>0</v>
      </c>
      <c r="U93" s="4"/>
      <c r="V93" s="4"/>
    </row>
    <row r="94" spans="1:22" s="19" customFormat="1" ht="15" customHeight="1">
      <c r="A94" s="80"/>
      <c r="B94" s="209">
        <f t="shared" si="25"/>
        <v>58</v>
      </c>
      <c r="C94" s="209" t="s">
        <v>1766</v>
      </c>
      <c r="D94" s="209" t="s">
        <v>2547</v>
      </c>
      <c r="E94" s="227" t="s">
        <v>158</v>
      </c>
      <c r="F94" s="209" t="s">
        <v>1776</v>
      </c>
      <c r="G94" s="209">
        <v>2021</v>
      </c>
      <c r="H94" s="209" t="s">
        <v>25</v>
      </c>
      <c r="I94" s="220">
        <v>12</v>
      </c>
      <c r="J94" s="208">
        <v>17580</v>
      </c>
      <c r="K94" s="248">
        <v>472.70000000000027</v>
      </c>
      <c r="L94" s="207">
        <v>50.501505555555561</v>
      </c>
      <c r="M94" s="248">
        <v>196.79849444444417</v>
      </c>
      <c r="N94" s="206">
        <f t="shared" si="21"/>
        <v>0.90347599343787988</v>
      </c>
      <c r="O94" s="206">
        <f t="shared" si="22"/>
        <v>0.92985902006172838</v>
      </c>
      <c r="P94" s="206">
        <f t="shared" si="23"/>
        <v>0.70605087826560509</v>
      </c>
      <c r="Q94" s="205">
        <f t="shared" si="24"/>
        <v>37.190607150412504</v>
      </c>
      <c r="R94" s="5" t="str">
        <f t="shared" si="26"/>
        <v>BIMA</v>
      </c>
      <c r="U94" s="4"/>
      <c r="V94" s="4"/>
    </row>
    <row r="95" spans="1:22" s="19" customFormat="1" ht="15" customHeight="1">
      <c r="A95" s="80"/>
      <c r="B95" s="209">
        <f t="shared" si="25"/>
        <v>59</v>
      </c>
      <c r="C95" s="209" t="s">
        <v>1766</v>
      </c>
      <c r="D95" s="209" t="s">
        <v>2548</v>
      </c>
      <c r="E95" s="227" t="s">
        <v>158</v>
      </c>
      <c r="F95" s="209" t="s">
        <v>1776</v>
      </c>
      <c r="G95" s="209">
        <v>2021</v>
      </c>
      <c r="H95" s="209" t="s">
        <v>25</v>
      </c>
      <c r="I95" s="220">
        <v>12</v>
      </c>
      <c r="J95" s="208">
        <v>4944</v>
      </c>
      <c r="K95" s="248">
        <v>116.9166666666667</v>
      </c>
      <c r="L95" s="207">
        <v>568.15083333333325</v>
      </c>
      <c r="M95" s="248">
        <v>34.932499999999997</v>
      </c>
      <c r="N95" s="206">
        <f t="shared" si="21"/>
        <v>0.17066444790720139</v>
      </c>
      <c r="O95" s="206">
        <f t="shared" si="22"/>
        <v>0.21090162037037041</v>
      </c>
      <c r="P95" s="206">
        <f t="shared" si="23"/>
        <v>0.76995263940642866</v>
      </c>
      <c r="Q95" s="205">
        <f t="shared" si="24"/>
        <v>42.286528866714171</v>
      </c>
      <c r="R95" s="5" t="b">
        <f t="shared" si="26"/>
        <v>0</v>
      </c>
      <c r="U95" s="4"/>
      <c r="V95" s="4"/>
    </row>
    <row r="96" spans="1:22" s="19" customFormat="1" ht="15" customHeight="1">
      <c r="A96" s="80"/>
      <c r="B96" s="209">
        <f t="shared" si="25"/>
        <v>60</v>
      </c>
      <c r="C96" s="209" t="s">
        <v>1766</v>
      </c>
      <c r="D96" s="209" t="s">
        <v>2549</v>
      </c>
      <c r="E96" s="227" t="s">
        <v>2518</v>
      </c>
      <c r="F96" s="209" t="s">
        <v>1777</v>
      </c>
      <c r="G96" s="209">
        <v>2021</v>
      </c>
      <c r="H96" s="209" t="s">
        <v>25</v>
      </c>
      <c r="I96" s="220">
        <v>12</v>
      </c>
      <c r="J96" s="208">
        <v>3396</v>
      </c>
      <c r="K96" s="248">
        <v>98.800000000000182</v>
      </c>
      <c r="L96" s="207">
        <v>598.57861111111106</v>
      </c>
      <c r="M96" s="248">
        <v>22.621388888888699</v>
      </c>
      <c r="N96" s="206">
        <f t="shared" si="21"/>
        <v>0.14167340154379737</v>
      </c>
      <c r="O96" s="206">
        <f t="shared" si="22"/>
        <v>0.16864081790123459</v>
      </c>
      <c r="P96" s="206">
        <f t="shared" si="23"/>
        <v>0.81369518915988326</v>
      </c>
      <c r="Q96" s="205">
        <f t="shared" si="24"/>
        <v>34.372469635627468</v>
      </c>
      <c r="R96" s="5" t="b">
        <f t="shared" si="26"/>
        <v>0</v>
      </c>
      <c r="U96" s="4"/>
      <c r="V96" s="4"/>
    </row>
    <row r="97" spans="1:22" s="19" customFormat="1" ht="15" customHeight="1">
      <c r="A97" s="80"/>
      <c r="B97" s="209">
        <f t="shared" si="25"/>
        <v>61</v>
      </c>
      <c r="C97" s="209" t="s">
        <v>1766</v>
      </c>
      <c r="D97" s="209" t="s">
        <v>2550</v>
      </c>
      <c r="E97" s="227" t="s">
        <v>2518</v>
      </c>
      <c r="F97" s="209" t="s">
        <v>1777</v>
      </c>
      <c r="G97" s="209">
        <v>2021</v>
      </c>
      <c r="H97" s="209" t="s">
        <v>25</v>
      </c>
      <c r="I97" s="220">
        <v>10.5</v>
      </c>
      <c r="J97" s="208">
        <v>16488</v>
      </c>
      <c r="K97" s="248">
        <v>413.1697222222225</v>
      </c>
      <c r="L97" s="207">
        <v>89.056324444444456</v>
      </c>
      <c r="M97" s="248">
        <v>217.77395333333311</v>
      </c>
      <c r="N97" s="206">
        <f t="shared" si="21"/>
        <v>0.82267681050092545</v>
      </c>
      <c r="O97" s="206">
        <f t="shared" si="22"/>
        <v>0.87631066049382722</v>
      </c>
      <c r="P97" s="206">
        <f t="shared" si="23"/>
        <v>0.65484406648251159</v>
      </c>
      <c r="Q97" s="205">
        <f t="shared" si="24"/>
        <v>39.906118752651395</v>
      </c>
      <c r="R97" s="5" t="b">
        <f t="shared" si="26"/>
        <v>0</v>
      </c>
      <c r="U97" s="4"/>
      <c r="V97" s="4"/>
    </row>
    <row r="98" spans="1:22" s="19" customFormat="1" ht="15" customHeight="1">
      <c r="A98" s="80"/>
      <c r="B98" s="209">
        <f t="shared" si="25"/>
        <v>62</v>
      </c>
      <c r="C98" s="209" t="s">
        <v>1766</v>
      </c>
      <c r="D98" s="209" t="s">
        <v>2551</v>
      </c>
      <c r="E98" s="227" t="s">
        <v>2518</v>
      </c>
      <c r="F98" s="209" t="s">
        <v>1777</v>
      </c>
      <c r="G98" s="209">
        <v>2021</v>
      </c>
      <c r="H98" s="209" t="s">
        <v>25</v>
      </c>
      <c r="I98" s="220">
        <v>10.5</v>
      </c>
      <c r="J98" s="208">
        <v>16380</v>
      </c>
      <c r="K98" s="248">
        <v>413.5</v>
      </c>
      <c r="L98" s="207">
        <v>77.601451111111032</v>
      </c>
      <c r="M98" s="248">
        <v>228.89854888888891</v>
      </c>
      <c r="N98" s="206">
        <f t="shared" si="21"/>
        <v>0.84198488736789778</v>
      </c>
      <c r="O98" s="206">
        <f t="shared" si="22"/>
        <v>0.89222020679012337</v>
      </c>
      <c r="P98" s="206">
        <f t="shared" si="23"/>
        <v>0.64368140419246211</v>
      </c>
      <c r="Q98" s="205">
        <f t="shared" si="24"/>
        <v>39.6130592503023</v>
      </c>
      <c r="R98" s="5" t="b">
        <f t="shared" si="26"/>
        <v>0</v>
      </c>
      <c r="U98" s="4"/>
      <c r="V98" s="4"/>
    </row>
    <row r="99" spans="1:22" s="19" customFormat="1" ht="15" customHeight="1">
      <c r="A99" s="80"/>
      <c r="B99" s="209">
        <f t="shared" si="25"/>
        <v>63</v>
      </c>
      <c r="C99" s="209" t="s">
        <v>1766</v>
      </c>
      <c r="D99" s="209" t="s">
        <v>2552</v>
      </c>
      <c r="E99" s="227" t="s">
        <v>2518</v>
      </c>
      <c r="F99" s="209" t="s">
        <v>1777</v>
      </c>
      <c r="G99" s="209">
        <v>2021</v>
      </c>
      <c r="H99" s="209" t="s">
        <v>25</v>
      </c>
      <c r="I99" s="220">
        <v>10.5</v>
      </c>
      <c r="J99" s="208">
        <v>14856</v>
      </c>
      <c r="K99" s="248">
        <v>347.68070555555471</v>
      </c>
      <c r="L99" s="207">
        <v>166.18355277777778</v>
      </c>
      <c r="M99" s="248">
        <v>206.13574166666757</v>
      </c>
      <c r="N99" s="206">
        <f t="shared" si="21"/>
        <v>0.6766002887284327</v>
      </c>
      <c r="O99" s="206">
        <f t="shared" si="22"/>
        <v>0.76918951003086422</v>
      </c>
      <c r="P99" s="206">
        <f t="shared" si="23"/>
        <v>0.62779050224928712</v>
      </c>
      <c r="Q99" s="205">
        <f t="shared" si="24"/>
        <v>42.728859446663229</v>
      </c>
      <c r="R99" s="5" t="b">
        <f t="shared" si="26"/>
        <v>0</v>
      </c>
      <c r="U99" s="4"/>
      <c r="V99" s="4"/>
    </row>
    <row r="100" spans="1:22" s="19" customFormat="1" ht="15" customHeight="1">
      <c r="A100" s="80"/>
      <c r="B100" s="209">
        <f t="shared" si="25"/>
        <v>64</v>
      </c>
      <c r="C100" s="209" t="s">
        <v>1766</v>
      </c>
      <c r="D100" s="209" t="s">
        <v>2553</v>
      </c>
      <c r="E100" s="227" t="s">
        <v>2518</v>
      </c>
      <c r="F100" s="209" t="s">
        <v>1777</v>
      </c>
      <c r="G100" s="209">
        <v>2021</v>
      </c>
      <c r="H100" s="209" t="s">
        <v>25</v>
      </c>
      <c r="I100" s="220">
        <v>10.5</v>
      </c>
      <c r="J100" s="208">
        <v>14124</v>
      </c>
      <c r="K100" s="248">
        <v>374.00000000000182</v>
      </c>
      <c r="L100" s="207">
        <v>126.66865305555558</v>
      </c>
      <c r="M100" s="248">
        <v>219.33134694444257</v>
      </c>
      <c r="N100" s="206">
        <f t="shared" si="21"/>
        <v>0.74700103095629677</v>
      </c>
      <c r="O100" s="206">
        <f t="shared" si="22"/>
        <v>0.82407131520061716</v>
      </c>
      <c r="P100" s="206">
        <f t="shared" si="23"/>
        <v>0.63033918893049945</v>
      </c>
      <c r="Q100" s="205">
        <f t="shared" si="24"/>
        <v>37.764705882352757</v>
      </c>
      <c r="R100" s="5" t="b">
        <f t="shared" si="26"/>
        <v>0</v>
      </c>
      <c r="U100" s="4"/>
      <c r="V100" s="4"/>
    </row>
    <row r="101" spans="1:22" s="19" customFormat="1" ht="15" customHeight="1">
      <c r="A101" s="80"/>
      <c r="B101" s="209">
        <f t="shared" si="25"/>
        <v>65</v>
      </c>
      <c r="C101" s="209" t="s">
        <v>1766</v>
      </c>
      <c r="D101" s="209" t="s">
        <v>592</v>
      </c>
      <c r="E101" s="227" t="s">
        <v>2518</v>
      </c>
      <c r="F101" s="209" t="s">
        <v>2554</v>
      </c>
      <c r="G101" s="209">
        <v>2021</v>
      </c>
      <c r="H101" s="209" t="s">
        <v>25</v>
      </c>
      <c r="I101" s="220">
        <v>10.5</v>
      </c>
      <c r="J101" s="208">
        <v>18540</v>
      </c>
      <c r="K101" s="248">
        <v>464.80000000000041</v>
      </c>
      <c r="L101" s="207">
        <v>22.854722222222215</v>
      </c>
      <c r="M101" s="248">
        <v>232.34527777777737</v>
      </c>
      <c r="N101" s="206">
        <f t="shared" si="21"/>
        <v>0.95313339299151212</v>
      </c>
      <c r="O101" s="206">
        <f t="shared" si="22"/>
        <v>0.96825733024691363</v>
      </c>
      <c r="P101" s="206">
        <f t="shared" si="23"/>
        <v>0.66671899647889488</v>
      </c>
      <c r="Q101" s="205">
        <f t="shared" si="24"/>
        <v>39.88812392426847</v>
      </c>
      <c r="R101" s="5" t="str">
        <f t="shared" si="26"/>
        <v>BIMA</v>
      </c>
      <c r="U101" s="4"/>
      <c r="V101" s="4"/>
    </row>
    <row r="102" spans="1:22" s="19" customFormat="1" ht="15" customHeight="1">
      <c r="A102" s="80"/>
      <c r="B102" s="209">
        <f t="shared" si="25"/>
        <v>66</v>
      </c>
      <c r="C102" s="209" t="s">
        <v>1766</v>
      </c>
      <c r="D102" s="209" t="s">
        <v>593</v>
      </c>
      <c r="E102" s="227" t="s">
        <v>2518</v>
      </c>
      <c r="F102" s="209" t="s">
        <v>2554</v>
      </c>
      <c r="G102" s="209">
        <v>2021</v>
      </c>
      <c r="H102" s="209" t="s">
        <v>25</v>
      </c>
      <c r="I102" s="220">
        <v>12</v>
      </c>
      <c r="J102" s="208">
        <v>17508</v>
      </c>
      <c r="K102" s="248">
        <v>434.74305555555395</v>
      </c>
      <c r="L102" s="207">
        <v>87.157036666666627</v>
      </c>
      <c r="M102" s="248">
        <v>198.09990777777938</v>
      </c>
      <c r="N102" s="206">
        <f t="shared" ref="N102:N115" si="27">+K102/(K102+L102)</f>
        <v>0.83300053407625019</v>
      </c>
      <c r="O102" s="206">
        <f t="shared" ref="O102:O115" si="28">+(K102+M102)/(K102+L102+M102)</f>
        <v>0.87894856018518508</v>
      </c>
      <c r="P102" s="206">
        <f t="shared" ref="P102:P115" si="29">+K102/(K102+M102)</f>
        <v>0.68696830137078502</v>
      </c>
      <c r="Q102" s="205">
        <f t="shared" ref="Q102:Q115" si="30">+J102/K102</f>
        <v>40.272063639122877</v>
      </c>
      <c r="R102" s="5" t="b">
        <f t="shared" si="26"/>
        <v>0</v>
      </c>
      <c r="U102" s="4"/>
      <c r="V102" s="4"/>
    </row>
    <row r="103" spans="1:22" s="19" customFormat="1" ht="15" customHeight="1">
      <c r="A103" s="80"/>
      <c r="B103" s="209">
        <f t="shared" ref="B103:B128" si="31">+B102+1</f>
        <v>67</v>
      </c>
      <c r="C103" s="209" t="s">
        <v>1766</v>
      </c>
      <c r="D103" s="209" t="s">
        <v>594</v>
      </c>
      <c r="E103" s="227" t="s">
        <v>2518</v>
      </c>
      <c r="F103" s="209" t="s">
        <v>2554</v>
      </c>
      <c r="G103" s="209">
        <v>2021</v>
      </c>
      <c r="H103" s="209" t="s">
        <v>25</v>
      </c>
      <c r="I103" s="220">
        <v>12</v>
      </c>
      <c r="J103" s="208">
        <v>17496</v>
      </c>
      <c r="K103" s="248">
        <v>475.89999999999918</v>
      </c>
      <c r="L103" s="207">
        <v>41.873790277777765</v>
      </c>
      <c r="M103" s="248">
        <v>202.22620972222305</v>
      </c>
      <c r="N103" s="206">
        <f t="shared" si="27"/>
        <v>0.91912725003845186</v>
      </c>
      <c r="O103" s="206">
        <f t="shared" si="28"/>
        <v>0.94184195794753089</v>
      </c>
      <c r="P103" s="206">
        <f t="shared" si="29"/>
        <v>0.70178676650020644</v>
      </c>
      <c r="Q103" s="205">
        <f t="shared" si="30"/>
        <v>36.764026055894156</v>
      </c>
      <c r="R103" s="5" t="str">
        <f t="shared" si="26"/>
        <v>BIMA</v>
      </c>
      <c r="U103" s="4"/>
      <c r="V103" s="4"/>
    </row>
    <row r="104" spans="1:22" s="19" customFormat="1" ht="15" customHeight="1">
      <c r="A104" s="80"/>
      <c r="B104" s="209">
        <f t="shared" si="31"/>
        <v>68</v>
      </c>
      <c r="C104" s="209" t="s">
        <v>1766</v>
      </c>
      <c r="D104" s="209" t="s">
        <v>597</v>
      </c>
      <c r="E104" s="227" t="s">
        <v>158</v>
      </c>
      <c r="F104" s="209" t="s">
        <v>1776</v>
      </c>
      <c r="G104" s="209">
        <v>2022</v>
      </c>
      <c r="H104" s="209" t="s">
        <v>25</v>
      </c>
      <c r="I104" s="220">
        <v>12</v>
      </c>
      <c r="J104" s="208">
        <v>18636</v>
      </c>
      <c r="K104" s="248">
        <v>456</v>
      </c>
      <c r="L104" s="207">
        <v>14.2</v>
      </c>
      <c r="M104" s="248">
        <v>249.8</v>
      </c>
      <c r="N104" s="206">
        <f t="shared" si="27"/>
        <v>0.96980008507018289</v>
      </c>
      <c r="O104" s="206">
        <f t="shared" si="28"/>
        <v>0.98027777777777769</v>
      </c>
      <c r="P104" s="206">
        <f t="shared" si="29"/>
        <v>0.64607537546047045</v>
      </c>
      <c r="Q104" s="205">
        <f t="shared" si="30"/>
        <v>40.868421052631582</v>
      </c>
      <c r="R104" s="5" t="str">
        <f t="shared" si="26"/>
        <v>BIMA</v>
      </c>
      <c r="U104" s="4"/>
      <c r="V104" s="4"/>
    </row>
    <row r="105" spans="1:22" s="19" customFormat="1" ht="15" customHeight="1">
      <c r="A105" s="80"/>
      <c r="B105" s="209">
        <f t="shared" si="31"/>
        <v>69</v>
      </c>
      <c r="C105" s="209" t="s">
        <v>1766</v>
      </c>
      <c r="D105" s="209" t="s">
        <v>598</v>
      </c>
      <c r="E105" s="227" t="s">
        <v>158</v>
      </c>
      <c r="F105" s="209" t="s">
        <v>1776</v>
      </c>
      <c r="G105" s="209">
        <v>2022</v>
      </c>
      <c r="H105" s="209" t="s">
        <v>25</v>
      </c>
      <c r="I105" s="220">
        <v>12</v>
      </c>
      <c r="J105" s="208">
        <v>18444</v>
      </c>
      <c r="K105" s="248">
        <v>474</v>
      </c>
      <c r="L105" s="207">
        <v>10.604868055555553</v>
      </c>
      <c r="M105" s="248">
        <v>235.39513194444442</v>
      </c>
      <c r="N105" s="206">
        <f t="shared" si="27"/>
        <v>0.97811646404191754</v>
      </c>
      <c r="O105" s="206">
        <f t="shared" si="28"/>
        <v>0.98527101658950611</v>
      </c>
      <c r="P105" s="206">
        <f t="shared" si="29"/>
        <v>0.66817486990750996</v>
      </c>
      <c r="Q105" s="205">
        <f t="shared" si="30"/>
        <v>38.911392405063289</v>
      </c>
      <c r="R105" s="5" t="str">
        <f t="shared" si="26"/>
        <v>BIMA</v>
      </c>
      <c r="U105" s="4"/>
      <c r="V105" s="4"/>
    </row>
    <row r="106" spans="1:22" s="19" customFormat="1" ht="15" customHeight="1">
      <c r="A106" s="80"/>
      <c r="B106" s="209">
        <f t="shared" si="31"/>
        <v>70</v>
      </c>
      <c r="C106" s="209" t="s">
        <v>1766</v>
      </c>
      <c r="D106" s="209" t="s">
        <v>599</v>
      </c>
      <c r="E106" s="227" t="s">
        <v>158</v>
      </c>
      <c r="F106" s="209" t="s">
        <v>1776</v>
      </c>
      <c r="G106" s="209">
        <v>2022</v>
      </c>
      <c r="H106" s="209" t="s">
        <v>25</v>
      </c>
      <c r="I106" s="220">
        <v>12</v>
      </c>
      <c r="J106" s="208">
        <v>19068</v>
      </c>
      <c r="K106" s="248">
        <v>489</v>
      </c>
      <c r="L106" s="207">
        <v>29.784653333333345</v>
      </c>
      <c r="M106" s="248">
        <v>201.21534666666665</v>
      </c>
      <c r="N106" s="206">
        <f t="shared" si="27"/>
        <v>0.94258763604135387</v>
      </c>
      <c r="O106" s="206">
        <f t="shared" si="28"/>
        <v>0.9586324259259259</v>
      </c>
      <c r="P106" s="206">
        <f t="shared" si="29"/>
        <v>0.70847453966589102</v>
      </c>
      <c r="Q106" s="205">
        <f t="shared" si="30"/>
        <v>38.993865030674847</v>
      </c>
      <c r="R106" s="5" t="str">
        <f t="shared" si="26"/>
        <v>BIMA</v>
      </c>
      <c r="U106" s="4"/>
      <c r="V106" s="4"/>
    </row>
    <row r="107" spans="1:22" s="19" customFormat="1" ht="15" customHeight="1">
      <c r="A107" s="80"/>
      <c r="B107" s="209">
        <f t="shared" si="31"/>
        <v>71</v>
      </c>
      <c r="C107" s="209" t="s">
        <v>1766</v>
      </c>
      <c r="D107" s="209" t="s">
        <v>600</v>
      </c>
      <c r="E107" s="227" t="s">
        <v>158</v>
      </c>
      <c r="F107" s="209" t="s">
        <v>1776</v>
      </c>
      <c r="G107" s="209">
        <v>2022</v>
      </c>
      <c r="H107" s="209" t="s">
        <v>25</v>
      </c>
      <c r="I107" s="220">
        <v>12</v>
      </c>
      <c r="J107" s="208">
        <v>18744</v>
      </c>
      <c r="K107" s="248">
        <v>511</v>
      </c>
      <c r="L107" s="207">
        <v>15.800447222222216</v>
      </c>
      <c r="M107" s="248">
        <v>193.19955277777782</v>
      </c>
      <c r="N107" s="206">
        <f t="shared" si="27"/>
        <v>0.97000676953571929</v>
      </c>
      <c r="O107" s="206">
        <f t="shared" si="28"/>
        <v>0.97805493441358016</v>
      </c>
      <c r="P107" s="206">
        <f t="shared" si="29"/>
        <v>0.72564658410292227</v>
      </c>
      <c r="Q107" s="205">
        <f t="shared" si="30"/>
        <v>36.681017612524464</v>
      </c>
      <c r="R107" s="5" t="str">
        <f t="shared" si="26"/>
        <v>BIMA</v>
      </c>
      <c r="U107" s="4"/>
      <c r="V107" s="4"/>
    </row>
    <row r="108" spans="1:22" s="19" customFormat="1" ht="15" customHeight="1">
      <c r="A108" s="80"/>
      <c r="B108" s="209">
        <f t="shared" si="31"/>
        <v>72</v>
      </c>
      <c r="C108" s="209" t="s">
        <v>1766</v>
      </c>
      <c r="D108" s="209" t="s">
        <v>2555</v>
      </c>
      <c r="E108" s="227" t="s">
        <v>158</v>
      </c>
      <c r="F108" s="209" t="s">
        <v>1776</v>
      </c>
      <c r="G108" s="209">
        <v>2022</v>
      </c>
      <c r="H108" s="209" t="s">
        <v>25</v>
      </c>
      <c r="I108" s="220">
        <v>12</v>
      </c>
      <c r="J108" s="208">
        <v>18960</v>
      </c>
      <c r="K108" s="248">
        <v>507.58333333333348</v>
      </c>
      <c r="L108" s="207">
        <v>4.5247222222222252</v>
      </c>
      <c r="M108" s="248">
        <v>207.89194444444428</v>
      </c>
      <c r="N108" s="206">
        <f t="shared" si="27"/>
        <v>0.99116451660321259</v>
      </c>
      <c r="O108" s="206">
        <f t="shared" si="28"/>
        <v>0.99371566358024699</v>
      </c>
      <c r="P108" s="206">
        <f t="shared" si="29"/>
        <v>0.70943518119851201</v>
      </c>
      <c r="Q108" s="205">
        <f t="shared" si="30"/>
        <v>37.353472336233779</v>
      </c>
      <c r="R108" s="5" t="str">
        <f t="shared" si="26"/>
        <v>BIMA</v>
      </c>
      <c r="U108" s="4"/>
      <c r="V108" s="4"/>
    </row>
    <row r="109" spans="1:22" s="19" customFormat="1" ht="15" customHeight="1">
      <c r="A109" s="80"/>
      <c r="B109" s="209">
        <f t="shared" si="31"/>
        <v>73</v>
      </c>
      <c r="C109" s="209" t="s">
        <v>1766</v>
      </c>
      <c r="D109" s="209" t="s">
        <v>608</v>
      </c>
      <c r="E109" s="227" t="s">
        <v>158</v>
      </c>
      <c r="F109" s="209" t="s">
        <v>1776</v>
      </c>
      <c r="G109" s="209">
        <v>2022</v>
      </c>
      <c r="H109" s="209" t="s">
        <v>25</v>
      </c>
      <c r="I109" s="220">
        <v>12</v>
      </c>
      <c r="J109" s="208">
        <v>17148</v>
      </c>
      <c r="K109" s="248">
        <v>479</v>
      </c>
      <c r="L109" s="207">
        <v>15.454444444444439</v>
      </c>
      <c r="M109" s="248">
        <v>225.54555555555555</v>
      </c>
      <c r="N109" s="206">
        <f t="shared" si="27"/>
        <v>0.96874445235939044</v>
      </c>
      <c r="O109" s="206">
        <f t="shared" si="28"/>
        <v>0.97853549382716054</v>
      </c>
      <c r="P109" s="206">
        <f t="shared" si="29"/>
        <v>0.67987087026940929</v>
      </c>
      <c r="Q109" s="205">
        <f t="shared" si="30"/>
        <v>35.799582463465555</v>
      </c>
      <c r="R109" s="5" t="str">
        <f t="shared" si="26"/>
        <v>BIMA</v>
      </c>
      <c r="U109" s="4"/>
      <c r="V109" s="4"/>
    </row>
    <row r="110" spans="1:22" s="19" customFormat="1" ht="15" customHeight="1">
      <c r="A110" s="80"/>
      <c r="B110" s="209">
        <f t="shared" si="31"/>
        <v>74</v>
      </c>
      <c r="C110" s="209" t="s">
        <v>1766</v>
      </c>
      <c r="D110" s="209" t="s">
        <v>2257</v>
      </c>
      <c r="E110" s="227" t="s">
        <v>158</v>
      </c>
      <c r="F110" s="209" t="s">
        <v>1776</v>
      </c>
      <c r="G110" s="209">
        <v>2022</v>
      </c>
      <c r="H110" s="209" t="s">
        <v>25</v>
      </c>
      <c r="I110" s="220">
        <v>12</v>
      </c>
      <c r="J110" s="208">
        <v>16944</v>
      </c>
      <c r="K110" s="248">
        <v>477</v>
      </c>
      <c r="L110" s="207">
        <v>13.896377777777772</v>
      </c>
      <c r="M110" s="248">
        <v>229.10362222222224</v>
      </c>
      <c r="N110" s="206">
        <f t="shared" si="27"/>
        <v>0.97169183068596909</v>
      </c>
      <c r="O110" s="206">
        <f t="shared" si="28"/>
        <v>0.98069947530864199</v>
      </c>
      <c r="P110" s="206">
        <f t="shared" si="29"/>
        <v>0.67553824252990502</v>
      </c>
      <c r="Q110" s="205">
        <f t="shared" si="30"/>
        <v>35.522012578616355</v>
      </c>
      <c r="R110" s="5" t="str">
        <f t="shared" si="26"/>
        <v>BIMA</v>
      </c>
      <c r="U110" s="4"/>
      <c r="V110" s="4"/>
    </row>
    <row r="111" spans="1:22" s="19" customFormat="1" ht="15" customHeight="1">
      <c r="A111" s="80"/>
      <c r="B111" s="209">
        <f t="shared" si="31"/>
        <v>75</v>
      </c>
      <c r="C111" s="209" t="s">
        <v>1766</v>
      </c>
      <c r="D111" s="209" t="s">
        <v>2556</v>
      </c>
      <c r="E111" s="227" t="s">
        <v>158</v>
      </c>
      <c r="F111" s="209" t="s">
        <v>1776</v>
      </c>
      <c r="G111" s="209">
        <v>2022</v>
      </c>
      <c r="H111" s="209" t="s">
        <v>25</v>
      </c>
      <c r="I111" s="220">
        <v>12</v>
      </c>
      <c r="J111" s="208">
        <v>18516</v>
      </c>
      <c r="K111" s="248">
        <v>494.28132277777769</v>
      </c>
      <c r="L111" s="207">
        <v>11.814397500000002</v>
      </c>
      <c r="M111" s="248">
        <v>213.90427972222227</v>
      </c>
      <c r="N111" s="206">
        <f t="shared" si="27"/>
        <v>0.97665580437330024</v>
      </c>
      <c r="O111" s="206">
        <f t="shared" si="28"/>
        <v>0.98359111458333326</v>
      </c>
      <c r="P111" s="206">
        <f t="shared" si="29"/>
        <v>0.69795449248458519</v>
      </c>
      <c r="Q111" s="205">
        <f t="shared" si="30"/>
        <v>37.460448426299422</v>
      </c>
      <c r="R111" s="5" t="str">
        <f t="shared" si="26"/>
        <v>BIMA</v>
      </c>
      <c r="U111" s="4"/>
      <c r="V111" s="4"/>
    </row>
    <row r="112" spans="1:22" s="19" customFormat="1" ht="15" customHeight="1">
      <c r="A112" s="80"/>
      <c r="B112" s="209">
        <f t="shared" si="31"/>
        <v>76</v>
      </c>
      <c r="C112" s="209" t="s">
        <v>1766</v>
      </c>
      <c r="D112" s="209" t="s">
        <v>2557</v>
      </c>
      <c r="E112" s="227" t="s">
        <v>158</v>
      </c>
      <c r="F112" s="209" t="s">
        <v>1776</v>
      </c>
      <c r="G112" s="209">
        <v>2022</v>
      </c>
      <c r="H112" s="209" t="s">
        <v>25</v>
      </c>
      <c r="I112" s="220">
        <v>12</v>
      </c>
      <c r="J112" s="208">
        <v>18192</v>
      </c>
      <c r="K112" s="248">
        <v>486.5</v>
      </c>
      <c r="L112" s="207">
        <v>15.872222222222238</v>
      </c>
      <c r="M112" s="248">
        <v>217.62777777777779</v>
      </c>
      <c r="N112" s="206">
        <f t="shared" si="27"/>
        <v>0.96840545412321533</v>
      </c>
      <c r="O112" s="206">
        <f t="shared" si="28"/>
        <v>0.97795524691358016</v>
      </c>
      <c r="P112" s="206">
        <f t="shared" si="29"/>
        <v>0.69092573159858928</v>
      </c>
      <c r="Q112" s="205">
        <f t="shared" si="30"/>
        <v>37.393627954779035</v>
      </c>
      <c r="R112" s="5" t="str">
        <f t="shared" si="26"/>
        <v>BIMA</v>
      </c>
      <c r="U112" s="4"/>
      <c r="V112" s="4"/>
    </row>
    <row r="113" spans="1:22" s="19" customFormat="1" ht="15" customHeight="1">
      <c r="A113" s="80"/>
      <c r="B113" s="209">
        <f t="shared" si="31"/>
        <v>77</v>
      </c>
      <c r="C113" s="209" t="s">
        <v>1766</v>
      </c>
      <c r="D113" s="209" t="s">
        <v>2558</v>
      </c>
      <c r="E113" s="227" t="s">
        <v>158</v>
      </c>
      <c r="F113" s="209" t="s">
        <v>1776</v>
      </c>
      <c r="G113" s="209">
        <v>2022</v>
      </c>
      <c r="H113" s="209" t="s">
        <v>25</v>
      </c>
      <c r="I113" s="220">
        <v>12</v>
      </c>
      <c r="J113" s="208">
        <v>18588</v>
      </c>
      <c r="K113" s="248">
        <v>488.66666666666669</v>
      </c>
      <c r="L113" s="207">
        <v>26.312230833333331</v>
      </c>
      <c r="M113" s="248">
        <v>205.02110250000001</v>
      </c>
      <c r="N113" s="206">
        <f t="shared" si="27"/>
        <v>0.94890619603819137</v>
      </c>
      <c r="O113" s="206">
        <f t="shared" si="28"/>
        <v>0.96345523495370378</v>
      </c>
      <c r="P113" s="206">
        <f t="shared" si="29"/>
        <v>0.70444757481266573</v>
      </c>
      <c r="Q113" s="205">
        <f t="shared" si="30"/>
        <v>38.03819918144611</v>
      </c>
      <c r="R113" s="5" t="str">
        <f t="shared" si="26"/>
        <v>BIMA</v>
      </c>
      <c r="U113" s="4"/>
      <c r="V113" s="4"/>
    </row>
    <row r="114" spans="1:22" s="19" customFormat="1" ht="15" customHeight="1">
      <c r="A114" s="80"/>
      <c r="B114" s="209">
        <f t="shared" si="31"/>
        <v>78</v>
      </c>
      <c r="C114" s="209" t="s">
        <v>1766</v>
      </c>
      <c r="D114" s="209" t="s">
        <v>2559</v>
      </c>
      <c r="E114" s="227" t="s">
        <v>158</v>
      </c>
      <c r="F114" s="209" t="s">
        <v>1776</v>
      </c>
      <c r="G114" s="209">
        <v>2022</v>
      </c>
      <c r="H114" s="209" t="s">
        <v>25</v>
      </c>
      <c r="I114" s="220">
        <v>12</v>
      </c>
      <c r="J114" s="208">
        <v>18924</v>
      </c>
      <c r="K114" s="248">
        <v>487.48333333333335</v>
      </c>
      <c r="L114" s="207">
        <v>17.732222222222262</v>
      </c>
      <c r="M114" s="248">
        <v>214.7844444444444</v>
      </c>
      <c r="N114" s="206">
        <f t="shared" si="27"/>
        <v>0.96490167013420003</v>
      </c>
      <c r="O114" s="206">
        <f t="shared" si="28"/>
        <v>0.97537191358024689</v>
      </c>
      <c r="P114" s="206">
        <f t="shared" si="29"/>
        <v>0.69415591710031477</v>
      </c>
      <c r="Q114" s="205">
        <f t="shared" si="30"/>
        <v>38.819788710725149</v>
      </c>
      <c r="R114" s="5" t="str">
        <f t="shared" si="26"/>
        <v>BIMA</v>
      </c>
      <c r="U114" s="4"/>
      <c r="V114" s="4"/>
    </row>
    <row r="115" spans="1:22" s="19" customFormat="1" ht="15" customHeight="1">
      <c r="A115" s="80"/>
      <c r="B115" s="209">
        <f t="shared" si="31"/>
        <v>79</v>
      </c>
      <c r="C115" s="209" t="s">
        <v>1766</v>
      </c>
      <c r="D115" s="209" t="s">
        <v>2560</v>
      </c>
      <c r="E115" s="227" t="s">
        <v>158</v>
      </c>
      <c r="F115" s="209" t="s">
        <v>1776</v>
      </c>
      <c r="G115" s="209">
        <v>2022</v>
      </c>
      <c r="H115" s="209" t="s">
        <v>25</v>
      </c>
      <c r="I115" s="220">
        <v>12</v>
      </c>
      <c r="J115" s="208">
        <v>17328</v>
      </c>
      <c r="K115" s="248">
        <v>471</v>
      </c>
      <c r="L115" s="207">
        <v>11.63333333333334</v>
      </c>
      <c r="M115" s="248">
        <v>237.36666666666667</v>
      </c>
      <c r="N115" s="206">
        <f t="shared" si="27"/>
        <v>0.97589612542302651</v>
      </c>
      <c r="O115" s="206">
        <f t="shared" si="28"/>
        <v>0.98384259259259266</v>
      </c>
      <c r="P115" s="206">
        <f t="shared" si="29"/>
        <v>0.66490988659357209</v>
      </c>
      <c r="Q115" s="205">
        <f t="shared" si="30"/>
        <v>36.789808917197455</v>
      </c>
      <c r="R115" s="5" t="str">
        <f t="shared" si="26"/>
        <v>BIMA</v>
      </c>
      <c r="U115" s="4"/>
      <c r="V115" s="4"/>
    </row>
    <row r="116" spans="1:22" s="19" customFormat="1" ht="15" hidden="1" customHeight="1">
      <c r="A116" s="80"/>
      <c r="B116" s="209">
        <f t="shared" si="31"/>
        <v>80</v>
      </c>
      <c r="C116" s="209" t="s">
        <v>1766</v>
      </c>
      <c r="D116" s="209"/>
      <c r="E116" s="227"/>
      <c r="F116" s="209"/>
      <c r="G116" s="209"/>
      <c r="H116" s="209"/>
      <c r="I116" s="220"/>
      <c r="J116" s="208"/>
      <c r="K116" s="248"/>
      <c r="L116" s="207"/>
      <c r="M116" s="248"/>
      <c r="N116" s="206" t="e">
        <f t="shared" ref="N116" si="32">+K116/(K116+L116)</f>
        <v>#DIV/0!</v>
      </c>
      <c r="O116" s="206" t="e">
        <f t="shared" ref="O116" si="33">+(K116+M116)/(K116+L116+M116)</f>
        <v>#DIV/0!</v>
      </c>
      <c r="P116" s="206" t="e">
        <f t="shared" ref="P116" si="34">+K116/(K116+M116)</f>
        <v>#DIV/0!</v>
      </c>
      <c r="Q116" s="205" t="e">
        <f t="shared" ref="Q116" si="35">+J116/K116</f>
        <v>#DIV/0!</v>
      </c>
      <c r="R116" s="5" t="e">
        <f t="shared" si="26"/>
        <v>#DIV/0!</v>
      </c>
      <c r="U116" s="4"/>
      <c r="V116" s="4"/>
    </row>
    <row r="117" spans="1:22" s="19" customFormat="1" ht="15" hidden="1" customHeight="1">
      <c r="A117" s="80"/>
      <c r="B117" s="209">
        <f t="shared" si="31"/>
        <v>81</v>
      </c>
      <c r="C117" s="209" t="s">
        <v>1766</v>
      </c>
      <c r="D117" s="209"/>
      <c r="E117" s="227"/>
      <c r="F117" s="209"/>
      <c r="G117" s="209"/>
      <c r="H117" s="209"/>
      <c r="I117" s="220"/>
      <c r="J117" s="208"/>
      <c r="K117" s="248"/>
      <c r="L117" s="207"/>
      <c r="M117" s="248"/>
      <c r="N117" s="206" t="e">
        <f t="shared" ref="N117:N125" si="36">+K117/(K117+L117)</f>
        <v>#DIV/0!</v>
      </c>
      <c r="O117" s="206" t="e">
        <f t="shared" ref="O117:O125" si="37">+(K117+M117)/(K117+L117+M117)</f>
        <v>#DIV/0!</v>
      </c>
      <c r="P117" s="206" t="e">
        <f t="shared" ref="P117:P125" si="38">+K117/(K117+M117)</f>
        <v>#DIV/0!</v>
      </c>
      <c r="Q117" s="205" t="e">
        <f t="shared" ref="Q117:Q125" si="39">+J117/K117</f>
        <v>#DIV/0!</v>
      </c>
      <c r="R117" s="5" t="e">
        <f t="shared" si="26"/>
        <v>#DIV/0!</v>
      </c>
      <c r="U117" s="4"/>
      <c r="V117" s="4"/>
    </row>
    <row r="118" spans="1:22" s="19" customFormat="1" ht="15" hidden="1" customHeight="1">
      <c r="A118" s="80"/>
      <c r="B118" s="209">
        <f t="shared" si="31"/>
        <v>82</v>
      </c>
      <c r="C118" s="209" t="s">
        <v>1766</v>
      </c>
      <c r="D118" s="209"/>
      <c r="E118" s="227"/>
      <c r="F118" s="209"/>
      <c r="G118" s="209"/>
      <c r="H118" s="209"/>
      <c r="I118" s="220"/>
      <c r="J118" s="208"/>
      <c r="K118" s="248"/>
      <c r="L118" s="207"/>
      <c r="M118" s="248"/>
      <c r="N118" s="206" t="e">
        <f t="shared" si="36"/>
        <v>#DIV/0!</v>
      </c>
      <c r="O118" s="206" t="e">
        <f t="shared" si="37"/>
        <v>#DIV/0!</v>
      </c>
      <c r="P118" s="206" t="e">
        <f t="shared" si="38"/>
        <v>#DIV/0!</v>
      </c>
      <c r="Q118" s="205" t="e">
        <f t="shared" si="39"/>
        <v>#DIV/0!</v>
      </c>
      <c r="R118" s="5" t="e">
        <f t="shared" si="26"/>
        <v>#DIV/0!</v>
      </c>
      <c r="U118" s="4"/>
      <c r="V118" s="4"/>
    </row>
    <row r="119" spans="1:22" s="19" customFormat="1" ht="15" hidden="1" customHeight="1">
      <c r="A119" s="80"/>
      <c r="B119" s="209">
        <f t="shared" si="31"/>
        <v>83</v>
      </c>
      <c r="C119" s="209" t="s">
        <v>1766</v>
      </c>
      <c r="D119" s="209"/>
      <c r="E119" s="227"/>
      <c r="F119" s="209"/>
      <c r="G119" s="209"/>
      <c r="H119" s="209"/>
      <c r="I119" s="220"/>
      <c r="J119" s="208"/>
      <c r="K119" s="248"/>
      <c r="L119" s="207"/>
      <c r="M119" s="248"/>
      <c r="N119" s="206" t="e">
        <f t="shared" si="36"/>
        <v>#DIV/0!</v>
      </c>
      <c r="O119" s="206" t="e">
        <f t="shared" si="37"/>
        <v>#DIV/0!</v>
      </c>
      <c r="P119" s="206" t="e">
        <f t="shared" si="38"/>
        <v>#DIV/0!</v>
      </c>
      <c r="Q119" s="205" t="e">
        <f t="shared" si="39"/>
        <v>#DIV/0!</v>
      </c>
      <c r="R119" s="5" t="e">
        <f t="shared" si="26"/>
        <v>#DIV/0!</v>
      </c>
      <c r="U119" s="4"/>
      <c r="V119" s="4"/>
    </row>
    <row r="120" spans="1:22" s="19" customFormat="1" ht="15" hidden="1" customHeight="1">
      <c r="A120" s="80"/>
      <c r="B120" s="209">
        <f t="shared" si="31"/>
        <v>84</v>
      </c>
      <c r="C120" s="209" t="s">
        <v>1766</v>
      </c>
      <c r="D120" s="209"/>
      <c r="E120" s="227"/>
      <c r="F120" s="209"/>
      <c r="G120" s="209"/>
      <c r="H120" s="209"/>
      <c r="I120" s="220"/>
      <c r="J120" s="208"/>
      <c r="K120" s="248"/>
      <c r="L120" s="207"/>
      <c r="M120" s="248"/>
      <c r="N120" s="206" t="e">
        <f t="shared" si="36"/>
        <v>#DIV/0!</v>
      </c>
      <c r="O120" s="206" t="e">
        <f t="shared" si="37"/>
        <v>#DIV/0!</v>
      </c>
      <c r="P120" s="206" t="e">
        <f t="shared" si="38"/>
        <v>#DIV/0!</v>
      </c>
      <c r="Q120" s="205" t="e">
        <f t="shared" si="39"/>
        <v>#DIV/0!</v>
      </c>
      <c r="R120" s="5" t="e">
        <f t="shared" si="26"/>
        <v>#DIV/0!</v>
      </c>
      <c r="U120" s="4"/>
      <c r="V120" s="4"/>
    </row>
    <row r="121" spans="1:22" s="19" customFormat="1" ht="15" hidden="1" customHeight="1">
      <c r="A121" s="80"/>
      <c r="B121" s="209">
        <f t="shared" si="31"/>
        <v>85</v>
      </c>
      <c r="C121" s="209" t="s">
        <v>1766</v>
      </c>
      <c r="D121" s="209"/>
      <c r="E121" s="227"/>
      <c r="F121" s="209"/>
      <c r="G121" s="209"/>
      <c r="H121" s="209"/>
      <c r="I121" s="220"/>
      <c r="J121" s="208"/>
      <c r="K121" s="248"/>
      <c r="L121" s="207"/>
      <c r="M121" s="248">
        <v>0</v>
      </c>
      <c r="N121" s="206">
        <v>0</v>
      </c>
      <c r="O121" s="206">
        <v>0</v>
      </c>
      <c r="P121" s="206">
        <v>0</v>
      </c>
      <c r="Q121" s="205">
        <v>0</v>
      </c>
      <c r="R121" s="5" t="b">
        <f t="shared" si="26"/>
        <v>0</v>
      </c>
      <c r="U121" s="4"/>
      <c r="V121" s="4"/>
    </row>
    <row r="122" spans="1:22" s="19" customFormat="1" ht="15" hidden="1" customHeight="1">
      <c r="A122" s="80"/>
      <c r="B122" s="209">
        <f t="shared" si="31"/>
        <v>86</v>
      </c>
      <c r="C122" s="209" t="s">
        <v>1766</v>
      </c>
      <c r="D122" s="209"/>
      <c r="E122" s="227"/>
      <c r="F122" s="209"/>
      <c r="G122" s="209"/>
      <c r="H122" s="209"/>
      <c r="I122" s="220"/>
      <c r="J122" s="208"/>
      <c r="K122" s="248"/>
      <c r="L122" s="207"/>
      <c r="M122" s="248">
        <v>0</v>
      </c>
      <c r="N122" s="206" t="e">
        <f t="shared" si="36"/>
        <v>#DIV/0!</v>
      </c>
      <c r="O122" s="206" t="e">
        <f t="shared" si="37"/>
        <v>#DIV/0!</v>
      </c>
      <c r="P122" s="206" t="e">
        <f t="shared" si="38"/>
        <v>#DIV/0!</v>
      </c>
      <c r="Q122" s="205" t="e">
        <f t="shared" si="39"/>
        <v>#DIV/0!</v>
      </c>
      <c r="R122" s="5" t="e">
        <f t="shared" ref="R122:R126" si="40">IF(O122&gt;89.9999999999999%,"BIMA")</f>
        <v>#DIV/0!</v>
      </c>
      <c r="U122" s="4"/>
      <c r="V122" s="4"/>
    </row>
    <row r="123" spans="1:22" s="19" customFormat="1" ht="15" hidden="1" customHeight="1">
      <c r="A123" s="80"/>
      <c r="B123" s="209">
        <f t="shared" si="31"/>
        <v>87</v>
      </c>
      <c r="C123" s="209" t="s">
        <v>1766</v>
      </c>
      <c r="D123" s="209"/>
      <c r="E123" s="227"/>
      <c r="F123" s="209"/>
      <c r="G123" s="209"/>
      <c r="H123" s="209"/>
      <c r="I123" s="220"/>
      <c r="J123" s="208"/>
      <c r="K123" s="248"/>
      <c r="L123" s="207"/>
      <c r="M123" s="248">
        <v>0</v>
      </c>
      <c r="N123" s="206" t="e">
        <f t="shared" si="36"/>
        <v>#DIV/0!</v>
      </c>
      <c r="O123" s="206" t="e">
        <f t="shared" si="37"/>
        <v>#DIV/0!</v>
      </c>
      <c r="P123" s="206" t="e">
        <f t="shared" si="38"/>
        <v>#DIV/0!</v>
      </c>
      <c r="Q123" s="205" t="e">
        <f t="shared" si="39"/>
        <v>#DIV/0!</v>
      </c>
      <c r="R123" s="5" t="e">
        <f t="shared" si="40"/>
        <v>#DIV/0!</v>
      </c>
      <c r="U123" s="4"/>
      <c r="V123" s="4"/>
    </row>
    <row r="124" spans="1:22" s="19" customFormat="1" ht="15" hidden="1" customHeight="1">
      <c r="A124" s="80"/>
      <c r="B124" s="209">
        <f t="shared" si="31"/>
        <v>88</v>
      </c>
      <c r="C124" s="209" t="s">
        <v>1766</v>
      </c>
      <c r="D124" s="209"/>
      <c r="E124" s="227"/>
      <c r="F124" s="209"/>
      <c r="G124" s="209"/>
      <c r="H124" s="209"/>
      <c r="I124" s="220"/>
      <c r="J124" s="208"/>
      <c r="K124" s="248"/>
      <c r="L124" s="207"/>
      <c r="M124" s="248">
        <v>0</v>
      </c>
      <c r="N124" s="206" t="e">
        <f t="shared" si="36"/>
        <v>#DIV/0!</v>
      </c>
      <c r="O124" s="206" t="e">
        <f t="shared" si="37"/>
        <v>#DIV/0!</v>
      </c>
      <c r="P124" s="206" t="e">
        <f t="shared" si="38"/>
        <v>#DIV/0!</v>
      </c>
      <c r="Q124" s="205" t="e">
        <f t="shared" si="39"/>
        <v>#DIV/0!</v>
      </c>
      <c r="R124" s="5" t="e">
        <f t="shared" si="40"/>
        <v>#DIV/0!</v>
      </c>
      <c r="U124" s="4"/>
      <c r="V124" s="4"/>
    </row>
    <row r="125" spans="1:22" s="19" customFormat="1" ht="15" hidden="1" customHeight="1">
      <c r="A125" s="80"/>
      <c r="B125" s="209">
        <f t="shared" si="31"/>
        <v>89</v>
      </c>
      <c r="C125" s="209" t="s">
        <v>1766</v>
      </c>
      <c r="D125" s="209"/>
      <c r="E125" s="227"/>
      <c r="F125" s="209"/>
      <c r="G125" s="209"/>
      <c r="H125" s="209"/>
      <c r="I125" s="220"/>
      <c r="J125" s="208"/>
      <c r="K125" s="248"/>
      <c r="L125" s="207"/>
      <c r="M125" s="248">
        <v>0</v>
      </c>
      <c r="N125" s="206" t="e">
        <f t="shared" si="36"/>
        <v>#DIV/0!</v>
      </c>
      <c r="O125" s="206" t="e">
        <f t="shared" si="37"/>
        <v>#DIV/0!</v>
      </c>
      <c r="P125" s="206" t="e">
        <f t="shared" si="38"/>
        <v>#DIV/0!</v>
      </c>
      <c r="Q125" s="205" t="e">
        <f t="shared" si="39"/>
        <v>#DIV/0!</v>
      </c>
      <c r="R125" s="5" t="e">
        <f t="shared" si="40"/>
        <v>#DIV/0!</v>
      </c>
      <c r="U125" s="4"/>
      <c r="V125" s="4"/>
    </row>
    <row r="126" spans="1:22" s="19" customFormat="1" ht="15" hidden="1" customHeight="1">
      <c r="A126" s="80"/>
      <c r="B126" s="209">
        <f t="shared" si="31"/>
        <v>90</v>
      </c>
      <c r="C126" s="209" t="s">
        <v>1766</v>
      </c>
      <c r="D126" s="209"/>
      <c r="E126" s="227"/>
      <c r="F126" s="209"/>
      <c r="G126" s="209"/>
      <c r="H126" s="209"/>
      <c r="I126" s="220"/>
      <c r="J126" s="208"/>
      <c r="K126" s="248"/>
      <c r="L126" s="207"/>
      <c r="M126" s="248"/>
      <c r="N126" s="206" t="e">
        <f t="shared" ref="N126:N127" si="41">+K126/(K126+L126)</f>
        <v>#DIV/0!</v>
      </c>
      <c r="O126" s="206" t="e">
        <f t="shared" ref="O126:O127" si="42">+(K126+M126)/(K126+L126+M126)</f>
        <v>#DIV/0!</v>
      </c>
      <c r="P126" s="206" t="e">
        <f t="shared" ref="P126:P127" si="43">+K126/(K126+M126)</f>
        <v>#DIV/0!</v>
      </c>
      <c r="Q126" s="205" t="e">
        <f t="shared" ref="Q126:Q127" si="44">+J126/K126</f>
        <v>#DIV/0!</v>
      </c>
      <c r="R126" s="5" t="e">
        <f t="shared" si="40"/>
        <v>#DIV/0!</v>
      </c>
      <c r="U126" s="4"/>
      <c r="V126" s="4"/>
    </row>
    <row r="127" spans="1:22" s="19" customFormat="1" ht="15" hidden="1" customHeight="1">
      <c r="A127" s="80"/>
      <c r="B127" s="209">
        <f t="shared" si="31"/>
        <v>91</v>
      </c>
      <c r="C127" s="209" t="s">
        <v>1766</v>
      </c>
      <c r="D127" s="209"/>
      <c r="E127" s="227"/>
      <c r="F127" s="209"/>
      <c r="G127" s="209"/>
      <c r="H127" s="209"/>
      <c r="I127" s="220"/>
      <c r="J127" s="208"/>
      <c r="K127" s="248"/>
      <c r="L127" s="207"/>
      <c r="M127" s="248"/>
      <c r="N127" s="206" t="e">
        <f t="shared" si="41"/>
        <v>#DIV/0!</v>
      </c>
      <c r="O127" s="206" t="e">
        <f t="shared" si="42"/>
        <v>#DIV/0!</v>
      </c>
      <c r="P127" s="206" t="e">
        <f t="shared" si="43"/>
        <v>#DIV/0!</v>
      </c>
      <c r="Q127" s="205" t="e">
        <f t="shared" si="44"/>
        <v>#DIV/0!</v>
      </c>
      <c r="R127" s="5" t="e">
        <f t="shared" ref="R127" si="45">IF(O127&gt;89.9999999999999%,"BIMA")</f>
        <v>#DIV/0!</v>
      </c>
      <c r="U127" s="4"/>
      <c r="V127" s="4"/>
    </row>
    <row r="128" spans="1:22" s="19" customFormat="1" ht="15" hidden="1" customHeight="1">
      <c r="A128" s="80"/>
      <c r="B128" s="209">
        <f t="shared" si="31"/>
        <v>92</v>
      </c>
      <c r="C128" s="209" t="s">
        <v>1766</v>
      </c>
      <c r="D128" s="209"/>
      <c r="E128" s="227"/>
      <c r="F128" s="209"/>
      <c r="G128" s="209"/>
      <c r="H128" s="209"/>
      <c r="I128" s="220"/>
      <c r="J128" s="208"/>
      <c r="K128" s="248"/>
      <c r="L128" s="207"/>
      <c r="M128" s="248"/>
      <c r="N128" s="206">
        <v>0</v>
      </c>
      <c r="O128" s="206">
        <v>0</v>
      </c>
      <c r="P128" s="206">
        <v>0</v>
      </c>
      <c r="Q128" s="205">
        <v>0</v>
      </c>
      <c r="R128" s="5" t="b">
        <f t="shared" ref="R128" si="46">IF(O128&gt;89.9999999999999%,"BIMA")</f>
        <v>0</v>
      </c>
      <c r="U128" s="4"/>
      <c r="V128" s="4"/>
    </row>
    <row r="129" spans="1:23" s="19" customFormat="1" ht="15" customHeight="1">
      <c r="A129" s="64"/>
      <c r="B129" s="359" t="s">
        <v>22</v>
      </c>
      <c r="C129" s="360"/>
      <c r="D129" s="360"/>
      <c r="E129" s="358"/>
      <c r="F129" s="223">
        <f>+COUNTA(F37:F121)</f>
        <v>79</v>
      </c>
      <c r="G129" s="224"/>
      <c r="H129" s="210"/>
      <c r="I129" s="202"/>
      <c r="J129" s="202"/>
      <c r="K129" s="228"/>
      <c r="L129" s="228"/>
      <c r="M129" s="228"/>
      <c r="N129" s="228"/>
      <c r="O129" s="228"/>
      <c r="P129" s="228"/>
      <c r="Q129" s="229"/>
      <c r="R129" s="5" t="b">
        <f t="shared" si="26"/>
        <v>0</v>
      </c>
      <c r="U129" s="4"/>
      <c r="V129" s="4"/>
    </row>
    <row r="130" spans="1:23" s="19" customFormat="1" ht="15" customHeight="1">
      <c r="A130" s="158"/>
      <c r="B130" s="159"/>
      <c r="C130" s="16"/>
      <c r="D130" s="16"/>
      <c r="E130" s="17"/>
      <c r="F130" s="17"/>
      <c r="G130" s="17"/>
      <c r="H130" s="16"/>
      <c r="I130" s="17"/>
      <c r="J130" s="17"/>
      <c r="K130" s="230"/>
      <c r="L130" s="108"/>
      <c r="M130" s="108"/>
      <c r="N130" s="108"/>
      <c r="O130" s="108"/>
      <c r="P130" s="108"/>
      <c r="Q130" s="112"/>
      <c r="R130" s="4">
        <f>COUNTIF(R37:R129,"BIMA")</f>
        <v>20</v>
      </c>
      <c r="U130" s="4"/>
      <c r="V130" s="4"/>
    </row>
    <row r="131" spans="1:23" s="19" customFormat="1" ht="15" customHeight="1">
      <c r="A131" s="65" t="s">
        <v>95</v>
      </c>
      <c r="B131" s="66" t="s">
        <v>96</v>
      </c>
      <c r="C131" s="4"/>
      <c r="D131" s="4"/>
      <c r="E131" s="4"/>
      <c r="F131" s="16"/>
      <c r="G131" s="4"/>
      <c r="H131" s="4"/>
      <c r="I131" s="4"/>
      <c r="J131" s="4"/>
      <c r="K131" s="108"/>
      <c r="L131" s="108"/>
      <c r="M131" s="108"/>
      <c r="N131" s="108"/>
      <c r="O131" s="108"/>
      <c r="P131" s="108"/>
      <c r="Q131" s="112"/>
      <c r="R131" s="5" t="b">
        <f t="shared" si="26"/>
        <v>0</v>
      </c>
      <c r="U131" s="4"/>
      <c r="V131" s="4"/>
    </row>
    <row r="132" spans="1:23" s="152" customFormat="1" ht="15" customHeight="1">
      <c r="A132" s="64"/>
      <c r="B132" s="216" t="s">
        <v>2</v>
      </c>
      <c r="C132" s="216" t="s">
        <v>3</v>
      </c>
      <c r="D132" s="216" t="s">
        <v>4</v>
      </c>
      <c r="E132" s="216" t="s">
        <v>5</v>
      </c>
      <c r="F132" s="216" t="s">
        <v>6</v>
      </c>
      <c r="G132" s="216" t="s">
        <v>7</v>
      </c>
      <c r="H132" s="216" t="s">
        <v>8</v>
      </c>
      <c r="I132" s="216" t="s">
        <v>9</v>
      </c>
      <c r="J132" s="216"/>
      <c r="K132" s="216" t="s">
        <v>262</v>
      </c>
      <c r="L132" s="216" t="s">
        <v>268</v>
      </c>
      <c r="M132" s="216" t="s">
        <v>269</v>
      </c>
      <c r="N132" s="216" t="s">
        <v>263</v>
      </c>
      <c r="O132" s="216" t="s">
        <v>264</v>
      </c>
      <c r="P132" s="216" t="s">
        <v>265</v>
      </c>
      <c r="Q132" s="218" t="s">
        <v>266</v>
      </c>
      <c r="R132" s="5" t="str">
        <f t="shared" si="26"/>
        <v>BIMA</v>
      </c>
      <c r="S132" s="19"/>
      <c r="U132" s="4"/>
      <c r="W132" s="19"/>
    </row>
    <row r="133" spans="1:23" s="152" customFormat="1" ht="15" customHeight="1">
      <c r="A133" s="153"/>
      <c r="B133" s="209">
        <v>1</v>
      </c>
      <c r="C133" s="209" t="s">
        <v>1766</v>
      </c>
      <c r="D133" s="209" t="s">
        <v>2561</v>
      </c>
      <c r="E133" s="209" t="s">
        <v>15</v>
      </c>
      <c r="F133" s="209" t="s">
        <v>113</v>
      </c>
      <c r="G133" s="209">
        <v>2018</v>
      </c>
      <c r="H133" s="201" t="s">
        <v>232</v>
      </c>
      <c r="I133" s="209"/>
      <c r="J133" s="207"/>
      <c r="K133" s="207">
        <v>0</v>
      </c>
      <c r="L133" s="207">
        <v>720</v>
      </c>
      <c r="M133" s="207">
        <v>0</v>
      </c>
      <c r="N133" s="206">
        <f t="shared" ref="N133" si="47">+K133/(K133+L133)</f>
        <v>0</v>
      </c>
      <c r="O133" s="206">
        <f t="shared" ref="O133" si="48">+(K133+M133)/(K133+L133+M133)</f>
        <v>0</v>
      </c>
      <c r="P133" s="206">
        <v>0</v>
      </c>
      <c r="Q133" s="205"/>
      <c r="R133" s="5" t="b">
        <f t="shared" si="26"/>
        <v>0</v>
      </c>
      <c r="S133" s="19"/>
      <c r="U133" s="19"/>
    </row>
    <row r="134" spans="1:23" s="152" customFormat="1" ht="15" customHeight="1">
      <c r="A134" s="153"/>
      <c r="B134" s="209">
        <f>+B133+1</f>
        <v>2</v>
      </c>
      <c r="C134" s="209" t="s">
        <v>1766</v>
      </c>
      <c r="D134" s="209" t="s">
        <v>2562</v>
      </c>
      <c r="E134" s="209" t="s">
        <v>15</v>
      </c>
      <c r="F134" s="209" t="s">
        <v>113</v>
      </c>
      <c r="G134" s="209">
        <v>2018</v>
      </c>
      <c r="H134" s="201" t="s">
        <v>232</v>
      </c>
      <c r="I134" s="209"/>
      <c r="J134" s="238"/>
      <c r="K134" s="238">
        <v>12.00333333333333</v>
      </c>
      <c r="L134" s="238">
        <v>581.79166666666674</v>
      </c>
      <c r="M134" s="238">
        <v>126.20499999999998</v>
      </c>
      <c r="N134" s="206">
        <f t="shared" ref="N134:N147" si="49">+K134/(K134+L134)</f>
        <v>2.0214608296353673E-2</v>
      </c>
      <c r="O134" s="206">
        <f t="shared" ref="O134:O147" si="50">+(K134+M134)/(K134+L134+M134)</f>
        <v>0.19195601851851848</v>
      </c>
      <c r="P134" s="206">
        <f t="shared" ref="P134:P146" si="51">+K134/(K134+M134)</f>
        <v>8.6849562858004214E-2</v>
      </c>
      <c r="Q134" s="205"/>
      <c r="R134" s="5" t="b">
        <f t="shared" si="26"/>
        <v>0</v>
      </c>
      <c r="S134" s="19"/>
    </row>
    <row r="135" spans="1:23" s="152" customFormat="1" ht="15" customHeight="1">
      <c r="A135" s="153"/>
      <c r="B135" s="209">
        <f t="shared" ref="B135:B201" si="52">+B134+1</f>
        <v>3</v>
      </c>
      <c r="C135" s="209" t="s">
        <v>1766</v>
      </c>
      <c r="D135" s="209" t="s">
        <v>2563</v>
      </c>
      <c r="E135" s="209" t="s">
        <v>15</v>
      </c>
      <c r="F135" s="209" t="s">
        <v>113</v>
      </c>
      <c r="G135" s="209">
        <v>2019</v>
      </c>
      <c r="H135" s="201" t="s">
        <v>232</v>
      </c>
      <c r="I135" s="209"/>
      <c r="J135" s="238"/>
      <c r="K135" s="238">
        <v>454.94000000000005</v>
      </c>
      <c r="L135" s="238">
        <v>68.774168888888866</v>
      </c>
      <c r="M135" s="238">
        <v>196.28583111111107</v>
      </c>
      <c r="N135" s="206">
        <f t="shared" si="49"/>
        <v>0.86867995373354123</v>
      </c>
      <c r="O135" s="206">
        <f t="shared" si="50"/>
        <v>0.9044803209876543</v>
      </c>
      <c r="P135" s="206">
        <f t="shared" si="51"/>
        <v>0.69859022518162195</v>
      </c>
      <c r="Q135" s="205"/>
      <c r="R135" s="5" t="str">
        <f t="shared" si="26"/>
        <v>BIMA</v>
      </c>
      <c r="S135" s="19"/>
    </row>
    <row r="136" spans="1:23" s="152" customFormat="1" ht="15" customHeight="1">
      <c r="A136" s="153"/>
      <c r="B136" s="209">
        <f t="shared" si="52"/>
        <v>4</v>
      </c>
      <c r="C136" s="209" t="s">
        <v>1766</v>
      </c>
      <c r="D136" s="209" t="s">
        <v>2564</v>
      </c>
      <c r="E136" s="209" t="s">
        <v>15</v>
      </c>
      <c r="F136" s="209" t="s">
        <v>113</v>
      </c>
      <c r="G136" s="209">
        <v>2013</v>
      </c>
      <c r="H136" s="201" t="s">
        <v>232</v>
      </c>
      <c r="I136" s="209"/>
      <c r="J136" s="238"/>
      <c r="K136" s="238">
        <v>3</v>
      </c>
      <c r="L136" s="238">
        <v>717</v>
      </c>
      <c r="M136" s="238">
        <v>0</v>
      </c>
      <c r="N136" s="206">
        <f t="shared" si="49"/>
        <v>4.1666666666666666E-3</v>
      </c>
      <c r="O136" s="206">
        <f t="shared" si="50"/>
        <v>4.1666666666666666E-3</v>
      </c>
      <c r="P136" s="206">
        <f t="shared" si="51"/>
        <v>1</v>
      </c>
      <c r="Q136" s="205"/>
      <c r="R136" s="5" t="b">
        <f t="shared" si="26"/>
        <v>0</v>
      </c>
      <c r="S136" s="19"/>
    </row>
    <row r="137" spans="1:23" s="152" customFormat="1" ht="15" customHeight="1">
      <c r="A137" s="153"/>
      <c r="B137" s="209">
        <f t="shared" si="52"/>
        <v>5</v>
      </c>
      <c r="C137" s="209" t="s">
        <v>1766</v>
      </c>
      <c r="D137" s="209" t="s">
        <v>2565</v>
      </c>
      <c r="E137" s="209" t="s">
        <v>15</v>
      </c>
      <c r="F137" s="209" t="s">
        <v>113</v>
      </c>
      <c r="G137" s="209">
        <v>2013</v>
      </c>
      <c r="H137" s="201" t="s">
        <v>232</v>
      </c>
      <c r="I137" s="209"/>
      <c r="J137" s="238"/>
      <c r="K137" s="238">
        <v>366.23333333333312</v>
      </c>
      <c r="L137" s="238">
        <v>195.8769444444444</v>
      </c>
      <c r="M137" s="238">
        <v>157.88972222222242</v>
      </c>
      <c r="N137" s="206">
        <f t="shared" si="49"/>
        <v>0.65153288920669461</v>
      </c>
      <c r="O137" s="206">
        <f t="shared" si="50"/>
        <v>0.72794868827160486</v>
      </c>
      <c r="P137" s="206">
        <f t="shared" si="51"/>
        <v>0.69875448036747057</v>
      </c>
      <c r="Q137" s="205"/>
      <c r="R137" s="5" t="b">
        <f t="shared" si="26"/>
        <v>0</v>
      </c>
      <c r="S137" s="19"/>
    </row>
    <row r="138" spans="1:23" s="152" customFormat="1" ht="15" customHeight="1">
      <c r="A138" s="153"/>
      <c r="B138" s="209">
        <f t="shared" si="52"/>
        <v>6</v>
      </c>
      <c r="C138" s="209" t="s">
        <v>1766</v>
      </c>
      <c r="D138" s="209" t="s">
        <v>2566</v>
      </c>
      <c r="E138" s="209" t="s">
        <v>15</v>
      </c>
      <c r="F138" s="209" t="s">
        <v>209</v>
      </c>
      <c r="G138" s="209">
        <v>2021</v>
      </c>
      <c r="H138" s="201" t="s">
        <v>232</v>
      </c>
      <c r="I138" s="209"/>
      <c r="J138" s="238"/>
      <c r="K138" s="238">
        <v>515.41981916666668</v>
      </c>
      <c r="L138" s="238">
        <v>53.52016444444444</v>
      </c>
      <c r="M138" s="238">
        <v>151.0600163888889</v>
      </c>
      <c r="N138" s="206">
        <f t="shared" si="49"/>
        <v>0.90593003482591028</v>
      </c>
      <c r="O138" s="206">
        <f t="shared" si="50"/>
        <v>0.925666438271605</v>
      </c>
      <c r="P138" s="206">
        <f t="shared" si="51"/>
        <v>0.77334645651661726</v>
      </c>
      <c r="Q138" s="205"/>
      <c r="R138" s="5" t="str">
        <f t="shared" si="26"/>
        <v>BIMA</v>
      </c>
      <c r="S138" s="19"/>
    </row>
    <row r="139" spans="1:23" s="152" customFormat="1" ht="15" customHeight="1">
      <c r="A139" s="153"/>
      <c r="B139" s="209">
        <f t="shared" si="52"/>
        <v>7</v>
      </c>
      <c r="C139" s="209" t="s">
        <v>1766</v>
      </c>
      <c r="D139" s="209" t="s">
        <v>2567</v>
      </c>
      <c r="E139" s="209" t="s">
        <v>15</v>
      </c>
      <c r="F139" s="209" t="s">
        <v>113</v>
      </c>
      <c r="G139" s="209">
        <v>2022</v>
      </c>
      <c r="H139" s="201" t="s">
        <v>232</v>
      </c>
      <c r="I139" s="209"/>
      <c r="J139" s="238"/>
      <c r="K139" s="238">
        <v>548.67999999999847</v>
      </c>
      <c r="L139" s="238">
        <v>17.465781666666675</v>
      </c>
      <c r="M139" s="238">
        <v>153.85421833333487</v>
      </c>
      <c r="N139" s="206">
        <f t="shared" si="49"/>
        <v>0.96914967446149736</v>
      </c>
      <c r="O139" s="206">
        <f t="shared" si="50"/>
        <v>0.97574196990740747</v>
      </c>
      <c r="P139" s="206">
        <f t="shared" si="51"/>
        <v>0.78100110383472421</v>
      </c>
      <c r="Q139" s="205"/>
      <c r="R139" s="5" t="str">
        <f t="shared" si="26"/>
        <v>BIMA</v>
      </c>
      <c r="S139" s="19"/>
    </row>
    <row r="140" spans="1:23" s="152" customFormat="1" ht="15" customHeight="1">
      <c r="A140" s="153"/>
      <c r="B140" s="209">
        <f t="shared" si="52"/>
        <v>8</v>
      </c>
      <c r="C140" s="209" t="s">
        <v>1766</v>
      </c>
      <c r="D140" s="209" t="s">
        <v>2568</v>
      </c>
      <c r="E140" s="209" t="s">
        <v>15</v>
      </c>
      <c r="F140" s="209" t="s">
        <v>209</v>
      </c>
      <c r="G140" s="209">
        <v>2012</v>
      </c>
      <c r="H140" s="201" t="s">
        <v>232</v>
      </c>
      <c r="I140" s="209"/>
      <c r="J140" s="238"/>
      <c r="K140" s="238">
        <v>534.59500000000025</v>
      </c>
      <c r="L140" s="238">
        <v>61.161098055555556</v>
      </c>
      <c r="M140" s="238">
        <v>124.24390194444419</v>
      </c>
      <c r="N140" s="206">
        <f t="shared" si="49"/>
        <v>0.8973386957260282</v>
      </c>
      <c r="O140" s="206">
        <f t="shared" si="50"/>
        <v>0.91505403047839495</v>
      </c>
      <c r="P140" s="206">
        <f t="shared" si="51"/>
        <v>0.81141990617469517</v>
      </c>
      <c r="Q140" s="205"/>
      <c r="R140" s="5" t="str">
        <f t="shared" si="26"/>
        <v>BIMA</v>
      </c>
      <c r="S140" s="19"/>
    </row>
    <row r="141" spans="1:23" s="152" customFormat="1" ht="15" customHeight="1">
      <c r="A141" s="153"/>
      <c r="B141" s="209">
        <f t="shared" si="52"/>
        <v>9</v>
      </c>
      <c r="C141" s="209" t="s">
        <v>1766</v>
      </c>
      <c r="D141" s="209" t="s">
        <v>2569</v>
      </c>
      <c r="E141" s="209" t="s">
        <v>15</v>
      </c>
      <c r="F141" s="209" t="s">
        <v>2593</v>
      </c>
      <c r="G141" s="209">
        <v>2018</v>
      </c>
      <c r="H141" s="201" t="s">
        <v>2603</v>
      </c>
      <c r="I141" s="209"/>
      <c r="J141" s="238"/>
      <c r="K141" s="238">
        <v>0</v>
      </c>
      <c r="L141" s="238">
        <v>720</v>
      </c>
      <c r="M141" s="238">
        <v>0</v>
      </c>
      <c r="N141" s="206">
        <f t="shared" si="49"/>
        <v>0</v>
      </c>
      <c r="O141" s="206">
        <f t="shared" si="50"/>
        <v>0</v>
      </c>
      <c r="P141" s="206">
        <v>0</v>
      </c>
      <c r="Q141" s="205"/>
      <c r="R141" s="5" t="b">
        <f t="shared" si="26"/>
        <v>0</v>
      </c>
      <c r="S141" s="19"/>
    </row>
    <row r="142" spans="1:23" s="152" customFormat="1" ht="15" customHeight="1">
      <c r="A142" s="153"/>
      <c r="B142" s="209">
        <f t="shared" si="52"/>
        <v>10</v>
      </c>
      <c r="C142" s="209" t="s">
        <v>1766</v>
      </c>
      <c r="D142" s="209" t="s">
        <v>2570</v>
      </c>
      <c r="E142" s="209" t="s">
        <v>15</v>
      </c>
      <c r="F142" s="209" t="s">
        <v>2594</v>
      </c>
      <c r="G142" s="209">
        <v>2008</v>
      </c>
      <c r="H142" s="201" t="s">
        <v>2603</v>
      </c>
      <c r="I142" s="209"/>
      <c r="J142" s="238"/>
      <c r="K142" s="238">
        <v>406.9166666666739</v>
      </c>
      <c r="L142" s="238">
        <v>138.84851527777775</v>
      </c>
      <c r="M142" s="238">
        <v>174.23481805554832</v>
      </c>
      <c r="N142" s="206">
        <f t="shared" si="49"/>
        <v>0.74558927562383437</v>
      </c>
      <c r="O142" s="206">
        <f t="shared" si="50"/>
        <v>0.80715483989197534</v>
      </c>
      <c r="P142" s="206">
        <f t="shared" si="51"/>
        <v>0.70019035890645831</v>
      </c>
      <c r="Q142" s="205"/>
      <c r="R142" s="5" t="b">
        <f t="shared" si="26"/>
        <v>0</v>
      </c>
      <c r="S142" s="19"/>
    </row>
    <row r="143" spans="1:23" s="152" customFormat="1" ht="15" customHeight="1">
      <c r="A143" s="153"/>
      <c r="B143" s="209">
        <f t="shared" si="52"/>
        <v>11</v>
      </c>
      <c r="C143" s="209" t="s">
        <v>1766</v>
      </c>
      <c r="D143" s="209" t="s">
        <v>2571</v>
      </c>
      <c r="E143" s="209" t="s">
        <v>15</v>
      </c>
      <c r="F143" s="209" t="s">
        <v>2594</v>
      </c>
      <c r="G143" s="209">
        <v>2015</v>
      </c>
      <c r="H143" s="201" t="s">
        <v>2603</v>
      </c>
      <c r="I143" s="209"/>
      <c r="J143" s="238"/>
      <c r="K143" s="238">
        <v>0</v>
      </c>
      <c r="L143" s="238">
        <v>720</v>
      </c>
      <c r="M143" s="238">
        <v>0</v>
      </c>
      <c r="N143" s="206">
        <f t="shared" si="49"/>
        <v>0</v>
      </c>
      <c r="O143" s="206">
        <f t="shared" si="50"/>
        <v>0</v>
      </c>
      <c r="P143" s="206">
        <v>0</v>
      </c>
      <c r="Q143" s="205"/>
      <c r="R143" s="5" t="b">
        <f t="shared" si="26"/>
        <v>0</v>
      </c>
      <c r="S143" s="19"/>
    </row>
    <row r="144" spans="1:23" s="152" customFormat="1" ht="15" customHeight="1">
      <c r="A144" s="153"/>
      <c r="B144" s="209">
        <f t="shared" si="52"/>
        <v>12</v>
      </c>
      <c r="C144" s="209" t="s">
        <v>1766</v>
      </c>
      <c r="D144" s="209" t="s">
        <v>2572</v>
      </c>
      <c r="E144" s="209" t="s">
        <v>1778</v>
      </c>
      <c r="F144" s="209" t="s">
        <v>1779</v>
      </c>
      <c r="G144" s="209">
        <v>2015</v>
      </c>
      <c r="H144" s="201" t="s">
        <v>228</v>
      </c>
      <c r="I144" s="209"/>
      <c r="J144" s="238"/>
      <c r="K144" s="238">
        <v>237</v>
      </c>
      <c r="L144" s="238">
        <v>0</v>
      </c>
      <c r="M144" s="238">
        <v>483</v>
      </c>
      <c r="N144" s="206">
        <f t="shared" si="49"/>
        <v>1</v>
      </c>
      <c r="O144" s="206">
        <f t="shared" si="50"/>
        <v>1</v>
      </c>
      <c r="P144" s="206">
        <f t="shared" si="51"/>
        <v>0.32916666666666666</v>
      </c>
      <c r="Q144" s="205"/>
      <c r="R144" s="5" t="str">
        <f t="shared" si="26"/>
        <v>BIMA</v>
      </c>
      <c r="S144" s="19"/>
    </row>
    <row r="145" spans="1:23" s="152" customFormat="1" ht="15" customHeight="1">
      <c r="A145" s="153"/>
      <c r="B145" s="209">
        <f t="shared" si="52"/>
        <v>13</v>
      </c>
      <c r="C145" s="209" t="s">
        <v>1766</v>
      </c>
      <c r="D145" s="209" t="s">
        <v>2573</v>
      </c>
      <c r="E145" s="209" t="s">
        <v>2574</v>
      </c>
      <c r="F145" s="209" t="s">
        <v>2595</v>
      </c>
      <c r="G145" s="209">
        <v>2016</v>
      </c>
      <c r="H145" s="201" t="s">
        <v>228</v>
      </c>
      <c r="I145" s="209"/>
      <c r="J145" s="238"/>
      <c r="K145" s="238">
        <v>0</v>
      </c>
      <c r="L145" s="238">
        <v>720</v>
      </c>
      <c r="M145" s="238">
        <v>0</v>
      </c>
      <c r="N145" s="206">
        <f t="shared" si="49"/>
        <v>0</v>
      </c>
      <c r="O145" s="206">
        <f t="shared" si="50"/>
        <v>0</v>
      </c>
      <c r="P145" s="206">
        <v>0</v>
      </c>
      <c r="Q145" s="205"/>
      <c r="R145" s="5" t="b">
        <f t="shared" si="26"/>
        <v>0</v>
      </c>
      <c r="S145" s="19"/>
    </row>
    <row r="146" spans="1:23" s="152" customFormat="1" ht="15" customHeight="1">
      <c r="A146" s="153"/>
      <c r="B146" s="209">
        <f t="shared" si="52"/>
        <v>14</v>
      </c>
      <c r="C146" s="209" t="s">
        <v>1766</v>
      </c>
      <c r="D146" s="209" t="s">
        <v>2575</v>
      </c>
      <c r="E146" s="209" t="s">
        <v>2574</v>
      </c>
      <c r="F146" s="209" t="s">
        <v>2595</v>
      </c>
      <c r="G146" s="209">
        <v>2012</v>
      </c>
      <c r="H146" s="201" t="s">
        <v>228</v>
      </c>
      <c r="I146" s="209"/>
      <c r="J146" s="238"/>
      <c r="K146" s="238">
        <v>63.033333333333339</v>
      </c>
      <c r="L146" s="238">
        <v>115.88722277777781</v>
      </c>
      <c r="M146" s="238">
        <v>541.07944388888882</v>
      </c>
      <c r="N146" s="206">
        <f t="shared" si="49"/>
        <v>0.35229788406307611</v>
      </c>
      <c r="O146" s="206">
        <f t="shared" si="50"/>
        <v>0.83904552391975296</v>
      </c>
      <c r="P146" s="206">
        <f t="shared" si="51"/>
        <v>0.10434034125741824</v>
      </c>
      <c r="Q146" s="205"/>
      <c r="R146" s="5" t="b">
        <f t="shared" si="26"/>
        <v>0</v>
      </c>
      <c r="S146" s="19"/>
    </row>
    <row r="147" spans="1:23" s="152" customFormat="1" ht="15" customHeight="1">
      <c r="A147" s="153"/>
      <c r="B147" s="209">
        <f t="shared" si="52"/>
        <v>15</v>
      </c>
      <c r="C147" s="209" t="s">
        <v>1766</v>
      </c>
      <c r="D147" s="209" t="s">
        <v>2576</v>
      </c>
      <c r="E147" s="209" t="s">
        <v>225</v>
      </c>
      <c r="F147" s="209" t="s">
        <v>1775</v>
      </c>
      <c r="G147" s="209">
        <v>2023</v>
      </c>
      <c r="H147" s="201" t="s">
        <v>228</v>
      </c>
      <c r="I147" s="209"/>
      <c r="J147" s="238"/>
      <c r="K147" s="238">
        <v>0</v>
      </c>
      <c r="L147" s="238">
        <v>720</v>
      </c>
      <c r="M147" s="238">
        <v>0</v>
      </c>
      <c r="N147" s="206">
        <f t="shared" si="49"/>
        <v>0</v>
      </c>
      <c r="O147" s="206">
        <f t="shared" si="50"/>
        <v>0</v>
      </c>
      <c r="P147" s="206">
        <v>0</v>
      </c>
      <c r="Q147" s="205"/>
      <c r="R147" s="5" t="b">
        <f t="shared" ref="R147:R210" si="53">IF(O147&gt;89.9999999999999%,"BIMA")</f>
        <v>0</v>
      </c>
      <c r="S147" s="19"/>
    </row>
    <row r="148" spans="1:23" s="152" customFormat="1" ht="15" customHeight="1">
      <c r="A148" s="153"/>
      <c r="B148" s="209">
        <f t="shared" si="52"/>
        <v>16</v>
      </c>
      <c r="C148" s="209" t="s">
        <v>1766</v>
      </c>
      <c r="D148" s="209" t="s">
        <v>2577</v>
      </c>
      <c r="E148" s="209" t="s">
        <v>1778</v>
      </c>
      <c r="F148" s="209" t="s">
        <v>1779</v>
      </c>
      <c r="G148" s="209">
        <v>2009</v>
      </c>
      <c r="H148" s="201" t="s">
        <v>228</v>
      </c>
      <c r="I148" s="209"/>
      <c r="J148" s="238"/>
      <c r="K148" s="238">
        <v>0</v>
      </c>
      <c r="L148" s="238">
        <v>720</v>
      </c>
      <c r="M148" s="238">
        <v>0</v>
      </c>
      <c r="N148" s="206">
        <f t="shared" ref="N148:N149" si="54">+K148/(K148+L148)</f>
        <v>0</v>
      </c>
      <c r="O148" s="206">
        <f t="shared" ref="O148:O149" si="55">+(K148+M148)/(K148+L148+M148)</f>
        <v>0</v>
      </c>
      <c r="P148" s="206">
        <v>0</v>
      </c>
      <c r="Q148" s="205"/>
      <c r="R148" s="5" t="b">
        <f t="shared" si="53"/>
        <v>0</v>
      </c>
      <c r="S148" s="19"/>
    </row>
    <row r="149" spans="1:23" s="152" customFormat="1" ht="15" customHeight="1">
      <c r="A149" s="153"/>
      <c r="B149" s="209">
        <f t="shared" si="52"/>
        <v>17</v>
      </c>
      <c r="C149" s="209" t="s">
        <v>1766</v>
      </c>
      <c r="D149" s="209" t="s">
        <v>2578</v>
      </c>
      <c r="E149" s="209" t="s">
        <v>2579</v>
      </c>
      <c r="F149" s="209" t="s">
        <v>2221</v>
      </c>
      <c r="G149" s="209">
        <v>2011</v>
      </c>
      <c r="H149" s="201" t="s">
        <v>228</v>
      </c>
      <c r="I149" s="209"/>
      <c r="J149" s="238"/>
      <c r="K149" s="238">
        <v>88</v>
      </c>
      <c r="L149" s="238">
        <v>2.7333333333333369</v>
      </c>
      <c r="M149" s="238">
        <v>629.26666666666699</v>
      </c>
      <c r="N149" s="206">
        <f t="shared" si="54"/>
        <v>0.96987509184423215</v>
      </c>
      <c r="O149" s="206">
        <f t="shared" si="55"/>
        <v>0.9962037037037037</v>
      </c>
      <c r="P149" s="206">
        <f t="shared" ref="P149" si="56">+K149/(K149+M149)</f>
        <v>0.12268798215447527</v>
      </c>
      <c r="Q149" s="205"/>
      <c r="R149" s="5" t="str">
        <f t="shared" si="53"/>
        <v>BIMA</v>
      </c>
      <c r="S149" s="19"/>
    </row>
    <row r="150" spans="1:23" s="152" customFormat="1" ht="15" customHeight="1">
      <c r="A150" s="153"/>
      <c r="B150" s="209">
        <f t="shared" si="52"/>
        <v>18</v>
      </c>
      <c r="C150" s="209" t="s">
        <v>1766</v>
      </c>
      <c r="D150" s="209" t="s">
        <v>2580</v>
      </c>
      <c r="E150" s="209" t="s">
        <v>1780</v>
      </c>
      <c r="F150" s="209" t="s">
        <v>2596</v>
      </c>
      <c r="G150" s="209">
        <v>2011</v>
      </c>
      <c r="H150" s="201" t="s">
        <v>150</v>
      </c>
      <c r="I150" s="209"/>
      <c r="J150" s="238"/>
      <c r="K150" s="238"/>
      <c r="L150" s="238"/>
      <c r="M150" s="238"/>
      <c r="N150" s="206"/>
      <c r="O150" s="206"/>
      <c r="P150" s="206"/>
      <c r="Q150" s="205"/>
      <c r="R150" s="5" t="b">
        <f t="shared" si="53"/>
        <v>0</v>
      </c>
      <c r="S150" s="19"/>
    </row>
    <row r="151" spans="1:23" s="152" customFormat="1" ht="15" customHeight="1">
      <c r="A151" s="153"/>
      <c r="B151" s="209">
        <f t="shared" si="52"/>
        <v>19</v>
      </c>
      <c r="C151" s="209" t="s">
        <v>1766</v>
      </c>
      <c r="D151" s="209" t="s">
        <v>2581</v>
      </c>
      <c r="E151" s="209" t="s">
        <v>1780</v>
      </c>
      <c r="F151" s="209" t="s">
        <v>1779</v>
      </c>
      <c r="G151" s="209">
        <v>2021</v>
      </c>
      <c r="H151" s="201" t="s">
        <v>150</v>
      </c>
      <c r="I151" s="209"/>
      <c r="J151" s="207"/>
      <c r="K151" s="207"/>
      <c r="L151" s="207"/>
      <c r="M151" s="207"/>
      <c r="N151" s="206"/>
      <c r="O151" s="206"/>
      <c r="P151" s="206"/>
      <c r="Q151" s="205"/>
      <c r="R151" s="5" t="b">
        <f t="shared" si="53"/>
        <v>0</v>
      </c>
      <c r="S151" s="19"/>
    </row>
    <row r="152" spans="1:23" s="152" customFormat="1" ht="15" customHeight="1">
      <c r="A152" s="153"/>
      <c r="B152" s="209">
        <f t="shared" si="52"/>
        <v>20</v>
      </c>
      <c r="C152" s="209" t="s">
        <v>1766</v>
      </c>
      <c r="D152" s="209" t="s">
        <v>2582</v>
      </c>
      <c r="E152" s="209" t="s">
        <v>177</v>
      </c>
      <c r="F152" s="209" t="s">
        <v>2597</v>
      </c>
      <c r="G152" s="209">
        <v>2012</v>
      </c>
      <c r="H152" s="201" t="s">
        <v>150</v>
      </c>
      <c r="I152" s="209"/>
      <c r="J152" s="207"/>
      <c r="K152" s="207"/>
      <c r="L152" s="207"/>
      <c r="M152" s="207"/>
      <c r="N152" s="206"/>
      <c r="O152" s="206"/>
      <c r="P152" s="206"/>
      <c r="Q152" s="205"/>
      <c r="R152" s="5" t="b">
        <f t="shared" si="53"/>
        <v>0</v>
      </c>
      <c r="S152" s="19"/>
    </row>
    <row r="153" spans="1:23" s="152" customFormat="1" ht="15" customHeight="1">
      <c r="A153" s="153"/>
      <c r="B153" s="209">
        <f t="shared" si="52"/>
        <v>21</v>
      </c>
      <c r="C153" s="209" t="s">
        <v>1766</v>
      </c>
      <c r="D153" s="209" t="s">
        <v>2583</v>
      </c>
      <c r="E153" s="209" t="s">
        <v>1950</v>
      </c>
      <c r="F153" s="209" t="s">
        <v>2598</v>
      </c>
      <c r="G153" s="209" t="s">
        <v>2222</v>
      </c>
      <c r="H153" s="201" t="s">
        <v>150</v>
      </c>
      <c r="I153" s="209"/>
      <c r="J153" s="207"/>
      <c r="K153" s="207"/>
      <c r="L153" s="207"/>
      <c r="M153" s="207"/>
      <c r="N153" s="206"/>
      <c r="O153" s="206"/>
      <c r="P153" s="206"/>
      <c r="Q153" s="205"/>
      <c r="R153" s="5" t="b">
        <f t="shared" si="53"/>
        <v>0</v>
      </c>
      <c r="S153" s="19"/>
    </row>
    <row r="154" spans="1:23" s="152" customFormat="1" ht="15" customHeight="1">
      <c r="A154" s="153"/>
      <c r="B154" s="209">
        <f t="shared" si="52"/>
        <v>22</v>
      </c>
      <c r="C154" s="209" t="s">
        <v>1766</v>
      </c>
      <c r="D154" s="209" t="s">
        <v>2584</v>
      </c>
      <c r="E154" s="209" t="s">
        <v>179</v>
      </c>
      <c r="F154" s="209" t="s">
        <v>1781</v>
      </c>
      <c r="G154" s="209">
        <v>2019</v>
      </c>
      <c r="H154" s="201" t="s">
        <v>2604</v>
      </c>
      <c r="I154" s="209"/>
      <c r="J154" s="19"/>
      <c r="K154" s="231"/>
      <c r="L154" s="231"/>
      <c r="M154" s="231"/>
      <c r="N154" s="186"/>
      <c r="O154" s="186"/>
      <c r="P154" s="186"/>
      <c r="Q154" s="200"/>
      <c r="R154" s="5" t="b">
        <f t="shared" si="53"/>
        <v>0</v>
      </c>
      <c r="S154" s="19"/>
    </row>
    <row r="155" spans="1:23" s="152" customFormat="1" ht="15" customHeight="1">
      <c r="A155" s="153"/>
      <c r="B155" s="209">
        <f t="shared" si="52"/>
        <v>23</v>
      </c>
      <c r="C155" s="209" t="s">
        <v>1766</v>
      </c>
      <c r="D155" s="209" t="s">
        <v>2585</v>
      </c>
      <c r="E155" s="209" t="s">
        <v>1778</v>
      </c>
      <c r="F155" s="209" t="s">
        <v>1779</v>
      </c>
      <c r="G155" s="209">
        <v>2017</v>
      </c>
      <c r="H155" s="201" t="s">
        <v>681</v>
      </c>
      <c r="I155" s="209"/>
      <c r="J155" s="19"/>
      <c r="K155" s="231"/>
      <c r="L155" s="231"/>
      <c r="M155" s="231"/>
      <c r="N155" s="186"/>
      <c r="O155" s="186"/>
      <c r="P155" s="186"/>
      <c r="Q155" s="200"/>
      <c r="R155" s="5" t="b">
        <f t="shared" si="53"/>
        <v>0</v>
      </c>
      <c r="S155" s="19"/>
    </row>
    <row r="156" spans="1:23" s="152" customFormat="1" ht="15" customHeight="1">
      <c r="A156" s="153"/>
      <c r="B156" s="209">
        <f t="shared" si="52"/>
        <v>24</v>
      </c>
      <c r="C156" s="209" t="s">
        <v>1766</v>
      </c>
      <c r="D156" s="209" t="s">
        <v>2586</v>
      </c>
      <c r="E156" s="209" t="s">
        <v>2587</v>
      </c>
      <c r="F156" s="209" t="s">
        <v>2599</v>
      </c>
      <c r="G156" s="209">
        <v>2017</v>
      </c>
      <c r="H156" s="201" t="s">
        <v>681</v>
      </c>
      <c r="I156" s="209"/>
      <c r="J156" s="19"/>
      <c r="K156" s="231"/>
      <c r="L156" s="231"/>
      <c r="M156" s="231"/>
      <c r="N156" s="186"/>
      <c r="O156" s="186"/>
      <c r="P156" s="186"/>
      <c r="Q156" s="200"/>
      <c r="R156" s="5" t="b">
        <f t="shared" si="53"/>
        <v>0</v>
      </c>
      <c r="S156" s="19"/>
    </row>
    <row r="157" spans="1:23" s="152" customFormat="1" ht="15" customHeight="1">
      <c r="A157" s="153"/>
      <c r="B157" s="209">
        <f t="shared" si="52"/>
        <v>25</v>
      </c>
      <c r="C157" s="209" t="s">
        <v>1766</v>
      </c>
      <c r="D157" s="209" t="s">
        <v>2588</v>
      </c>
      <c r="E157" s="209" t="s">
        <v>180</v>
      </c>
      <c r="F157" s="209" t="s">
        <v>2600</v>
      </c>
      <c r="G157" s="209">
        <v>2018</v>
      </c>
      <c r="H157" s="201" t="s">
        <v>689</v>
      </c>
      <c r="I157" s="209"/>
      <c r="J157" s="19"/>
      <c r="R157" s="5" t="b">
        <f t="shared" si="53"/>
        <v>0</v>
      </c>
      <c r="S157" s="19"/>
    </row>
    <row r="158" spans="1:23" s="152" customFormat="1" ht="15" customHeight="1">
      <c r="A158" s="79"/>
      <c r="B158" s="209">
        <f t="shared" si="52"/>
        <v>26</v>
      </c>
      <c r="C158" s="209" t="s">
        <v>1766</v>
      </c>
      <c r="D158" s="209" t="s">
        <v>2589</v>
      </c>
      <c r="E158" s="209" t="s">
        <v>319</v>
      </c>
      <c r="F158" s="209" t="s">
        <v>2601</v>
      </c>
      <c r="G158" s="209">
        <v>2019</v>
      </c>
      <c r="H158" s="201" t="s">
        <v>689</v>
      </c>
      <c r="I158" s="209"/>
      <c r="J158" s="19"/>
      <c r="K158" s="15"/>
      <c r="L158" s="15"/>
      <c r="M158" s="15"/>
      <c r="N158" s="15"/>
      <c r="O158" s="15"/>
      <c r="P158" s="15"/>
      <c r="Q158" s="15"/>
      <c r="R158" s="5" t="b">
        <f t="shared" si="53"/>
        <v>0</v>
      </c>
      <c r="S158" s="19"/>
    </row>
    <row r="159" spans="1:23" s="15" customFormat="1" ht="15" customHeight="1">
      <c r="A159" s="153"/>
      <c r="B159" s="209">
        <f t="shared" si="52"/>
        <v>27</v>
      </c>
      <c r="C159" s="209" t="s">
        <v>1766</v>
      </c>
      <c r="D159" s="209" t="s">
        <v>2590</v>
      </c>
      <c r="E159" s="209" t="s">
        <v>158</v>
      </c>
      <c r="F159" s="209" t="s">
        <v>1782</v>
      </c>
      <c r="G159" s="209">
        <v>2018</v>
      </c>
      <c r="H159" s="201" t="s">
        <v>1783</v>
      </c>
      <c r="I159" s="209"/>
      <c r="J159" s="19"/>
      <c r="K159" s="152"/>
      <c r="L159" s="152"/>
      <c r="M159" s="152"/>
      <c r="N159" s="152"/>
      <c r="O159" s="152"/>
      <c r="P159" s="152"/>
      <c r="Q159" s="152"/>
      <c r="R159" s="5" t="b">
        <f t="shared" si="53"/>
        <v>0</v>
      </c>
      <c r="S159" s="19"/>
      <c r="U159" s="152"/>
      <c r="W159" s="152"/>
    </row>
    <row r="160" spans="1:23" s="152" customFormat="1" ht="15" customHeight="1">
      <c r="A160" s="153"/>
      <c r="B160" s="209">
        <f t="shared" si="52"/>
        <v>28</v>
      </c>
      <c r="C160" s="209" t="s">
        <v>1766</v>
      </c>
      <c r="D160" s="209" t="s">
        <v>2591</v>
      </c>
      <c r="E160" s="209" t="s">
        <v>2592</v>
      </c>
      <c r="F160" s="209" t="s">
        <v>2602</v>
      </c>
      <c r="G160" s="209">
        <v>2019</v>
      </c>
      <c r="H160" s="201" t="s">
        <v>2605</v>
      </c>
      <c r="I160" s="209"/>
      <c r="J160" s="19"/>
      <c r="R160" s="5" t="b">
        <f t="shared" si="53"/>
        <v>0</v>
      </c>
      <c r="S160" s="19"/>
      <c r="W160" s="15"/>
    </row>
    <row r="161" spans="1:21" s="152" customFormat="1" ht="15" customHeight="1">
      <c r="A161" s="153"/>
      <c r="B161" s="209">
        <f t="shared" si="52"/>
        <v>29</v>
      </c>
      <c r="C161" s="209" t="s">
        <v>1766</v>
      </c>
      <c r="D161" s="209" t="s">
        <v>1797</v>
      </c>
      <c r="E161" s="209" t="s">
        <v>1747</v>
      </c>
      <c r="F161" s="209" t="s">
        <v>1798</v>
      </c>
      <c r="G161" s="209">
        <v>2018</v>
      </c>
      <c r="H161" s="201" t="s">
        <v>1785</v>
      </c>
      <c r="I161" s="209"/>
      <c r="J161" s="19"/>
      <c r="R161" s="5" t="b">
        <f t="shared" si="53"/>
        <v>0</v>
      </c>
      <c r="S161" s="19"/>
    </row>
    <row r="162" spans="1:21" s="152" customFormat="1" ht="15" customHeight="1">
      <c r="A162" s="153"/>
      <c r="B162" s="209">
        <f t="shared" si="52"/>
        <v>30</v>
      </c>
      <c r="C162" s="209" t="s">
        <v>1766</v>
      </c>
      <c r="D162" s="209" t="s">
        <v>1799</v>
      </c>
      <c r="E162" s="209" t="s">
        <v>1747</v>
      </c>
      <c r="F162" s="209" t="s">
        <v>2606</v>
      </c>
      <c r="G162" s="209">
        <v>2018</v>
      </c>
      <c r="H162" s="201" t="s">
        <v>1785</v>
      </c>
      <c r="I162" s="209"/>
      <c r="J162" s="19"/>
      <c r="R162" s="5" t="b">
        <f t="shared" si="53"/>
        <v>0</v>
      </c>
      <c r="S162" s="19"/>
      <c r="U162" s="15"/>
    </row>
    <row r="163" spans="1:21" s="152" customFormat="1" ht="15" customHeight="1">
      <c r="A163" s="153"/>
      <c r="B163" s="209">
        <f t="shared" si="52"/>
        <v>31</v>
      </c>
      <c r="C163" s="209" t="s">
        <v>1766</v>
      </c>
      <c r="D163" s="209" t="s">
        <v>1801</v>
      </c>
      <c r="E163" s="209" t="s">
        <v>1793</v>
      </c>
      <c r="F163" s="209" t="s">
        <v>2607</v>
      </c>
      <c r="G163" s="209">
        <v>2017</v>
      </c>
      <c r="H163" s="201" t="s">
        <v>1785</v>
      </c>
      <c r="I163" s="209"/>
      <c r="J163" s="19"/>
      <c r="R163" s="5" t="b">
        <f t="shared" si="53"/>
        <v>0</v>
      </c>
      <c r="S163" s="19"/>
    </row>
    <row r="164" spans="1:21" s="152" customFormat="1" ht="15" customHeight="1">
      <c r="A164" s="153"/>
      <c r="B164" s="209">
        <f t="shared" si="52"/>
        <v>32</v>
      </c>
      <c r="C164" s="209" t="s">
        <v>1766</v>
      </c>
      <c r="D164" s="209" t="s">
        <v>1802</v>
      </c>
      <c r="E164" s="209" t="s">
        <v>1747</v>
      </c>
      <c r="F164" s="209" t="s">
        <v>2608</v>
      </c>
      <c r="G164" s="209">
        <v>2019</v>
      </c>
      <c r="H164" s="201" t="s">
        <v>1785</v>
      </c>
      <c r="I164" s="209"/>
      <c r="J164" s="19"/>
      <c r="R164" s="5" t="b">
        <f t="shared" si="53"/>
        <v>0</v>
      </c>
      <c r="S164" s="19"/>
    </row>
    <row r="165" spans="1:21" s="152" customFormat="1" ht="15" customHeight="1">
      <c r="A165" s="153"/>
      <c r="B165" s="209">
        <f t="shared" si="52"/>
        <v>33</v>
      </c>
      <c r="C165" s="209" t="s">
        <v>1766</v>
      </c>
      <c r="D165" s="209" t="s">
        <v>1784</v>
      </c>
      <c r="E165" s="209" t="s">
        <v>1793</v>
      </c>
      <c r="F165" s="209" t="s">
        <v>2609</v>
      </c>
      <c r="G165" s="209">
        <v>2019</v>
      </c>
      <c r="H165" s="201" t="s">
        <v>1785</v>
      </c>
      <c r="I165" s="209"/>
      <c r="J165" s="19"/>
      <c r="R165" s="5" t="b">
        <f t="shared" si="53"/>
        <v>0</v>
      </c>
      <c r="S165" s="19"/>
    </row>
    <row r="166" spans="1:21" s="152" customFormat="1" ht="15" customHeight="1">
      <c r="A166" s="153"/>
      <c r="B166" s="209">
        <f t="shared" si="52"/>
        <v>34</v>
      </c>
      <c r="C166" s="209" t="s">
        <v>1766</v>
      </c>
      <c r="D166" s="209" t="s">
        <v>1803</v>
      </c>
      <c r="E166" s="209" t="s">
        <v>1747</v>
      </c>
      <c r="F166" s="209" t="s">
        <v>1789</v>
      </c>
      <c r="G166" s="209">
        <v>2019</v>
      </c>
      <c r="H166" s="201" t="s">
        <v>1785</v>
      </c>
      <c r="I166" s="209"/>
      <c r="J166" s="19"/>
      <c r="R166" s="5" t="b">
        <f t="shared" si="53"/>
        <v>0</v>
      </c>
      <c r="S166" s="19"/>
    </row>
    <row r="167" spans="1:21" s="152" customFormat="1" ht="15" customHeight="1">
      <c r="A167" s="153"/>
      <c r="B167" s="209">
        <f t="shared" si="52"/>
        <v>35</v>
      </c>
      <c r="C167" s="209" t="s">
        <v>1766</v>
      </c>
      <c r="D167" s="209" t="s">
        <v>1786</v>
      </c>
      <c r="E167" s="209" t="s">
        <v>1747</v>
      </c>
      <c r="F167" s="209" t="s">
        <v>2608</v>
      </c>
      <c r="G167" s="209">
        <v>2019</v>
      </c>
      <c r="H167" s="201" t="s">
        <v>1785</v>
      </c>
      <c r="I167" s="209"/>
      <c r="J167" s="19"/>
      <c r="R167" s="5" t="b">
        <f t="shared" si="53"/>
        <v>0</v>
      </c>
      <c r="S167" s="19"/>
    </row>
    <row r="168" spans="1:21" s="152" customFormat="1" ht="15" customHeight="1">
      <c r="A168" s="153"/>
      <c r="B168" s="209">
        <f t="shared" si="52"/>
        <v>36</v>
      </c>
      <c r="C168" s="209" t="s">
        <v>1766</v>
      </c>
      <c r="D168" s="209" t="s">
        <v>1787</v>
      </c>
      <c r="E168" s="209" t="s">
        <v>1747</v>
      </c>
      <c r="F168" s="209" t="s">
        <v>1789</v>
      </c>
      <c r="G168" s="209">
        <v>2020</v>
      </c>
      <c r="H168" s="201" t="s">
        <v>1785</v>
      </c>
      <c r="I168" s="209"/>
      <c r="J168" s="19"/>
      <c r="R168" s="5" t="b">
        <f t="shared" si="53"/>
        <v>0</v>
      </c>
      <c r="S168" s="19"/>
    </row>
    <row r="169" spans="1:21" s="152" customFormat="1" ht="15" customHeight="1">
      <c r="A169" s="153"/>
      <c r="B169" s="209">
        <f t="shared" si="52"/>
        <v>37</v>
      </c>
      <c r="C169" s="209" t="s">
        <v>1766</v>
      </c>
      <c r="D169" s="209" t="s">
        <v>1788</v>
      </c>
      <c r="E169" s="209" t="s">
        <v>1747</v>
      </c>
      <c r="F169" s="209" t="s">
        <v>1789</v>
      </c>
      <c r="G169" s="209" t="s">
        <v>1800</v>
      </c>
      <c r="H169" s="201" t="s">
        <v>1785</v>
      </c>
      <c r="I169" s="209"/>
      <c r="J169" s="19"/>
      <c r="R169" s="5" t="b">
        <f t="shared" si="53"/>
        <v>0</v>
      </c>
      <c r="S169" s="19"/>
    </row>
    <row r="170" spans="1:21" s="152" customFormat="1" ht="15" customHeight="1">
      <c r="A170" s="153"/>
      <c r="B170" s="209">
        <f t="shared" si="52"/>
        <v>38</v>
      </c>
      <c r="C170" s="209" t="s">
        <v>1766</v>
      </c>
      <c r="D170" s="209" t="s">
        <v>1790</v>
      </c>
      <c r="E170" s="209" t="s">
        <v>1747</v>
      </c>
      <c r="F170" s="209" t="s">
        <v>1789</v>
      </c>
      <c r="G170" s="209">
        <v>2015</v>
      </c>
      <c r="H170" s="201" t="s">
        <v>1785</v>
      </c>
      <c r="I170" s="209"/>
      <c r="J170" s="19"/>
      <c r="R170" s="5" t="b">
        <f t="shared" si="53"/>
        <v>0</v>
      </c>
      <c r="S170" s="19"/>
    </row>
    <row r="171" spans="1:21" s="152" customFormat="1" ht="15" customHeight="1">
      <c r="A171" s="153"/>
      <c r="B171" s="209">
        <f t="shared" si="52"/>
        <v>39</v>
      </c>
      <c r="C171" s="209" t="s">
        <v>1766</v>
      </c>
      <c r="D171" s="209" t="s">
        <v>1791</v>
      </c>
      <c r="E171" s="209" t="s">
        <v>1747</v>
      </c>
      <c r="F171" s="209" t="s">
        <v>1789</v>
      </c>
      <c r="G171" s="209" t="s">
        <v>1800</v>
      </c>
      <c r="H171" s="201" t="s">
        <v>1785</v>
      </c>
      <c r="I171" s="209"/>
      <c r="J171" s="19"/>
      <c r="R171" s="5" t="b">
        <f t="shared" si="53"/>
        <v>0</v>
      </c>
      <c r="S171" s="19"/>
    </row>
    <row r="172" spans="1:21" s="152" customFormat="1" ht="15" customHeight="1">
      <c r="A172" s="153"/>
      <c r="B172" s="209">
        <f t="shared" si="52"/>
        <v>40</v>
      </c>
      <c r="C172" s="209" t="s">
        <v>1766</v>
      </c>
      <c r="D172" s="209" t="s">
        <v>1792</v>
      </c>
      <c r="E172" s="209" t="s">
        <v>1793</v>
      </c>
      <c r="F172" s="209" t="s">
        <v>2610</v>
      </c>
      <c r="G172" s="209">
        <v>2016</v>
      </c>
      <c r="H172" s="201" t="s">
        <v>1785</v>
      </c>
      <c r="I172" s="209"/>
      <c r="J172" s="19"/>
      <c r="R172" s="5" t="b">
        <f t="shared" si="53"/>
        <v>0</v>
      </c>
      <c r="S172" s="19"/>
    </row>
    <row r="173" spans="1:21" s="152" customFormat="1" ht="15" customHeight="1">
      <c r="A173" s="153"/>
      <c r="B173" s="209">
        <f t="shared" si="52"/>
        <v>41</v>
      </c>
      <c r="C173" s="209" t="s">
        <v>1766</v>
      </c>
      <c r="D173" s="209" t="s">
        <v>1794</v>
      </c>
      <c r="E173" s="209" t="s">
        <v>1747</v>
      </c>
      <c r="F173" s="209" t="s">
        <v>1789</v>
      </c>
      <c r="G173" s="209">
        <v>2018</v>
      </c>
      <c r="H173" s="201" t="s">
        <v>1785</v>
      </c>
      <c r="I173" s="209"/>
      <c r="J173" s="19"/>
      <c r="R173" s="5" t="b">
        <f t="shared" si="53"/>
        <v>0</v>
      </c>
      <c r="S173" s="19"/>
    </row>
    <row r="174" spans="1:21" s="152" customFormat="1" ht="15" customHeight="1">
      <c r="A174" s="153"/>
      <c r="B174" s="209">
        <f t="shared" si="52"/>
        <v>42</v>
      </c>
      <c r="C174" s="209" t="s">
        <v>1766</v>
      </c>
      <c r="D174" s="209" t="s">
        <v>1796</v>
      </c>
      <c r="E174" s="209" t="s">
        <v>1747</v>
      </c>
      <c r="F174" s="209" t="s">
        <v>1789</v>
      </c>
      <c r="G174" s="209">
        <v>2019</v>
      </c>
      <c r="H174" s="201" t="s">
        <v>1785</v>
      </c>
      <c r="I174" s="209"/>
      <c r="J174" s="19"/>
      <c r="R174" s="5" t="b">
        <f t="shared" si="53"/>
        <v>0</v>
      </c>
      <c r="S174" s="19"/>
    </row>
    <row r="175" spans="1:21" s="152" customFormat="1" ht="15" customHeight="1">
      <c r="A175" s="153"/>
      <c r="B175" s="209">
        <f t="shared" si="52"/>
        <v>43</v>
      </c>
      <c r="C175" s="209" t="s">
        <v>1766</v>
      </c>
      <c r="D175" s="209" t="s">
        <v>2611</v>
      </c>
      <c r="E175" s="209" t="s">
        <v>1747</v>
      </c>
      <c r="F175" s="209" t="s">
        <v>1789</v>
      </c>
      <c r="G175" s="209">
        <v>2019</v>
      </c>
      <c r="H175" s="201" t="s">
        <v>1785</v>
      </c>
      <c r="I175" s="209"/>
      <c r="J175" s="19"/>
      <c r="R175" s="5" t="b">
        <f t="shared" si="53"/>
        <v>0</v>
      </c>
      <c r="S175" s="19"/>
    </row>
    <row r="176" spans="1:21" s="152" customFormat="1" ht="15" customHeight="1">
      <c r="A176" s="153"/>
      <c r="B176" s="209">
        <f t="shared" si="52"/>
        <v>44</v>
      </c>
      <c r="C176" s="209" t="s">
        <v>1766</v>
      </c>
      <c r="D176" s="209" t="s">
        <v>2612</v>
      </c>
      <c r="E176" s="209" t="s">
        <v>1747</v>
      </c>
      <c r="F176" s="209" t="s">
        <v>1795</v>
      </c>
      <c r="G176" s="209">
        <v>2019</v>
      </c>
      <c r="H176" s="201" t="s">
        <v>1785</v>
      </c>
      <c r="I176" s="209"/>
      <c r="J176" s="19"/>
      <c r="R176" s="5" t="b">
        <f t="shared" si="53"/>
        <v>0</v>
      </c>
      <c r="S176" s="19"/>
    </row>
    <row r="177" spans="1:19" s="152" customFormat="1" ht="15" customHeight="1">
      <c r="A177" s="153"/>
      <c r="B177" s="209">
        <f t="shared" si="52"/>
        <v>45</v>
      </c>
      <c r="C177" s="209" t="s">
        <v>1766</v>
      </c>
      <c r="D177" s="209" t="s">
        <v>2613</v>
      </c>
      <c r="E177" s="209" t="s">
        <v>1747</v>
      </c>
      <c r="F177" s="209" t="s">
        <v>2614</v>
      </c>
      <c r="G177" s="209">
        <v>2019</v>
      </c>
      <c r="H177" s="201" t="s">
        <v>1785</v>
      </c>
      <c r="I177" s="209"/>
      <c r="J177" s="19"/>
      <c r="R177" s="5" t="b">
        <f t="shared" si="53"/>
        <v>0</v>
      </c>
      <c r="S177" s="19"/>
    </row>
    <row r="178" spans="1:19" s="152" customFormat="1" ht="15" customHeight="1">
      <c r="A178" s="153"/>
      <c r="B178" s="209">
        <f t="shared" si="52"/>
        <v>46</v>
      </c>
      <c r="C178" s="209" t="s">
        <v>1766</v>
      </c>
      <c r="D178" s="209" t="s">
        <v>2615</v>
      </c>
      <c r="E178" s="209" t="s">
        <v>1747</v>
      </c>
      <c r="F178" s="209" t="s">
        <v>2614</v>
      </c>
      <c r="G178" s="209">
        <v>2019</v>
      </c>
      <c r="H178" s="201" t="s">
        <v>1785</v>
      </c>
      <c r="I178" s="209"/>
      <c r="J178" s="19"/>
      <c r="R178" s="5" t="b">
        <f t="shared" si="53"/>
        <v>0</v>
      </c>
      <c r="S178" s="19"/>
    </row>
    <row r="179" spans="1:19" s="152" customFormat="1" ht="15" customHeight="1">
      <c r="A179" s="153"/>
      <c r="B179" s="209">
        <f t="shared" si="52"/>
        <v>47</v>
      </c>
      <c r="C179" s="209" t="s">
        <v>1766</v>
      </c>
      <c r="D179" s="209" t="s">
        <v>2616</v>
      </c>
      <c r="E179" s="209" t="s">
        <v>1747</v>
      </c>
      <c r="F179" s="209" t="s">
        <v>2617</v>
      </c>
      <c r="G179" s="209">
        <v>2010</v>
      </c>
      <c r="H179" s="201" t="s">
        <v>1785</v>
      </c>
      <c r="I179" s="209"/>
      <c r="J179" s="19"/>
      <c r="R179" s="5" t="b">
        <f t="shared" si="53"/>
        <v>0</v>
      </c>
      <c r="S179" s="19"/>
    </row>
    <row r="180" spans="1:19" s="152" customFormat="1" ht="15" customHeight="1">
      <c r="A180" s="153"/>
      <c r="B180" s="209">
        <f t="shared" si="52"/>
        <v>48</v>
      </c>
      <c r="C180" s="209" t="s">
        <v>1766</v>
      </c>
      <c r="D180" s="209" t="s">
        <v>2618</v>
      </c>
      <c r="E180" s="209" t="s">
        <v>1747</v>
      </c>
      <c r="F180" s="209" t="s">
        <v>2619</v>
      </c>
      <c r="G180" s="209">
        <v>2011</v>
      </c>
      <c r="H180" s="201" t="s">
        <v>1785</v>
      </c>
      <c r="I180" s="209"/>
      <c r="J180" s="19"/>
      <c r="R180" s="5" t="b">
        <f t="shared" si="53"/>
        <v>0</v>
      </c>
      <c r="S180" s="19"/>
    </row>
    <row r="181" spans="1:19" s="152" customFormat="1" ht="15" customHeight="1">
      <c r="A181" s="153"/>
      <c r="B181" s="209">
        <f t="shared" si="52"/>
        <v>49</v>
      </c>
      <c r="C181" s="209" t="s">
        <v>1766</v>
      </c>
      <c r="D181" s="209" t="s">
        <v>2620</v>
      </c>
      <c r="E181" s="209" t="s">
        <v>1793</v>
      </c>
      <c r="F181" s="209" t="s">
        <v>2621</v>
      </c>
      <c r="G181" s="209">
        <v>2011</v>
      </c>
      <c r="H181" s="201" t="s">
        <v>1785</v>
      </c>
      <c r="I181" s="209"/>
      <c r="J181" s="19"/>
      <c r="R181" s="5" t="b">
        <f t="shared" si="53"/>
        <v>0</v>
      </c>
      <c r="S181" s="19"/>
    </row>
    <row r="182" spans="1:19" s="152" customFormat="1" ht="15" customHeight="1">
      <c r="A182" s="153"/>
      <c r="B182" s="209">
        <f t="shared" si="52"/>
        <v>50</v>
      </c>
      <c r="C182" s="209" t="s">
        <v>1766</v>
      </c>
      <c r="D182" s="209" t="s">
        <v>2622</v>
      </c>
      <c r="E182" s="209" t="s">
        <v>1793</v>
      </c>
      <c r="F182" s="209" t="s">
        <v>2621</v>
      </c>
      <c r="G182" s="209">
        <v>2011</v>
      </c>
      <c r="H182" s="201" t="s">
        <v>1785</v>
      </c>
      <c r="I182" s="209"/>
      <c r="J182" s="19"/>
      <c r="R182" s="5" t="b">
        <f t="shared" si="53"/>
        <v>0</v>
      </c>
      <c r="S182" s="19"/>
    </row>
    <row r="183" spans="1:19" s="152" customFormat="1" ht="15" customHeight="1">
      <c r="A183" s="153"/>
      <c r="B183" s="209">
        <f t="shared" si="52"/>
        <v>51</v>
      </c>
      <c r="C183" s="209" t="s">
        <v>1766</v>
      </c>
      <c r="D183" s="209" t="s">
        <v>1804</v>
      </c>
      <c r="E183" s="209" t="s">
        <v>1754</v>
      </c>
      <c r="F183" s="209" t="s">
        <v>1805</v>
      </c>
      <c r="G183" s="209">
        <v>2012</v>
      </c>
      <c r="H183" s="201" t="s">
        <v>2698</v>
      </c>
      <c r="I183" s="209"/>
      <c r="J183" s="19"/>
      <c r="R183" s="5" t="b">
        <f t="shared" si="53"/>
        <v>0</v>
      </c>
      <c r="S183" s="19"/>
    </row>
    <row r="184" spans="1:19" s="152" customFormat="1" ht="15" customHeight="1">
      <c r="A184" s="153"/>
      <c r="B184" s="209">
        <f t="shared" si="52"/>
        <v>52</v>
      </c>
      <c r="C184" s="209" t="s">
        <v>1766</v>
      </c>
      <c r="D184" s="209" t="s">
        <v>1806</v>
      </c>
      <c r="E184" s="209" t="s">
        <v>1747</v>
      </c>
      <c r="F184" s="209" t="s">
        <v>1805</v>
      </c>
      <c r="G184" s="209">
        <v>2012</v>
      </c>
      <c r="H184" s="201" t="s">
        <v>2698</v>
      </c>
      <c r="I184" s="209"/>
      <c r="J184" s="19"/>
      <c r="R184" s="5" t="b">
        <f t="shared" si="53"/>
        <v>0</v>
      </c>
      <c r="S184" s="19"/>
    </row>
    <row r="185" spans="1:19" s="152" customFormat="1" ht="15" customHeight="1">
      <c r="A185" s="153"/>
      <c r="B185" s="209">
        <f t="shared" si="52"/>
        <v>53</v>
      </c>
      <c r="C185" s="209" t="s">
        <v>1766</v>
      </c>
      <c r="D185" s="209" t="s">
        <v>1807</v>
      </c>
      <c r="E185" s="209" t="s">
        <v>1747</v>
      </c>
      <c r="F185" s="209" t="s">
        <v>1805</v>
      </c>
      <c r="G185" s="209">
        <v>2011</v>
      </c>
      <c r="H185" s="201" t="s">
        <v>2698</v>
      </c>
      <c r="I185" s="209"/>
      <c r="J185" s="19"/>
      <c r="R185" s="5" t="b">
        <f t="shared" si="53"/>
        <v>0</v>
      </c>
      <c r="S185" s="19"/>
    </row>
    <row r="186" spans="1:19" s="152" customFormat="1" ht="15" customHeight="1">
      <c r="A186" s="153"/>
      <c r="B186" s="209">
        <f t="shared" si="52"/>
        <v>54</v>
      </c>
      <c r="C186" s="209" t="s">
        <v>1766</v>
      </c>
      <c r="D186" s="209" t="s">
        <v>1808</v>
      </c>
      <c r="E186" s="209" t="s">
        <v>516</v>
      </c>
      <c r="F186" s="209" t="s">
        <v>1809</v>
      </c>
      <c r="G186" s="209">
        <v>2011</v>
      </c>
      <c r="H186" s="201" t="s">
        <v>2699</v>
      </c>
      <c r="I186" s="209"/>
      <c r="J186" s="19"/>
      <c r="R186" s="5" t="b">
        <f t="shared" si="53"/>
        <v>0</v>
      </c>
      <c r="S186" s="19"/>
    </row>
    <row r="187" spans="1:19" s="152" customFormat="1" ht="15" customHeight="1">
      <c r="A187" s="153"/>
      <c r="B187" s="209">
        <f t="shared" si="52"/>
        <v>55</v>
      </c>
      <c r="C187" s="209" t="s">
        <v>1766</v>
      </c>
      <c r="D187" s="209" t="s">
        <v>2623</v>
      </c>
      <c r="E187" s="209" t="s">
        <v>1747</v>
      </c>
      <c r="F187" s="209" t="s">
        <v>2624</v>
      </c>
      <c r="G187" s="209">
        <v>2011</v>
      </c>
      <c r="H187" s="201" t="s">
        <v>2700</v>
      </c>
      <c r="I187" s="209"/>
      <c r="J187" s="19"/>
      <c r="R187" s="5" t="b">
        <f t="shared" si="53"/>
        <v>0</v>
      </c>
      <c r="S187" s="19"/>
    </row>
    <row r="188" spans="1:19" s="152" customFormat="1" ht="15" customHeight="1">
      <c r="A188" s="153"/>
      <c r="B188" s="209">
        <f t="shared" si="52"/>
        <v>56</v>
      </c>
      <c r="C188" s="209" t="s">
        <v>1766</v>
      </c>
      <c r="D188" s="209" t="s">
        <v>2625</v>
      </c>
      <c r="E188" s="209" t="s">
        <v>516</v>
      </c>
      <c r="F188" s="209" t="s">
        <v>2626</v>
      </c>
      <c r="G188" s="209"/>
      <c r="H188" s="201" t="s">
        <v>2701</v>
      </c>
      <c r="I188" s="209"/>
      <c r="J188" s="19"/>
      <c r="R188" s="5" t="b">
        <f t="shared" si="53"/>
        <v>0</v>
      </c>
      <c r="S188" s="19"/>
    </row>
    <row r="189" spans="1:19" s="152" customFormat="1" ht="15" customHeight="1">
      <c r="A189" s="153"/>
      <c r="B189" s="209">
        <f t="shared" si="52"/>
        <v>57</v>
      </c>
      <c r="C189" s="209" t="s">
        <v>1766</v>
      </c>
      <c r="D189" s="209" t="s">
        <v>2627</v>
      </c>
      <c r="E189" s="209" t="s">
        <v>2628</v>
      </c>
      <c r="F189" s="209" t="s">
        <v>2629</v>
      </c>
      <c r="G189" s="209">
        <v>2014</v>
      </c>
      <c r="H189" s="201" t="s">
        <v>800</v>
      </c>
      <c r="I189" s="209"/>
      <c r="J189" s="19"/>
      <c r="R189" s="5" t="b">
        <f t="shared" si="53"/>
        <v>0</v>
      </c>
      <c r="S189" s="19"/>
    </row>
    <row r="190" spans="1:19" s="152" customFormat="1" ht="15" customHeight="1">
      <c r="A190" s="153"/>
      <c r="B190" s="209">
        <f t="shared" si="52"/>
        <v>58</v>
      </c>
      <c r="C190" s="209" t="s">
        <v>1766</v>
      </c>
      <c r="D190" s="209" t="s">
        <v>2630</v>
      </c>
      <c r="E190" s="209" t="s">
        <v>1811</v>
      </c>
      <c r="F190" s="209" t="s">
        <v>1812</v>
      </c>
      <c r="G190" s="209">
        <v>2014</v>
      </c>
      <c r="H190" s="201" t="s">
        <v>800</v>
      </c>
      <c r="I190" s="209"/>
      <c r="J190" s="19"/>
      <c r="R190" s="5" t="b">
        <f t="shared" si="53"/>
        <v>0</v>
      </c>
      <c r="S190" s="19"/>
    </row>
    <row r="191" spans="1:19" s="152" customFormat="1" ht="15" customHeight="1">
      <c r="A191" s="153"/>
      <c r="B191" s="209">
        <f t="shared" si="52"/>
        <v>59</v>
      </c>
      <c r="C191" s="209" t="s">
        <v>1766</v>
      </c>
      <c r="D191" s="209" t="s">
        <v>2631</v>
      </c>
      <c r="E191" s="209" t="s">
        <v>2632</v>
      </c>
      <c r="F191" s="209" t="s">
        <v>1812</v>
      </c>
      <c r="G191" s="209">
        <v>2013</v>
      </c>
      <c r="H191" s="201" t="s">
        <v>800</v>
      </c>
      <c r="I191" s="209"/>
      <c r="J191" s="19"/>
      <c r="R191" s="5" t="b">
        <f t="shared" si="53"/>
        <v>0</v>
      </c>
      <c r="S191" s="19"/>
    </row>
    <row r="192" spans="1:19" s="152" customFormat="1" ht="15" customHeight="1">
      <c r="A192" s="153"/>
      <c r="B192" s="209">
        <f t="shared" si="52"/>
        <v>60</v>
      </c>
      <c r="C192" s="209" t="s">
        <v>1766</v>
      </c>
      <c r="D192" s="209" t="s">
        <v>2633</v>
      </c>
      <c r="E192" s="209" t="s">
        <v>2628</v>
      </c>
      <c r="F192" s="209" t="s">
        <v>2629</v>
      </c>
      <c r="G192" s="209">
        <v>2020</v>
      </c>
      <c r="H192" s="201" t="s">
        <v>800</v>
      </c>
      <c r="I192" s="209"/>
      <c r="J192" s="19"/>
      <c r="R192" s="5" t="b">
        <f t="shared" si="53"/>
        <v>0</v>
      </c>
      <c r="S192" s="19"/>
    </row>
    <row r="193" spans="1:19" s="152" customFormat="1" ht="15" customHeight="1">
      <c r="A193" s="153"/>
      <c r="B193" s="209">
        <f t="shared" si="52"/>
        <v>61</v>
      </c>
      <c r="C193" s="209" t="s">
        <v>1766</v>
      </c>
      <c r="D193" s="209" t="s">
        <v>2634</v>
      </c>
      <c r="E193" s="209" t="s">
        <v>1811</v>
      </c>
      <c r="F193" s="209" t="s">
        <v>1812</v>
      </c>
      <c r="G193" s="209">
        <v>2020</v>
      </c>
      <c r="H193" s="201" t="s">
        <v>800</v>
      </c>
      <c r="I193" s="209"/>
      <c r="J193" s="19"/>
      <c r="R193" s="5" t="b">
        <f t="shared" si="53"/>
        <v>0</v>
      </c>
      <c r="S193" s="19"/>
    </row>
    <row r="194" spans="1:19" s="152" customFormat="1" ht="15" customHeight="1">
      <c r="A194" s="153"/>
      <c r="B194" s="209">
        <f t="shared" si="52"/>
        <v>62</v>
      </c>
      <c r="C194" s="209" t="s">
        <v>1766</v>
      </c>
      <c r="D194" s="209" t="s">
        <v>2635</v>
      </c>
      <c r="E194" s="209" t="s">
        <v>2628</v>
      </c>
      <c r="F194" s="209" t="s">
        <v>2629</v>
      </c>
      <c r="G194" s="209">
        <v>2020</v>
      </c>
      <c r="H194" s="201" t="s">
        <v>800</v>
      </c>
      <c r="I194" s="209"/>
      <c r="J194" s="19"/>
      <c r="R194" s="5" t="b">
        <f t="shared" si="53"/>
        <v>0</v>
      </c>
      <c r="S194" s="19"/>
    </row>
    <row r="195" spans="1:19" s="152" customFormat="1" ht="15" customHeight="1">
      <c r="A195" s="153"/>
      <c r="B195" s="209">
        <f t="shared" si="52"/>
        <v>63</v>
      </c>
      <c r="C195" s="209" t="s">
        <v>1766</v>
      </c>
      <c r="D195" s="209" t="s">
        <v>2636</v>
      </c>
      <c r="E195" s="209" t="s">
        <v>2637</v>
      </c>
      <c r="F195" s="209" t="s">
        <v>2638</v>
      </c>
      <c r="G195" s="209">
        <v>2022</v>
      </c>
      <c r="H195" s="201" t="s">
        <v>800</v>
      </c>
      <c r="I195" s="209"/>
      <c r="J195" s="19"/>
      <c r="R195" s="5" t="b">
        <f t="shared" si="53"/>
        <v>0</v>
      </c>
      <c r="S195" s="19"/>
    </row>
    <row r="196" spans="1:19" s="152" customFormat="1" ht="15" customHeight="1">
      <c r="A196" s="153"/>
      <c r="B196" s="209">
        <f t="shared" si="52"/>
        <v>64</v>
      </c>
      <c r="C196" s="209" t="s">
        <v>1766</v>
      </c>
      <c r="D196" s="209" t="s">
        <v>2639</v>
      </c>
      <c r="E196" s="209" t="s">
        <v>2640</v>
      </c>
      <c r="F196" s="209" t="s">
        <v>2641</v>
      </c>
      <c r="G196" s="209">
        <v>2013</v>
      </c>
      <c r="H196" s="201" t="s">
        <v>800</v>
      </c>
      <c r="I196" s="209"/>
      <c r="J196" s="19"/>
      <c r="R196" s="5" t="b">
        <f t="shared" si="53"/>
        <v>0</v>
      </c>
      <c r="S196" s="19"/>
    </row>
    <row r="197" spans="1:19" s="152" customFormat="1" ht="15" customHeight="1">
      <c r="A197" s="153"/>
      <c r="B197" s="209">
        <f t="shared" si="52"/>
        <v>65</v>
      </c>
      <c r="C197" s="209" t="s">
        <v>1766</v>
      </c>
      <c r="D197" s="209" t="s">
        <v>2642</v>
      </c>
      <c r="E197" s="209" t="s">
        <v>2628</v>
      </c>
      <c r="F197" s="209" t="s">
        <v>2629</v>
      </c>
      <c r="G197" s="209">
        <v>2010</v>
      </c>
      <c r="H197" s="201" t="s">
        <v>800</v>
      </c>
      <c r="I197" s="209"/>
      <c r="J197" s="19"/>
      <c r="R197" s="5" t="b">
        <f t="shared" si="53"/>
        <v>0</v>
      </c>
      <c r="S197" s="19"/>
    </row>
    <row r="198" spans="1:19" s="152" customFormat="1" ht="15" customHeight="1">
      <c r="A198" s="153"/>
      <c r="B198" s="209">
        <f t="shared" si="52"/>
        <v>66</v>
      </c>
      <c r="C198" s="209" t="s">
        <v>1766</v>
      </c>
      <c r="D198" s="209" t="s">
        <v>2643</v>
      </c>
      <c r="E198" s="209" t="s">
        <v>2628</v>
      </c>
      <c r="F198" s="209" t="s">
        <v>2629</v>
      </c>
      <c r="G198" s="209">
        <v>2015</v>
      </c>
      <c r="H198" s="201" t="s">
        <v>800</v>
      </c>
      <c r="I198" s="209"/>
      <c r="J198" s="19"/>
      <c r="R198" s="5" t="b">
        <f t="shared" si="53"/>
        <v>0</v>
      </c>
      <c r="S198" s="19"/>
    </row>
    <row r="199" spans="1:19" s="152" customFormat="1" ht="15" customHeight="1">
      <c r="A199" s="153"/>
      <c r="B199" s="209">
        <f t="shared" si="52"/>
        <v>67</v>
      </c>
      <c r="C199" s="209" t="s">
        <v>1766</v>
      </c>
      <c r="D199" s="209" t="s">
        <v>2644</v>
      </c>
      <c r="E199" s="209" t="s">
        <v>2628</v>
      </c>
      <c r="F199" s="209" t="s">
        <v>2629</v>
      </c>
      <c r="G199" s="209">
        <v>2019</v>
      </c>
      <c r="H199" s="201" t="s">
        <v>800</v>
      </c>
      <c r="I199" s="209"/>
      <c r="J199" s="19"/>
      <c r="R199" s="5" t="b">
        <f t="shared" si="53"/>
        <v>0</v>
      </c>
      <c r="S199" s="19"/>
    </row>
    <row r="200" spans="1:19" s="152" customFormat="1" ht="15" customHeight="1">
      <c r="A200" s="153"/>
      <c r="B200" s="209">
        <f t="shared" si="52"/>
        <v>68</v>
      </c>
      <c r="C200" s="209" t="s">
        <v>1766</v>
      </c>
      <c r="D200" s="209" t="s">
        <v>2645</v>
      </c>
      <c r="E200" s="209" t="s">
        <v>2628</v>
      </c>
      <c r="F200" s="209" t="s">
        <v>2629</v>
      </c>
      <c r="G200" s="209">
        <v>2014</v>
      </c>
      <c r="H200" s="201" t="s">
        <v>800</v>
      </c>
      <c r="I200" s="209"/>
      <c r="J200" s="19"/>
      <c r="R200" s="5" t="b">
        <f t="shared" si="53"/>
        <v>0</v>
      </c>
      <c r="S200" s="19"/>
    </row>
    <row r="201" spans="1:19" s="152" customFormat="1" ht="15" customHeight="1">
      <c r="A201" s="153"/>
      <c r="B201" s="209">
        <f t="shared" si="52"/>
        <v>69</v>
      </c>
      <c r="C201" s="209" t="s">
        <v>1766</v>
      </c>
      <c r="D201" s="209" t="s">
        <v>2646</v>
      </c>
      <c r="E201" s="209" t="s">
        <v>2628</v>
      </c>
      <c r="F201" s="209" t="s">
        <v>2629</v>
      </c>
      <c r="G201" s="209">
        <v>2012</v>
      </c>
      <c r="H201" s="201" t="s">
        <v>800</v>
      </c>
      <c r="I201" s="209"/>
      <c r="J201" s="19"/>
      <c r="R201" s="5" t="b">
        <f t="shared" si="53"/>
        <v>0</v>
      </c>
      <c r="S201" s="19"/>
    </row>
    <row r="202" spans="1:19" s="152" customFormat="1" ht="15" customHeight="1">
      <c r="A202" s="153"/>
      <c r="B202" s="209">
        <f t="shared" ref="B202:B265" si="57">+B201+1</f>
        <v>70</v>
      </c>
      <c r="C202" s="209" t="s">
        <v>1766</v>
      </c>
      <c r="D202" s="209" t="s">
        <v>2647</v>
      </c>
      <c r="E202" s="209" t="s">
        <v>2628</v>
      </c>
      <c r="F202" s="209" t="s">
        <v>2629</v>
      </c>
      <c r="G202" s="209">
        <v>2017</v>
      </c>
      <c r="H202" s="201" t="s">
        <v>800</v>
      </c>
      <c r="I202" s="209"/>
      <c r="J202" s="19"/>
      <c r="R202" s="5" t="b">
        <f t="shared" si="53"/>
        <v>0</v>
      </c>
      <c r="S202" s="19"/>
    </row>
    <row r="203" spans="1:19" s="152" customFormat="1" ht="15" customHeight="1">
      <c r="A203" s="153"/>
      <c r="B203" s="209">
        <f t="shared" si="57"/>
        <v>71</v>
      </c>
      <c r="C203" s="209" t="s">
        <v>1766</v>
      </c>
      <c r="D203" s="209" t="s">
        <v>2648</v>
      </c>
      <c r="E203" s="209" t="s">
        <v>2649</v>
      </c>
      <c r="F203" s="209" t="s">
        <v>2650</v>
      </c>
      <c r="G203" s="209"/>
      <c r="H203" s="201" t="s">
        <v>800</v>
      </c>
      <c r="I203" s="209"/>
      <c r="J203" s="19"/>
      <c r="R203" s="5" t="b">
        <f t="shared" si="53"/>
        <v>0</v>
      </c>
      <c r="S203" s="19"/>
    </row>
    <row r="204" spans="1:19" s="152" customFormat="1" ht="15" customHeight="1">
      <c r="A204" s="153"/>
      <c r="B204" s="209">
        <f t="shared" si="57"/>
        <v>72</v>
      </c>
      <c r="C204" s="209" t="s">
        <v>1766</v>
      </c>
      <c r="D204" s="209" t="s">
        <v>2651</v>
      </c>
      <c r="E204" s="209" t="s">
        <v>2652</v>
      </c>
      <c r="F204" s="209" t="s">
        <v>2650</v>
      </c>
      <c r="G204" s="209" t="s">
        <v>1800</v>
      </c>
      <c r="H204" s="201" t="s">
        <v>800</v>
      </c>
      <c r="I204" s="209"/>
      <c r="J204" s="19"/>
      <c r="R204" s="5" t="b">
        <f t="shared" si="53"/>
        <v>0</v>
      </c>
      <c r="S204" s="19"/>
    </row>
    <row r="205" spans="1:19" s="152" customFormat="1" ht="15" customHeight="1">
      <c r="A205" s="153"/>
      <c r="B205" s="209">
        <f t="shared" si="57"/>
        <v>73</v>
      </c>
      <c r="C205" s="209" t="s">
        <v>1766</v>
      </c>
      <c r="D205" s="209" t="s">
        <v>2653</v>
      </c>
      <c r="E205" s="209" t="s">
        <v>2652</v>
      </c>
      <c r="F205" s="209" t="s">
        <v>2650</v>
      </c>
      <c r="G205" s="209" t="s">
        <v>1800</v>
      </c>
      <c r="H205" s="201" t="s">
        <v>800</v>
      </c>
      <c r="I205" s="209"/>
      <c r="J205" s="19"/>
      <c r="R205" s="5" t="b">
        <f t="shared" si="53"/>
        <v>0</v>
      </c>
      <c r="S205" s="19"/>
    </row>
    <row r="206" spans="1:19" s="152" customFormat="1" ht="15" customHeight="1">
      <c r="A206" s="153"/>
      <c r="B206" s="209">
        <f t="shared" si="57"/>
        <v>74</v>
      </c>
      <c r="C206" s="209" t="s">
        <v>1766</v>
      </c>
      <c r="D206" s="209" t="s">
        <v>2654</v>
      </c>
      <c r="E206" s="209" t="s">
        <v>1815</v>
      </c>
      <c r="F206" s="209" t="s">
        <v>1816</v>
      </c>
      <c r="G206" s="209" t="s">
        <v>1800</v>
      </c>
      <c r="H206" s="201" t="s">
        <v>2702</v>
      </c>
      <c r="I206" s="209"/>
      <c r="J206" s="19"/>
      <c r="R206" s="5" t="b">
        <f t="shared" si="53"/>
        <v>0</v>
      </c>
      <c r="S206" s="19"/>
    </row>
    <row r="207" spans="1:19" s="152" customFormat="1" ht="15" customHeight="1">
      <c r="A207" s="153"/>
      <c r="B207" s="209">
        <f t="shared" si="57"/>
        <v>75</v>
      </c>
      <c r="C207" s="209" t="s">
        <v>1766</v>
      </c>
      <c r="D207" s="209" t="s">
        <v>2655</v>
      </c>
      <c r="E207" s="209" t="s">
        <v>2656</v>
      </c>
      <c r="F207" s="209" t="s">
        <v>2657</v>
      </c>
      <c r="G207" s="209" t="s">
        <v>1800</v>
      </c>
      <c r="H207" s="201" t="s">
        <v>2702</v>
      </c>
      <c r="I207" s="209"/>
      <c r="J207" s="19"/>
      <c r="R207" s="5" t="b">
        <f t="shared" si="53"/>
        <v>0</v>
      </c>
      <c r="S207" s="19"/>
    </row>
    <row r="208" spans="1:19" s="152" customFormat="1" ht="15" customHeight="1">
      <c r="A208" s="153"/>
      <c r="B208" s="209">
        <f t="shared" si="57"/>
        <v>76</v>
      </c>
      <c r="C208" s="209" t="s">
        <v>1766</v>
      </c>
      <c r="D208" s="209" t="s">
        <v>2658</v>
      </c>
      <c r="E208" s="209" t="s">
        <v>2659</v>
      </c>
      <c r="F208" s="209" t="s">
        <v>2660</v>
      </c>
      <c r="G208" s="209" t="s">
        <v>1800</v>
      </c>
      <c r="H208" s="201" t="s">
        <v>2702</v>
      </c>
      <c r="I208" s="209"/>
      <c r="J208" s="19"/>
      <c r="R208" s="5" t="b">
        <f t="shared" si="53"/>
        <v>0</v>
      </c>
      <c r="S208" s="19"/>
    </row>
    <row r="209" spans="1:23" s="152" customFormat="1" ht="15" customHeight="1">
      <c r="A209" s="153"/>
      <c r="B209" s="209">
        <f t="shared" si="57"/>
        <v>77</v>
      </c>
      <c r="C209" s="209" t="s">
        <v>1766</v>
      </c>
      <c r="D209" s="209" t="s">
        <v>2661</v>
      </c>
      <c r="E209" s="209" t="s">
        <v>1813</v>
      </c>
      <c r="F209" s="209" t="s">
        <v>2662</v>
      </c>
      <c r="G209" s="209" t="s">
        <v>1800</v>
      </c>
      <c r="H209" s="201" t="s">
        <v>157</v>
      </c>
      <c r="I209" s="209"/>
      <c r="J209" s="19"/>
      <c r="R209" s="5" t="b">
        <f t="shared" si="53"/>
        <v>0</v>
      </c>
      <c r="S209" s="19"/>
    </row>
    <row r="210" spans="1:23" s="152" customFormat="1" ht="15" customHeight="1">
      <c r="A210" s="153"/>
      <c r="B210" s="209">
        <f t="shared" si="57"/>
        <v>78</v>
      </c>
      <c r="C210" s="209" t="s">
        <v>1766</v>
      </c>
      <c r="D210" s="209" t="s">
        <v>2663</v>
      </c>
      <c r="E210" s="209" t="s">
        <v>1813</v>
      </c>
      <c r="F210" s="209" t="s">
        <v>2662</v>
      </c>
      <c r="G210" s="209" t="s">
        <v>1800</v>
      </c>
      <c r="H210" s="201" t="s">
        <v>157</v>
      </c>
      <c r="I210" s="209"/>
      <c r="J210" s="19"/>
      <c r="M210" s="4"/>
      <c r="N210" s="4"/>
      <c r="R210" s="5" t="b">
        <f t="shared" si="53"/>
        <v>0</v>
      </c>
      <c r="S210" s="19"/>
    </row>
    <row r="211" spans="1:23" s="152" customFormat="1" ht="15" customHeight="1">
      <c r="A211" s="153"/>
      <c r="B211" s="209">
        <f t="shared" si="57"/>
        <v>79</v>
      </c>
      <c r="C211" s="209" t="s">
        <v>1766</v>
      </c>
      <c r="D211" s="209" t="s">
        <v>2664</v>
      </c>
      <c r="E211" s="209" t="s">
        <v>1813</v>
      </c>
      <c r="F211" s="209" t="s">
        <v>2665</v>
      </c>
      <c r="G211" s="209" t="s">
        <v>1800</v>
      </c>
      <c r="H211" s="201" t="s">
        <v>157</v>
      </c>
      <c r="I211" s="209"/>
      <c r="J211" s="19"/>
      <c r="R211" s="5" t="b">
        <f t="shared" ref="R211:R269" si="58">IF(O211&gt;89.9999999999999%,"BIMA")</f>
        <v>0</v>
      </c>
      <c r="S211" s="19"/>
    </row>
    <row r="212" spans="1:23" s="152" customFormat="1" ht="15" customHeight="1">
      <c r="A212" s="153"/>
      <c r="B212" s="209">
        <f t="shared" si="57"/>
        <v>80</v>
      </c>
      <c r="C212" s="209" t="s">
        <v>1766</v>
      </c>
      <c r="D212" s="209" t="s">
        <v>2666</v>
      </c>
      <c r="E212" s="209" t="s">
        <v>2667</v>
      </c>
      <c r="F212" s="209" t="s">
        <v>1814</v>
      </c>
      <c r="G212" s="209"/>
      <c r="H212" s="201" t="s">
        <v>157</v>
      </c>
      <c r="I212" s="209"/>
      <c r="J212" s="19"/>
      <c r="R212" s="5" t="b">
        <f t="shared" si="58"/>
        <v>0</v>
      </c>
      <c r="S212" s="19"/>
    </row>
    <row r="213" spans="1:23" s="152" customFormat="1" ht="15" customHeight="1">
      <c r="A213" s="153"/>
      <c r="B213" s="209">
        <f t="shared" si="57"/>
        <v>81</v>
      </c>
      <c r="C213" s="209" t="s">
        <v>1766</v>
      </c>
      <c r="D213" s="209" t="s">
        <v>2668</v>
      </c>
      <c r="E213" s="209" t="s">
        <v>2669</v>
      </c>
      <c r="F213" s="209" t="s">
        <v>2670</v>
      </c>
      <c r="G213" s="209">
        <v>2018</v>
      </c>
      <c r="H213" s="201" t="s">
        <v>157</v>
      </c>
      <c r="I213" s="209"/>
      <c r="J213" s="19"/>
      <c r="R213" s="5" t="b">
        <f t="shared" si="58"/>
        <v>0</v>
      </c>
      <c r="S213" s="19"/>
    </row>
    <row r="214" spans="1:23" s="152" customFormat="1" ht="15" customHeight="1">
      <c r="A214" s="79"/>
      <c r="B214" s="209">
        <f t="shared" si="57"/>
        <v>82</v>
      </c>
      <c r="C214" s="209" t="s">
        <v>1766</v>
      </c>
      <c r="D214" s="209" t="s">
        <v>2671</v>
      </c>
      <c r="E214" s="209" t="s">
        <v>2672</v>
      </c>
      <c r="F214" s="209" t="s">
        <v>1800</v>
      </c>
      <c r="G214" s="209">
        <v>2019</v>
      </c>
      <c r="H214" s="201" t="s">
        <v>157</v>
      </c>
      <c r="I214" s="209"/>
      <c r="J214" s="19"/>
      <c r="K214" s="15"/>
      <c r="L214" s="15"/>
      <c r="M214" s="15"/>
      <c r="N214" s="15"/>
      <c r="O214" s="15"/>
      <c r="P214" s="15"/>
      <c r="Q214" s="15"/>
      <c r="R214" s="5" t="b">
        <f t="shared" si="58"/>
        <v>0</v>
      </c>
      <c r="S214" s="19"/>
    </row>
    <row r="215" spans="1:23" s="15" customFormat="1" ht="15" customHeight="1">
      <c r="A215" s="153"/>
      <c r="B215" s="209">
        <f t="shared" si="57"/>
        <v>83</v>
      </c>
      <c r="C215" s="209" t="s">
        <v>1766</v>
      </c>
      <c r="D215" s="209" t="s">
        <v>2673</v>
      </c>
      <c r="E215" s="209" t="s">
        <v>1815</v>
      </c>
      <c r="F215" s="209" t="s">
        <v>2674</v>
      </c>
      <c r="G215" s="209">
        <v>2018</v>
      </c>
      <c r="H215" s="201" t="s">
        <v>157</v>
      </c>
      <c r="I215" s="209"/>
      <c r="J215" s="19"/>
      <c r="K215" s="152"/>
      <c r="L215" s="152"/>
      <c r="M215" s="152"/>
      <c r="N215" s="152"/>
      <c r="O215" s="152"/>
      <c r="P215" s="152"/>
      <c r="Q215" s="152"/>
      <c r="R215" s="5" t="b">
        <f t="shared" si="58"/>
        <v>0</v>
      </c>
      <c r="S215" s="19"/>
      <c r="U215" s="152"/>
      <c r="W215" s="152"/>
    </row>
    <row r="216" spans="1:23" s="152" customFormat="1" ht="15" customHeight="1">
      <c r="A216" s="153"/>
      <c r="B216" s="209">
        <f t="shared" si="57"/>
        <v>84</v>
      </c>
      <c r="C216" s="209" t="s">
        <v>1766</v>
      </c>
      <c r="D216" s="209" t="s">
        <v>2675</v>
      </c>
      <c r="E216" s="209" t="s">
        <v>1817</v>
      </c>
      <c r="F216" s="209" t="s">
        <v>1818</v>
      </c>
      <c r="G216" s="209">
        <v>2019</v>
      </c>
      <c r="H216" s="201" t="s">
        <v>1819</v>
      </c>
      <c r="I216" s="209"/>
      <c r="J216" s="19"/>
      <c r="R216" s="5" t="b">
        <f t="shared" si="58"/>
        <v>0</v>
      </c>
      <c r="S216" s="19"/>
      <c r="W216" s="15"/>
    </row>
    <row r="217" spans="1:23" s="152" customFormat="1" ht="15" customHeight="1">
      <c r="A217" s="153"/>
      <c r="B217" s="209">
        <f t="shared" si="57"/>
        <v>85</v>
      </c>
      <c r="C217" s="209" t="s">
        <v>1766</v>
      </c>
      <c r="D217" s="209" t="s">
        <v>2676</v>
      </c>
      <c r="E217" s="209" t="s">
        <v>1820</v>
      </c>
      <c r="F217" s="209" t="s">
        <v>1821</v>
      </c>
      <c r="G217" s="209">
        <v>2018</v>
      </c>
      <c r="H217" s="201" t="s">
        <v>1819</v>
      </c>
      <c r="I217" s="209"/>
      <c r="J217" s="19"/>
      <c r="R217" s="5" t="b">
        <f t="shared" si="58"/>
        <v>0</v>
      </c>
      <c r="S217" s="19"/>
    </row>
    <row r="218" spans="1:23" s="152" customFormat="1" ht="15" customHeight="1">
      <c r="A218" s="153"/>
      <c r="B218" s="209">
        <f t="shared" si="57"/>
        <v>86</v>
      </c>
      <c r="C218" s="209" t="s">
        <v>1766</v>
      </c>
      <c r="D218" s="209" t="s">
        <v>1822</v>
      </c>
      <c r="E218" s="209" t="s">
        <v>1810</v>
      </c>
      <c r="F218" s="209" t="s">
        <v>1823</v>
      </c>
      <c r="G218" s="209">
        <v>2018</v>
      </c>
      <c r="H218" s="201" t="s">
        <v>1824</v>
      </c>
      <c r="I218" s="209"/>
      <c r="J218" s="19"/>
      <c r="R218" s="5" t="b">
        <f t="shared" si="58"/>
        <v>0</v>
      </c>
      <c r="S218" s="19"/>
      <c r="U218" s="15"/>
    </row>
    <row r="219" spans="1:23" s="152" customFormat="1" ht="15" customHeight="1">
      <c r="A219" s="153"/>
      <c r="B219" s="209">
        <f t="shared" si="57"/>
        <v>87</v>
      </c>
      <c r="C219" s="209" t="s">
        <v>1766</v>
      </c>
      <c r="D219" s="209" t="s">
        <v>1825</v>
      </c>
      <c r="E219" s="209" t="s">
        <v>1810</v>
      </c>
      <c r="F219" s="209" t="s">
        <v>1826</v>
      </c>
      <c r="G219" s="209">
        <v>2017</v>
      </c>
      <c r="H219" s="201" t="s">
        <v>1827</v>
      </c>
      <c r="I219" s="209"/>
      <c r="J219" s="19"/>
      <c r="R219" s="5" t="b">
        <f t="shared" si="58"/>
        <v>0</v>
      </c>
      <c r="S219" s="19"/>
    </row>
    <row r="220" spans="1:23" s="152" customFormat="1" ht="15" customHeight="1">
      <c r="A220" s="153"/>
      <c r="B220" s="209">
        <f t="shared" si="57"/>
        <v>88</v>
      </c>
      <c r="C220" s="209" t="s">
        <v>1766</v>
      </c>
      <c r="D220" s="209" t="s">
        <v>1828</v>
      </c>
      <c r="E220" s="209" t="s">
        <v>1810</v>
      </c>
      <c r="F220" s="209" t="s">
        <v>1829</v>
      </c>
      <c r="G220" s="209">
        <v>2019</v>
      </c>
      <c r="H220" s="201" t="s">
        <v>1827</v>
      </c>
      <c r="I220" s="209"/>
      <c r="J220" s="19"/>
      <c r="R220" s="5" t="b">
        <f t="shared" si="58"/>
        <v>0</v>
      </c>
      <c r="S220" s="19"/>
    </row>
    <row r="221" spans="1:23" s="152" customFormat="1" ht="15" customHeight="1">
      <c r="A221" s="153"/>
      <c r="B221" s="209">
        <f t="shared" si="57"/>
        <v>89</v>
      </c>
      <c r="C221" s="209" t="s">
        <v>1766</v>
      </c>
      <c r="D221" s="209" t="s">
        <v>2677</v>
      </c>
      <c r="E221" s="209" t="s">
        <v>2678</v>
      </c>
      <c r="F221" s="209" t="s">
        <v>2678</v>
      </c>
      <c r="G221" s="209">
        <v>2019</v>
      </c>
      <c r="H221" s="201" t="s">
        <v>276</v>
      </c>
      <c r="I221" s="209"/>
      <c r="J221" s="19"/>
      <c r="R221" s="5" t="b">
        <f t="shared" si="58"/>
        <v>0</v>
      </c>
      <c r="S221" s="19"/>
    </row>
    <row r="222" spans="1:23" s="152" customFormat="1" ht="15" customHeight="1">
      <c r="A222" s="153"/>
      <c r="B222" s="209">
        <f t="shared" si="57"/>
        <v>90</v>
      </c>
      <c r="C222" s="209" t="s">
        <v>1766</v>
      </c>
      <c r="D222" s="209" t="s">
        <v>2679</v>
      </c>
      <c r="E222" s="209" t="s">
        <v>1830</v>
      </c>
      <c r="F222" s="209" t="s">
        <v>1830</v>
      </c>
      <c r="G222" s="209">
        <v>2019</v>
      </c>
      <c r="H222" s="201" t="s">
        <v>276</v>
      </c>
      <c r="I222" s="209"/>
      <c r="J222" s="19"/>
      <c r="R222" s="5" t="b">
        <f t="shared" si="58"/>
        <v>0</v>
      </c>
      <c r="S222" s="19"/>
    </row>
    <row r="223" spans="1:23" s="152" customFormat="1" ht="15" customHeight="1">
      <c r="A223" s="153"/>
      <c r="B223" s="209">
        <f t="shared" si="57"/>
        <v>91</v>
      </c>
      <c r="C223" s="209" t="s">
        <v>1766</v>
      </c>
      <c r="D223" s="209" t="s">
        <v>2680</v>
      </c>
      <c r="E223" s="209" t="s">
        <v>1830</v>
      </c>
      <c r="F223" s="209" t="s">
        <v>2681</v>
      </c>
      <c r="G223" s="209">
        <v>2019</v>
      </c>
      <c r="H223" s="201" t="s">
        <v>276</v>
      </c>
      <c r="I223" s="209"/>
      <c r="J223" s="19"/>
      <c r="R223" s="5" t="b">
        <f t="shared" si="58"/>
        <v>0</v>
      </c>
      <c r="S223" s="19"/>
    </row>
    <row r="224" spans="1:23" s="152" customFormat="1" ht="15" customHeight="1">
      <c r="A224" s="153"/>
      <c r="B224" s="209">
        <f t="shared" si="57"/>
        <v>92</v>
      </c>
      <c r="C224" s="209" t="s">
        <v>1766</v>
      </c>
      <c r="D224" s="209" t="s">
        <v>2682</v>
      </c>
      <c r="E224" s="209" t="s">
        <v>2683</v>
      </c>
      <c r="F224" s="209" t="s">
        <v>2683</v>
      </c>
      <c r="G224" s="209">
        <v>2020</v>
      </c>
      <c r="H224" s="201" t="s">
        <v>276</v>
      </c>
      <c r="I224" s="209"/>
      <c r="J224" s="19"/>
      <c r="R224" s="5" t="b">
        <f t="shared" si="58"/>
        <v>0</v>
      </c>
      <c r="S224" s="19"/>
    </row>
    <row r="225" spans="1:19" s="152" customFormat="1" ht="15" customHeight="1">
      <c r="A225" s="153"/>
      <c r="B225" s="209">
        <f t="shared" si="57"/>
        <v>93</v>
      </c>
      <c r="C225" s="209" t="s">
        <v>1766</v>
      </c>
      <c r="D225" s="209" t="s">
        <v>2684</v>
      </c>
      <c r="E225" s="209" t="s">
        <v>1800</v>
      </c>
      <c r="F225" s="209" t="s">
        <v>2685</v>
      </c>
      <c r="G225" s="209" t="s">
        <v>1800</v>
      </c>
      <c r="H225" s="201" t="s">
        <v>1831</v>
      </c>
      <c r="I225" s="209"/>
      <c r="J225" s="19"/>
      <c r="R225" s="5" t="b">
        <f t="shared" si="58"/>
        <v>0</v>
      </c>
      <c r="S225" s="19"/>
    </row>
    <row r="226" spans="1:19" s="152" customFormat="1" ht="15" customHeight="1">
      <c r="A226" s="153"/>
      <c r="B226" s="209">
        <f t="shared" si="57"/>
        <v>94</v>
      </c>
      <c r="C226" s="209" t="s">
        <v>1766</v>
      </c>
      <c r="D226" s="209" t="s">
        <v>2686</v>
      </c>
      <c r="E226" s="209" t="s">
        <v>1800</v>
      </c>
      <c r="F226" s="209" t="s">
        <v>2687</v>
      </c>
      <c r="G226" s="209">
        <v>2015</v>
      </c>
      <c r="H226" s="201" t="s">
        <v>1831</v>
      </c>
      <c r="I226" s="209"/>
      <c r="J226" s="19"/>
      <c r="R226" s="5" t="b">
        <f t="shared" si="58"/>
        <v>0</v>
      </c>
      <c r="S226" s="19"/>
    </row>
    <row r="227" spans="1:19" s="152" customFormat="1" ht="15" customHeight="1">
      <c r="A227" s="153"/>
      <c r="B227" s="209">
        <f t="shared" si="57"/>
        <v>95</v>
      </c>
      <c r="C227" s="209" t="s">
        <v>1766</v>
      </c>
      <c r="D227" s="209" t="s">
        <v>2688</v>
      </c>
      <c r="E227" s="209" t="s">
        <v>1800</v>
      </c>
      <c r="F227" s="209" t="s">
        <v>2685</v>
      </c>
      <c r="G227" s="209" t="s">
        <v>1800</v>
      </c>
      <c r="H227" s="201" t="s">
        <v>1831</v>
      </c>
      <c r="I227" s="209"/>
      <c r="J227" s="19"/>
      <c r="R227" s="5" t="b">
        <f t="shared" si="58"/>
        <v>0</v>
      </c>
      <c r="S227" s="19"/>
    </row>
    <row r="228" spans="1:19" s="152" customFormat="1" ht="15" customHeight="1">
      <c r="A228" s="153"/>
      <c r="B228" s="209">
        <f t="shared" si="57"/>
        <v>96</v>
      </c>
      <c r="C228" s="209" t="s">
        <v>1766</v>
      </c>
      <c r="D228" s="209" t="s">
        <v>2689</v>
      </c>
      <c r="E228" s="209" t="s">
        <v>1800</v>
      </c>
      <c r="F228" s="209" t="s">
        <v>2685</v>
      </c>
      <c r="G228" s="209">
        <v>2016</v>
      </c>
      <c r="H228" s="201" t="s">
        <v>1831</v>
      </c>
      <c r="I228" s="209"/>
      <c r="J228" s="19"/>
      <c r="R228" s="5" t="b">
        <f t="shared" si="58"/>
        <v>0</v>
      </c>
      <c r="S228" s="19"/>
    </row>
    <row r="229" spans="1:19" s="152" customFormat="1" ht="15" customHeight="1">
      <c r="A229" s="153"/>
      <c r="B229" s="209">
        <f t="shared" si="57"/>
        <v>97</v>
      </c>
      <c r="C229" s="209" t="s">
        <v>1766</v>
      </c>
      <c r="D229" s="209" t="s">
        <v>2690</v>
      </c>
      <c r="E229" s="209" t="s">
        <v>2691</v>
      </c>
      <c r="F229" s="209" t="s">
        <v>2685</v>
      </c>
      <c r="G229" s="209">
        <v>2018</v>
      </c>
      <c r="H229" s="201" t="s">
        <v>1831</v>
      </c>
      <c r="I229" s="209"/>
      <c r="J229" s="19"/>
      <c r="R229" s="5" t="b">
        <f t="shared" si="58"/>
        <v>0</v>
      </c>
      <c r="S229" s="19"/>
    </row>
    <row r="230" spans="1:19" s="152" customFormat="1" ht="15" customHeight="1">
      <c r="A230" s="153"/>
      <c r="B230" s="209">
        <f t="shared" si="57"/>
        <v>98</v>
      </c>
      <c r="C230" s="209" t="s">
        <v>1766</v>
      </c>
      <c r="D230" s="209" t="s">
        <v>2692</v>
      </c>
      <c r="E230" s="209" t="s">
        <v>2693</v>
      </c>
      <c r="F230" s="209" t="s">
        <v>2694</v>
      </c>
      <c r="G230" s="209">
        <v>2019</v>
      </c>
      <c r="H230" s="201" t="s">
        <v>1831</v>
      </c>
      <c r="I230" s="209"/>
      <c r="J230" s="19"/>
      <c r="R230" s="5" t="b">
        <f t="shared" si="58"/>
        <v>0</v>
      </c>
      <c r="S230" s="19"/>
    </row>
    <row r="231" spans="1:19" s="152" customFormat="1" ht="15" customHeight="1">
      <c r="A231" s="153"/>
      <c r="B231" s="209">
        <f t="shared" si="57"/>
        <v>99</v>
      </c>
      <c r="C231" s="209" t="s">
        <v>1766</v>
      </c>
      <c r="D231" s="209" t="s">
        <v>2695</v>
      </c>
      <c r="E231" s="209" t="s">
        <v>2696</v>
      </c>
      <c r="F231" s="209" t="s">
        <v>2697</v>
      </c>
      <c r="G231" s="209">
        <v>2019</v>
      </c>
      <c r="H231" s="201" t="s">
        <v>2703</v>
      </c>
      <c r="I231" s="209"/>
      <c r="J231" s="19"/>
      <c r="R231" s="5" t="b">
        <f t="shared" si="58"/>
        <v>0</v>
      </c>
      <c r="S231" s="19"/>
    </row>
    <row r="232" spans="1:19" s="152" customFormat="1" ht="15" hidden="1" customHeight="1">
      <c r="A232" s="153"/>
      <c r="B232" s="209">
        <f t="shared" si="57"/>
        <v>100</v>
      </c>
      <c r="C232" s="209"/>
      <c r="D232" s="209"/>
      <c r="E232" s="209"/>
      <c r="F232" s="209"/>
      <c r="G232" s="209"/>
      <c r="H232" s="201"/>
      <c r="I232" s="209"/>
      <c r="J232" s="19"/>
      <c r="R232" s="5" t="b">
        <f t="shared" si="58"/>
        <v>0</v>
      </c>
      <c r="S232" s="19"/>
    </row>
    <row r="233" spans="1:19" s="152" customFormat="1" ht="15" hidden="1" customHeight="1">
      <c r="A233" s="153"/>
      <c r="B233" s="209">
        <f t="shared" si="57"/>
        <v>101</v>
      </c>
      <c r="C233" s="209"/>
      <c r="D233" s="209"/>
      <c r="E233" s="209"/>
      <c r="F233" s="209"/>
      <c r="G233" s="209"/>
      <c r="H233" s="201"/>
      <c r="I233" s="209"/>
      <c r="J233" s="19"/>
      <c r="R233" s="5" t="b">
        <f t="shared" si="58"/>
        <v>0</v>
      </c>
      <c r="S233" s="19"/>
    </row>
    <row r="234" spans="1:19" s="152" customFormat="1" ht="15" hidden="1" customHeight="1">
      <c r="A234" s="153"/>
      <c r="B234" s="209">
        <f t="shared" si="57"/>
        <v>102</v>
      </c>
      <c r="C234" s="209"/>
      <c r="D234" s="209"/>
      <c r="E234" s="209"/>
      <c r="F234" s="209"/>
      <c r="G234" s="209"/>
      <c r="H234" s="201"/>
      <c r="I234" s="209"/>
      <c r="J234" s="19"/>
      <c r="R234" s="5" t="b">
        <f t="shared" si="58"/>
        <v>0</v>
      </c>
      <c r="S234" s="19"/>
    </row>
    <row r="235" spans="1:19" s="152" customFormat="1" ht="15" hidden="1" customHeight="1">
      <c r="A235" s="153"/>
      <c r="B235" s="209">
        <f t="shared" si="57"/>
        <v>103</v>
      </c>
      <c r="C235" s="209"/>
      <c r="D235" s="209"/>
      <c r="E235" s="209"/>
      <c r="F235" s="209"/>
      <c r="G235" s="209"/>
      <c r="H235" s="201"/>
      <c r="I235" s="209"/>
      <c r="J235" s="19"/>
      <c r="R235" s="5" t="b">
        <f t="shared" si="58"/>
        <v>0</v>
      </c>
      <c r="S235" s="19"/>
    </row>
    <row r="236" spans="1:19" s="152" customFormat="1" ht="15" hidden="1" customHeight="1">
      <c r="A236" s="153"/>
      <c r="B236" s="209">
        <f t="shared" si="57"/>
        <v>104</v>
      </c>
      <c r="C236" s="209"/>
      <c r="D236" s="209"/>
      <c r="E236" s="209"/>
      <c r="F236" s="209"/>
      <c r="G236" s="209"/>
      <c r="H236" s="201"/>
      <c r="I236" s="209"/>
      <c r="J236" s="19"/>
      <c r="R236" s="5" t="b">
        <f t="shared" si="58"/>
        <v>0</v>
      </c>
      <c r="S236" s="19"/>
    </row>
    <row r="237" spans="1:19" s="152" customFormat="1" ht="15" hidden="1" customHeight="1">
      <c r="A237" s="153"/>
      <c r="B237" s="209">
        <f t="shared" si="57"/>
        <v>105</v>
      </c>
      <c r="C237" s="209"/>
      <c r="D237" s="209"/>
      <c r="E237" s="209"/>
      <c r="F237" s="209"/>
      <c r="G237" s="209"/>
      <c r="H237" s="201"/>
      <c r="I237" s="209"/>
      <c r="J237" s="19"/>
      <c r="R237" s="5" t="b">
        <f t="shared" si="58"/>
        <v>0</v>
      </c>
      <c r="S237" s="19"/>
    </row>
    <row r="238" spans="1:19" s="152" customFormat="1" ht="15" hidden="1" customHeight="1">
      <c r="A238" s="153"/>
      <c r="B238" s="209">
        <f t="shared" si="57"/>
        <v>106</v>
      </c>
      <c r="C238" s="209"/>
      <c r="D238" s="209"/>
      <c r="E238" s="209"/>
      <c r="F238" s="209"/>
      <c r="G238" s="209"/>
      <c r="H238" s="201"/>
      <c r="I238" s="209"/>
      <c r="J238" s="19"/>
      <c r="R238" s="5" t="b">
        <f t="shared" si="58"/>
        <v>0</v>
      </c>
      <c r="S238" s="19"/>
    </row>
    <row r="239" spans="1:19" s="152" customFormat="1" ht="15" hidden="1" customHeight="1">
      <c r="A239" s="153"/>
      <c r="B239" s="209">
        <f t="shared" si="57"/>
        <v>107</v>
      </c>
      <c r="C239" s="209"/>
      <c r="D239" s="209"/>
      <c r="E239" s="209"/>
      <c r="F239" s="209"/>
      <c r="G239" s="209"/>
      <c r="H239" s="201"/>
      <c r="I239" s="209"/>
      <c r="J239" s="19"/>
      <c r="R239" s="5" t="b">
        <f t="shared" si="58"/>
        <v>0</v>
      </c>
      <c r="S239" s="19"/>
    </row>
    <row r="240" spans="1:19" s="152" customFormat="1" ht="15" hidden="1" customHeight="1">
      <c r="A240" s="153"/>
      <c r="B240" s="209">
        <f t="shared" si="57"/>
        <v>108</v>
      </c>
      <c r="C240" s="209"/>
      <c r="D240" s="209"/>
      <c r="E240" s="209"/>
      <c r="F240" s="209"/>
      <c r="G240" s="209"/>
      <c r="H240" s="201"/>
      <c r="I240" s="209"/>
      <c r="J240" s="19"/>
      <c r="R240" s="5" t="b">
        <f t="shared" si="58"/>
        <v>0</v>
      </c>
      <c r="S240" s="19"/>
    </row>
    <row r="241" spans="1:19" s="152" customFormat="1" ht="15" hidden="1" customHeight="1">
      <c r="A241" s="153"/>
      <c r="B241" s="209">
        <f t="shared" si="57"/>
        <v>109</v>
      </c>
      <c r="C241" s="209"/>
      <c r="D241" s="209"/>
      <c r="E241" s="209"/>
      <c r="F241" s="209"/>
      <c r="G241" s="209"/>
      <c r="H241" s="201"/>
      <c r="I241" s="209"/>
      <c r="J241" s="19"/>
      <c r="R241" s="5" t="b">
        <f t="shared" si="58"/>
        <v>0</v>
      </c>
      <c r="S241" s="19"/>
    </row>
    <row r="242" spans="1:19" s="152" customFormat="1" ht="15" hidden="1" customHeight="1">
      <c r="A242" s="153"/>
      <c r="B242" s="209">
        <f t="shared" si="57"/>
        <v>110</v>
      </c>
      <c r="C242" s="209"/>
      <c r="D242" s="209"/>
      <c r="E242" s="209"/>
      <c r="F242" s="209"/>
      <c r="G242" s="209"/>
      <c r="H242" s="201"/>
      <c r="I242" s="209"/>
      <c r="J242" s="19"/>
      <c r="R242" s="5" t="b">
        <f t="shared" si="58"/>
        <v>0</v>
      </c>
      <c r="S242" s="19"/>
    </row>
    <row r="243" spans="1:19" s="152" customFormat="1" ht="15" hidden="1" customHeight="1">
      <c r="A243" s="153"/>
      <c r="B243" s="209">
        <f t="shared" si="57"/>
        <v>111</v>
      </c>
      <c r="C243" s="209"/>
      <c r="D243" s="209"/>
      <c r="E243" s="209"/>
      <c r="F243" s="209"/>
      <c r="G243" s="209"/>
      <c r="H243" s="201"/>
      <c r="I243" s="209"/>
      <c r="J243" s="19"/>
      <c r="R243" s="5" t="b">
        <f t="shared" si="58"/>
        <v>0</v>
      </c>
      <c r="S243" s="19"/>
    </row>
    <row r="244" spans="1:19" s="152" customFormat="1" ht="15" hidden="1" customHeight="1">
      <c r="A244" s="153"/>
      <c r="B244" s="209">
        <f t="shared" si="57"/>
        <v>112</v>
      </c>
      <c r="C244" s="209"/>
      <c r="D244" s="209"/>
      <c r="E244" s="209"/>
      <c r="F244" s="209"/>
      <c r="G244" s="209"/>
      <c r="H244" s="201"/>
      <c r="I244" s="209"/>
      <c r="J244" s="19"/>
      <c r="R244" s="5" t="b">
        <f t="shared" si="58"/>
        <v>0</v>
      </c>
      <c r="S244" s="19"/>
    </row>
    <row r="245" spans="1:19" s="152" customFormat="1" ht="15" hidden="1" customHeight="1">
      <c r="A245" s="153"/>
      <c r="B245" s="209">
        <f t="shared" si="57"/>
        <v>113</v>
      </c>
      <c r="C245" s="209"/>
      <c r="D245" s="209"/>
      <c r="E245" s="209"/>
      <c r="F245" s="209"/>
      <c r="G245" s="209"/>
      <c r="H245" s="201"/>
      <c r="I245" s="209"/>
      <c r="J245" s="19"/>
      <c r="R245" s="5" t="b">
        <f t="shared" si="58"/>
        <v>0</v>
      </c>
      <c r="S245" s="19"/>
    </row>
    <row r="246" spans="1:19" s="152" customFormat="1" ht="15" hidden="1" customHeight="1">
      <c r="A246" s="153"/>
      <c r="B246" s="209">
        <f t="shared" si="57"/>
        <v>114</v>
      </c>
      <c r="C246" s="209"/>
      <c r="D246" s="209"/>
      <c r="E246" s="209"/>
      <c r="F246" s="209"/>
      <c r="G246" s="209"/>
      <c r="H246" s="201"/>
      <c r="I246" s="209"/>
      <c r="J246" s="19"/>
      <c r="R246" s="5" t="b">
        <f t="shared" si="58"/>
        <v>0</v>
      </c>
      <c r="S246" s="19"/>
    </row>
    <row r="247" spans="1:19" s="152" customFormat="1" ht="15" hidden="1" customHeight="1">
      <c r="A247" s="153"/>
      <c r="B247" s="209">
        <f t="shared" si="57"/>
        <v>115</v>
      </c>
      <c r="C247" s="209"/>
      <c r="D247" s="209"/>
      <c r="E247" s="209"/>
      <c r="F247" s="209"/>
      <c r="G247" s="209"/>
      <c r="H247" s="201"/>
      <c r="I247" s="209"/>
      <c r="J247" s="19"/>
      <c r="R247" s="5" t="b">
        <f t="shared" si="58"/>
        <v>0</v>
      </c>
      <c r="S247" s="19"/>
    </row>
    <row r="248" spans="1:19" s="152" customFormat="1" ht="15" hidden="1" customHeight="1">
      <c r="A248" s="153"/>
      <c r="B248" s="209">
        <f t="shared" si="57"/>
        <v>116</v>
      </c>
      <c r="C248" s="209"/>
      <c r="D248" s="209"/>
      <c r="E248" s="209"/>
      <c r="F248" s="209"/>
      <c r="G248" s="209"/>
      <c r="H248" s="201"/>
      <c r="I248" s="209"/>
      <c r="J248" s="19"/>
      <c r="R248" s="5" t="b">
        <f t="shared" si="58"/>
        <v>0</v>
      </c>
      <c r="S248" s="19"/>
    </row>
    <row r="249" spans="1:19" s="152" customFormat="1" ht="15" hidden="1" customHeight="1">
      <c r="A249" s="153"/>
      <c r="B249" s="209">
        <f t="shared" si="57"/>
        <v>117</v>
      </c>
      <c r="C249" s="209"/>
      <c r="D249" s="209"/>
      <c r="E249" s="209"/>
      <c r="F249" s="209"/>
      <c r="G249" s="209"/>
      <c r="H249" s="201"/>
      <c r="I249" s="209"/>
      <c r="J249" s="19"/>
      <c r="R249" s="5" t="b">
        <f t="shared" si="58"/>
        <v>0</v>
      </c>
      <c r="S249" s="19"/>
    </row>
    <row r="250" spans="1:19" s="152" customFormat="1" ht="15" hidden="1" customHeight="1">
      <c r="A250" s="153"/>
      <c r="B250" s="209">
        <f t="shared" si="57"/>
        <v>118</v>
      </c>
      <c r="C250" s="209"/>
      <c r="D250" s="209"/>
      <c r="E250" s="209"/>
      <c r="F250" s="209"/>
      <c r="G250" s="209"/>
      <c r="H250" s="201"/>
      <c r="I250" s="209"/>
      <c r="J250" s="19"/>
      <c r="R250" s="5" t="b">
        <f t="shared" si="58"/>
        <v>0</v>
      </c>
      <c r="S250" s="19"/>
    </row>
    <row r="251" spans="1:19" s="152" customFormat="1" ht="15" hidden="1" customHeight="1">
      <c r="A251" s="153"/>
      <c r="B251" s="209">
        <f t="shared" si="57"/>
        <v>119</v>
      </c>
      <c r="C251" s="209"/>
      <c r="D251" s="209"/>
      <c r="E251" s="209"/>
      <c r="F251" s="209"/>
      <c r="G251" s="209"/>
      <c r="H251" s="201"/>
      <c r="I251" s="209"/>
      <c r="J251" s="19"/>
      <c r="R251" s="5" t="b">
        <f t="shared" si="58"/>
        <v>0</v>
      </c>
      <c r="S251" s="19"/>
    </row>
    <row r="252" spans="1:19" s="152" customFormat="1" ht="15" hidden="1" customHeight="1">
      <c r="A252" s="153"/>
      <c r="B252" s="209">
        <f t="shared" si="57"/>
        <v>120</v>
      </c>
      <c r="C252" s="209"/>
      <c r="D252" s="209"/>
      <c r="E252" s="209"/>
      <c r="F252" s="209"/>
      <c r="G252" s="209"/>
      <c r="H252" s="201"/>
      <c r="I252" s="209"/>
      <c r="J252" s="19"/>
      <c r="R252" s="5" t="b">
        <f t="shared" si="58"/>
        <v>0</v>
      </c>
      <c r="S252" s="19"/>
    </row>
    <row r="253" spans="1:19" s="152" customFormat="1" ht="15" hidden="1" customHeight="1">
      <c r="A253" s="153"/>
      <c r="B253" s="209">
        <f t="shared" si="57"/>
        <v>121</v>
      </c>
      <c r="C253" s="209"/>
      <c r="D253" s="209"/>
      <c r="E253" s="209"/>
      <c r="F253" s="209"/>
      <c r="G253" s="209"/>
      <c r="H253" s="201"/>
      <c r="I253" s="209"/>
      <c r="J253" s="19"/>
      <c r="R253" s="5" t="b">
        <f t="shared" si="58"/>
        <v>0</v>
      </c>
      <c r="S253" s="19"/>
    </row>
    <row r="254" spans="1:19" s="152" customFormat="1" ht="15" hidden="1" customHeight="1">
      <c r="A254" s="153"/>
      <c r="B254" s="209">
        <f t="shared" si="57"/>
        <v>122</v>
      </c>
      <c r="C254" s="209"/>
      <c r="D254" s="209"/>
      <c r="E254" s="209"/>
      <c r="F254" s="209"/>
      <c r="G254" s="209"/>
      <c r="H254" s="201"/>
      <c r="I254" s="209"/>
      <c r="J254" s="19"/>
      <c r="R254" s="5" t="b">
        <f t="shared" si="58"/>
        <v>0</v>
      </c>
      <c r="S254" s="19"/>
    </row>
    <row r="255" spans="1:19" s="152" customFormat="1" ht="15" hidden="1" customHeight="1">
      <c r="A255" s="153"/>
      <c r="B255" s="209">
        <f t="shared" si="57"/>
        <v>123</v>
      </c>
      <c r="C255" s="209"/>
      <c r="D255" s="209"/>
      <c r="E255" s="209"/>
      <c r="F255" s="209"/>
      <c r="G255" s="209"/>
      <c r="H255" s="201"/>
      <c r="I255" s="209"/>
      <c r="J255" s="19"/>
      <c r="R255" s="5" t="b">
        <f t="shared" si="58"/>
        <v>0</v>
      </c>
      <c r="S255" s="19"/>
    </row>
    <row r="256" spans="1:19" s="152" customFormat="1" ht="15" hidden="1" customHeight="1">
      <c r="A256" s="153"/>
      <c r="B256" s="209">
        <f t="shared" si="57"/>
        <v>124</v>
      </c>
      <c r="C256" s="209"/>
      <c r="D256" s="209"/>
      <c r="E256" s="209"/>
      <c r="F256" s="209"/>
      <c r="G256" s="209"/>
      <c r="H256" s="201"/>
      <c r="I256" s="209"/>
      <c r="J256" s="19"/>
      <c r="R256" s="5" t="b">
        <f t="shared" si="58"/>
        <v>0</v>
      </c>
      <c r="S256" s="19"/>
    </row>
    <row r="257" spans="1:23" s="152" customFormat="1" ht="15" hidden="1" customHeight="1">
      <c r="A257" s="153"/>
      <c r="B257" s="209">
        <f t="shared" si="57"/>
        <v>125</v>
      </c>
      <c r="C257" s="209"/>
      <c r="D257" s="209"/>
      <c r="E257" s="209"/>
      <c r="F257" s="209"/>
      <c r="G257" s="209"/>
      <c r="H257" s="201"/>
      <c r="I257" s="209"/>
      <c r="J257" s="19"/>
      <c r="R257" s="5" t="b">
        <f t="shared" si="58"/>
        <v>0</v>
      </c>
      <c r="S257" s="19"/>
    </row>
    <row r="258" spans="1:23" s="152" customFormat="1" ht="15" hidden="1" customHeight="1">
      <c r="A258" s="153"/>
      <c r="B258" s="209">
        <f t="shared" si="57"/>
        <v>126</v>
      </c>
      <c r="C258" s="209"/>
      <c r="D258" s="209"/>
      <c r="E258" s="209"/>
      <c r="F258" s="209"/>
      <c r="G258" s="209"/>
      <c r="H258" s="201"/>
      <c r="I258" s="209"/>
      <c r="J258" s="19"/>
      <c r="R258" s="5" t="b">
        <f t="shared" si="58"/>
        <v>0</v>
      </c>
      <c r="S258" s="19"/>
    </row>
    <row r="259" spans="1:23" s="152" customFormat="1" ht="15" hidden="1" customHeight="1">
      <c r="A259" s="153"/>
      <c r="B259" s="209">
        <f t="shared" si="57"/>
        <v>127</v>
      </c>
      <c r="C259" s="209"/>
      <c r="D259" s="209"/>
      <c r="E259" s="209"/>
      <c r="F259" s="209"/>
      <c r="G259" s="209"/>
      <c r="H259" s="201"/>
      <c r="I259" s="209"/>
      <c r="J259" s="19"/>
      <c r="R259" s="5" t="b">
        <f t="shared" si="58"/>
        <v>0</v>
      </c>
      <c r="S259" s="19"/>
    </row>
    <row r="260" spans="1:23" s="152" customFormat="1" ht="15" hidden="1" customHeight="1">
      <c r="A260" s="153"/>
      <c r="B260" s="209">
        <f t="shared" si="57"/>
        <v>128</v>
      </c>
      <c r="C260" s="209"/>
      <c r="D260" s="209"/>
      <c r="E260" s="209"/>
      <c r="F260" s="209"/>
      <c r="G260" s="209"/>
      <c r="H260" s="201"/>
      <c r="I260" s="209"/>
      <c r="J260" s="19"/>
      <c r="R260" s="5" t="b">
        <f t="shared" si="58"/>
        <v>0</v>
      </c>
      <c r="S260" s="19"/>
    </row>
    <row r="261" spans="1:23" s="152" customFormat="1" ht="15" hidden="1" customHeight="1">
      <c r="A261" s="153"/>
      <c r="B261" s="209">
        <f t="shared" si="57"/>
        <v>129</v>
      </c>
      <c r="C261" s="209"/>
      <c r="D261" s="209"/>
      <c r="E261" s="209"/>
      <c r="F261" s="209"/>
      <c r="G261" s="209"/>
      <c r="H261" s="201"/>
      <c r="I261" s="209"/>
      <c r="J261" s="19"/>
      <c r="R261" s="5" t="b">
        <f t="shared" si="58"/>
        <v>0</v>
      </c>
      <c r="S261" s="19"/>
    </row>
    <row r="262" spans="1:23" s="152" customFormat="1" ht="15" hidden="1" customHeight="1">
      <c r="A262" s="153"/>
      <c r="B262" s="209">
        <f t="shared" si="57"/>
        <v>130</v>
      </c>
      <c r="C262" s="209"/>
      <c r="D262" s="209"/>
      <c r="E262" s="209"/>
      <c r="F262" s="209"/>
      <c r="G262" s="209"/>
      <c r="H262" s="201"/>
      <c r="I262" s="209"/>
      <c r="J262" s="19"/>
      <c r="R262" s="5" t="b">
        <f t="shared" si="58"/>
        <v>0</v>
      </c>
      <c r="S262" s="19"/>
    </row>
    <row r="263" spans="1:23" s="152" customFormat="1" ht="15" hidden="1" customHeight="1">
      <c r="A263" s="153"/>
      <c r="B263" s="209">
        <f t="shared" si="57"/>
        <v>131</v>
      </c>
      <c r="C263" s="209"/>
      <c r="D263" s="209"/>
      <c r="E263" s="209"/>
      <c r="F263" s="209"/>
      <c r="G263" s="209"/>
      <c r="H263" s="201"/>
      <c r="I263" s="209"/>
      <c r="J263" s="19"/>
      <c r="R263" s="5" t="b">
        <f t="shared" si="58"/>
        <v>0</v>
      </c>
      <c r="S263" s="19"/>
    </row>
    <row r="264" spans="1:23" s="152" customFormat="1" ht="15" hidden="1" customHeight="1">
      <c r="A264" s="153"/>
      <c r="B264" s="209">
        <f t="shared" si="57"/>
        <v>132</v>
      </c>
      <c r="C264" s="209"/>
      <c r="D264" s="209"/>
      <c r="E264" s="209"/>
      <c r="F264" s="209"/>
      <c r="G264" s="209"/>
      <c r="H264" s="201"/>
      <c r="I264" s="209"/>
      <c r="J264" s="19"/>
      <c r="R264" s="5" t="b">
        <f t="shared" si="58"/>
        <v>0</v>
      </c>
      <c r="S264" s="19"/>
    </row>
    <row r="265" spans="1:23" s="152" customFormat="1" ht="15" hidden="1" customHeight="1">
      <c r="A265" s="153"/>
      <c r="B265" s="209">
        <f t="shared" si="57"/>
        <v>133</v>
      </c>
      <c r="C265" s="209"/>
      <c r="D265" s="209"/>
      <c r="E265" s="209"/>
      <c r="F265" s="209"/>
      <c r="G265" s="209"/>
      <c r="H265" s="201"/>
      <c r="I265" s="209"/>
      <c r="J265" s="19"/>
      <c r="R265" s="5" t="b">
        <f t="shared" si="58"/>
        <v>0</v>
      </c>
      <c r="S265" s="19"/>
    </row>
    <row r="266" spans="1:23" s="152" customFormat="1" ht="15" hidden="1" customHeight="1">
      <c r="A266" s="153"/>
      <c r="B266" s="209">
        <f t="shared" ref="B266:B268" si="59">+B265+1</f>
        <v>134</v>
      </c>
      <c r="C266" s="209"/>
      <c r="D266" s="209"/>
      <c r="E266" s="209"/>
      <c r="F266" s="209"/>
      <c r="G266" s="209"/>
      <c r="H266" s="201"/>
      <c r="I266" s="209"/>
      <c r="J266" s="19"/>
      <c r="M266" s="4"/>
      <c r="N266" s="4"/>
      <c r="R266" s="5" t="b">
        <f t="shared" si="58"/>
        <v>0</v>
      </c>
      <c r="S266" s="19"/>
    </row>
    <row r="267" spans="1:23" s="152" customFormat="1" ht="15" hidden="1" customHeight="1">
      <c r="A267" s="153"/>
      <c r="B267" s="209">
        <f t="shared" si="59"/>
        <v>135</v>
      </c>
      <c r="C267" s="209"/>
      <c r="D267" s="209"/>
      <c r="E267" s="209"/>
      <c r="F267" s="209"/>
      <c r="G267" s="209"/>
      <c r="H267" s="201"/>
      <c r="I267" s="209"/>
      <c r="J267" s="19"/>
      <c r="R267" s="5" t="b">
        <f t="shared" ref="R267:R268" si="60">IF(O267&gt;89.9999999999999%,"BIMA")</f>
        <v>0</v>
      </c>
      <c r="S267" s="19"/>
    </row>
    <row r="268" spans="1:23" s="152" customFormat="1" ht="15" hidden="1" customHeight="1">
      <c r="A268" s="153"/>
      <c r="B268" s="209">
        <f t="shared" si="59"/>
        <v>136</v>
      </c>
      <c r="C268" s="209"/>
      <c r="D268" s="209"/>
      <c r="E268" s="209"/>
      <c r="F268" s="209"/>
      <c r="G268" s="209"/>
      <c r="H268" s="201"/>
      <c r="I268" s="209"/>
      <c r="J268" s="19"/>
      <c r="R268" s="5" t="b">
        <f t="shared" si="60"/>
        <v>0</v>
      </c>
      <c r="S268" s="19"/>
    </row>
    <row r="269" spans="1:23" s="152" customFormat="1" ht="15" customHeight="1" thickBot="1">
      <c r="A269" s="78"/>
      <c r="B269" s="324" t="s">
        <v>22</v>
      </c>
      <c r="C269" s="325"/>
      <c r="D269" s="325"/>
      <c r="E269" s="326"/>
      <c r="F269" s="70">
        <f>+COUNTA(E133:E231)</f>
        <v>99</v>
      </c>
      <c r="G269" s="71"/>
      <c r="H269" s="72"/>
      <c r="I269" s="72"/>
      <c r="J269" s="113"/>
      <c r="K269" s="4"/>
      <c r="L269" s="4"/>
      <c r="O269" s="4"/>
      <c r="P269" s="4"/>
      <c r="Q269" s="4"/>
      <c r="R269" s="5" t="b">
        <f t="shared" si="58"/>
        <v>0</v>
      </c>
      <c r="S269" s="19"/>
    </row>
    <row r="270" spans="1:23" s="4" customFormat="1" ht="15" customHeight="1">
      <c r="A270" s="152"/>
      <c r="B270" s="152"/>
      <c r="C270" s="152"/>
      <c r="D270" s="152"/>
      <c r="E270" s="152"/>
      <c r="F270" s="152"/>
      <c r="G270" s="152"/>
      <c r="H270" s="152"/>
      <c r="I270" s="152"/>
      <c r="J270" s="152"/>
      <c r="K270" s="144"/>
      <c r="L270" s="144"/>
      <c r="M270" s="144"/>
      <c r="N270" s="144"/>
      <c r="O270" s="144"/>
      <c r="P270" s="144"/>
      <c r="Q270" s="144"/>
      <c r="R270" s="152"/>
      <c r="S270" s="19"/>
      <c r="U270" s="152"/>
      <c r="W270" s="152"/>
    </row>
    <row r="271" spans="1:23" s="152" customFormat="1" ht="15" customHeight="1">
      <c r="K271" s="144"/>
      <c r="L271" s="144"/>
      <c r="M271" s="144"/>
      <c r="N271" s="144"/>
      <c r="O271" s="144"/>
      <c r="P271" s="144"/>
      <c r="Q271" s="144"/>
      <c r="R271" s="4"/>
      <c r="S271" s="4"/>
      <c r="W271" s="4"/>
    </row>
    <row r="272" spans="1:23" s="152" customFormat="1" ht="15" customHeight="1">
      <c r="A272" s="160"/>
      <c r="B272" s="160"/>
      <c r="C272" s="160"/>
      <c r="D272" s="160"/>
      <c r="E272" s="160"/>
      <c r="F272" s="160"/>
      <c r="G272" s="160"/>
      <c r="H272" s="160"/>
      <c r="I272" s="160"/>
      <c r="J272" s="160"/>
      <c r="K272" s="144"/>
      <c r="L272" s="144"/>
      <c r="M272" s="144"/>
      <c r="N272" s="144"/>
      <c r="O272" s="144"/>
      <c r="P272" s="144"/>
      <c r="Q272" s="144"/>
    </row>
    <row r="273" spans="1:23" ht="15" customHeight="1">
      <c r="A273" s="160"/>
      <c r="B273" s="160"/>
      <c r="C273" s="160"/>
      <c r="D273" s="160"/>
      <c r="E273" s="160"/>
      <c r="F273" s="160"/>
      <c r="G273" s="160"/>
      <c r="H273" s="160"/>
      <c r="I273" s="160"/>
      <c r="J273" s="160"/>
      <c r="K273" s="144"/>
      <c r="L273" s="144"/>
      <c r="M273" s="144"/>
      <c r="N273" s="144"/>
      <c r="O273" s="144"/>
      <c r="P273" s="144"/>
      <c r="Q273" s="144"/>
      <c r="R273" s="152"/>
      <c r="S273" s="152"/>
      <c r="U273" s="4"/>
      <c r="W273" s="152"/>
    </row>
    <row r="274" spans="1:23" ht="15" customHeight="1">
      <c r="A274" s="160"/>
      <c r="B274" s="160"/>
      <c r="C274" s="160"/>
      <c r="D274" s="160"/>
      <c r="E274" s="160"/>
      <c r="F274" s="160"/>
      <c r="G274" s="160"/>
      <c r="H274" s="160"/>
      <c r="I274" s="160"/>
      <c r="J274" s="160"/>
      <c r="K274" s="144"/>
      <c r="L274" s="144"/>
      <c r="M274" s="144"/>
      <c r="N274" s="144"/>
      <c r="O274" s="144"/>
      <c r="P274" s="144"/>
      <c r="Q274" s="144"/>
      <c r="U274" s="152"/>
    </row>
    <row r="275" spans="1:23" ht="15" customHeight="1">
      <c r="A275" s="160"/>
      <c r="B275" s="160"/>
      <c r="C275" s="160"/>
      <c r="D275" s="160"/>
      <c r="E275" s="160"/>
      <c r="F275" s="160"/>
      <c r="G275" s="160"/>
      <c r="H275" s="160"/>
      <c r="I275" s="160"/>
      <c r="J275" s="160"/>
      <c r="K275" s="144"/>
      <c r="L275" s="144"/>
      <c r="M275" s="144"/>
      <c r="N275" s="144"/>
      <c r="O275" s="144"/>
      <c r="P275" s="144"/>
      <c r="Q275" s="144"/>
      <c r="U275" s="152"/>
    </row>
    <row r="276" spans="1:23" ht="15" customHeight="1">
      <c r="A276" s="160"/>
      <c r="B276" s="160"/>
      <c r="C276" s="160"/>
      <c r="D276" s="160"/>
      <c r="E276" s="160"/>
      <c r="F276" s="160"/>
      <c r="G276" s="160"/>
      <c r="H276" s="160"/>
      <c r="I276" s="160"/>
      <c r="J276" s="160"/>
      <c r="K276" s="144"/>
      <c r="L276" s="144"/>
      <c r="M276" s="144"/>
      <c r="N276" s="144"/>
      <c r="O276" s="144"/>
      <c r="P276" s="144"/>
      <c r="Q276" s="144"/>
    </row>
    <row r="277" spans="1:23" ht="12.75" customHeight="1">
      <c r="A277" s="160"/>
      <c r="B277" s="160"/>
      <c r="C277" s="160"/>
      <c r="D277" s="160"/>
      <c r="E277" s="160"/>
      <c r="F277" s="160"/>
      <c r="G277" s="160"/>
      <c r="H277" s="160"/>
      <c r="I277" s="160"/>
      <c r="J277" s="160"/>
      <c r="K277" s="144"/>
      <c r="L277" s="144"/>
      <c r="M277" s="144"/>
      <c r="N277" s="144"/>
      <c r="O277" s="144"/>
      <c r="P277" s="144"/>
      <c r="Q277" s="144"/>
    </row>
    <row r="278" spans="1:23" ht="12.75" customHeight="1">
      <c r="A278" s="160"/>
      <c r="B278" s="160"/>
      <c r="C278" s="160"/>
      <c r="D278" s="160"/>
      <c r="E278" s="160"/>
      <c r="F278" s="160"/>
      <c r="G278" s="160"/>
      <c r="H278" s="160"/>
      <c r="I278" s="160"/>
      <c r="J278" s="160"/>
      <c r="K278" s="144"/>
      <c r="L278" s="144"/>
      <c r="M278" s="144"/>
      <c r="N278" s="144"/>
      <c r="O278" s="144"/>
      <c r="P278" s="144"/>
      <c r="Q278" s="144"/>
    </row>
    <row r="279" spans="1:23" ht="12.75" customHeight="1">
      <c r="A279" s="160"/>
      <c r="B279" s="160"/>
      <c r="C279" s="160"/>
      <c r="D279" s="160"/>
      <c r="E279" s="160"/>
      <c r="F279" s="160"/>
      <c r="G279" s="160"/>
      <c r="H279" s="160"/>
      <c r="I279" s="160"/>
      <c r="J279" s="160"/>
      <c r="K279" s="144"/>
      <c r="L279" s="144"/>
      <c r="M279" s="144"/>
      <c r="N279" s="144"/>
      <c r="O279" s="144"/>
      <c r="P279" s="144"/>
      <c r="Q279" s="144"/>
    </row>
    <row r="280" spans="1:23" ht="12.75" customHeight="1">
      <c r="A280" s="160"/>
      <c r="B280" s="160"/>
      <c r="C280" s="160"/>
      <c r="D280" s="160"/>
      <c r="E280" s="160"/>
      <c r="F280" s="160"/>
      <c r="G280" s="160"/>
      <c r="H280" s="160"/>
      <c r="I280" s="160"/>
      <c r="J280" s="160"/>
      <c r="K280" s="144"/>
      <c r="L280" s="144"/>
      <c r="M280" s="144"/>
      <c r="N280" s="144"/>
      <c r="O280" s="144"/>
      <c r="P280" s="144"/>
      <c r="Q280" s="144"/>
    </row>
    <row r="281" spans="1:23" ht="12.75" customHeight="1">
      <c r="A281" s="160"/>
      <c r="B281" s="160"/>
      <c r="C281" s="160"/>
      <c r="D281" s="160"/>
      <c r="E281" s="160"/>
      <c r="F281" s="160"/>
      <c r="G281" s="160"/>
      <c r="H281" s="160"/>
      <c r="I281" s="160"/>
      <c r="J281" s="160"/>
      <c r="K281" s="144"/>
      <c r="L281" s="144"/>
      <c r="M281" s="144"/>
      <c r="N281" s="144"/>
      <c r="O281" s="144"/>
      <c r="P281" s="144"/>
      <c r="Q281" s="144"/>
    </row>
    <row r="282" spans="1:23" ht="12.75" customHeight="1">
      <c r="K282" s="144"/>
      <c r="L282" s="144"/>
      <c r="M282" s="144"/>
      <c r="N282" s="144"/>
      <c r="O282" s="144"/>
      <c r="P282" s="144"/>
      <c r="Q282" s="144"/>
    </row>
    <row r="283" spans="1:23" ht="12.75" customHeight="1">
      <c r="K283" s="144"/>
      <c r="L283" s="144"/>
      <c r="M283" s="144"/>
      <c r="N283" s="144"/>
      <c r="O283" s="144"/>
      <c r="P283" s="144"/>
      <c r="Q283" s="144"/>
    </row>
    <row r="284" spans="1:23" ht="12.75" customHeight="1">
      <c r="K284" s="144"/>
      <c r="L284" s="144"/>
      <c r="M284" s="144"/>
      <c r="N284" s="144"/>
      <c r="O284" s="144"/>
      <c r="P284" s="144"/>
      <c r="Q284" s="144"/>
    </row>
    <row r="285" spans="1:23" ht="12.75" customHeight="1">
      <c r="K285" s="144"/>
      <c r="L285" s="144"/>
      <c r="M285" s="144"/>
      <c r="N285" s="144"/>
      <c r="O285" s="144"/>
      <c r="P285" s="144"/>
      <c r="Q285" s="144"/>
    </row>
    <row r="286" spans="1:23" ht="12.75" customHeight="1">
      <c r="K286" s="144"/>
      <c r="L286" s="144"/>
      <c r="M286" s="144"/>
      <c r="N286" s="144"/>
      <c r="O286" s="144"/>
      <c r="P286" s="144"/>
      <c r="Q286" s="144"/>
    </row>
    <row r="287" spans="1:23" ht="12.75" customHeight="1">
      <c r="K287" s="144"/>
      <c r="L287" s="144"/>
      <c r="M287" s="144"/>
      <c r="N287" s="144"/>
      <c r="O287" s="144"/>
      <c r="P287" s="144"/>
      <c r="Q287" s="144"/>
    </row>
    <row r="288" spans="1:23" ht="12.75" customHeight="1">
      <c r="K288" s="144"/>
      <c r="L288" s="144"/>
      <c r="M288" s="144"/>
      <c r="N288" s="144"/>
      <c r="O288" s="144"/>
      <c r="P288" s="144"/>
      <c r="Q288" s="144"/>
    </row>
    <row r="289" spans="11:17" ht="12.75" customHeight="1">
      <c r="K289" s="144"/>
      <c r="L289" s="144"/>
      <c r="M289" s="144"/>
      <c r="N289" s="144"/>
      <c r="O289" s="144"/>
      <c r="P289" s="144"/>
      <c r="Q289" s="144"/>
    </row>
    <row r="290" spans="11:17" ht="12.75" customHeight="1">
      <c r="K290" s="144"/>
      <c r="L290" s="144"/>
      <c r="M290" s="144"/>
      <c r="N290" s="144"/>
      <c r="O290" s="144"/>
      <c r="P290" s="144"/>
      <c r="Q290" s="144"/>
    </row>
    <row r="291" spans="11:17" ht="12.75" customHeight="1">
      <c r="K291" s="144"/>
      <c r="L291" s="144"/>
      <c r="M291" s="144"/>
      <c r="N291" s="144"/>
      <c r="O291" s="144"/>
      <c r="P291" s="144"/>
      <c r="Q291" s="144"/>
    </row>
    <row r="292" spans="11:17">
      <c r="K292" s="144"/>
      <c r="L292" s="144"/>
      <c r="M292" s="144"/>
      <c r="N292" s="144"/>
      <c r="O292" s="144"/>
      <c r="P292" s="144"/>
      <c r="Q292" s="144"/>
    </row>
    <row r="293" spans="11:17">
      <c r="K293" s="144"/>
      <c r="L293" s="144"/>
      <c r="M293" s="144"/>
      <c r="N293" s="144"/>
      <c r="O293" s="144"/>
      <c r="P293" s="144"/>
      <c r="Q293" s="144"/>
    </row>
    <row r="294" spans="11:17">
      <c r="K294" s="144"/>
      <c r="L294" s="144"/>
      <c r="M294" s="144"/>
      <c r="N294" s="144"/>
      <c r="O294" s="144"/>
      <c r="P294" s="144"/>
      <c r="Q294" s="144"/>
    </row>
    <row r="295" spans="11:17">
      <c r="K295" s="144"/>
      <c r="L295" s="144"/>
      <c r="M295" s="144"/>
      <c r="N295" s="144"/>
      <c r="O295" s="144"/>
      <c r="P295" s="144"/>
      <c r="Q295" s="144"/>
    </row>
    <row r="296" spans="11:17">
      <c r="K296" s="144"/>
      <c r="L296" s="144"/>
      <c r="M296" s="144"/>
      <c r="N296" s="144"/>
      <c r="O296" s="144"/>
      <c r="P296" s="144"/>
      <c r="Q296" s="144"/>
    </row>
    <row r="297" spans="11:17">
      <c r="K297" s="144"/>
      <c r="L297" s="144"/>
      <c r="M297" s="144"/>
      <c r="N297" s="144"/>
      <c r="O297" s="144"/>
      <c r="P297" s="144"/>
      <c r="Q297" s="144"/>
    </row>
    <row r="298" spans="11:17">
      <c r="K298" s="144"/>
      <c r="L298" s="144"/>
      <c r="M298" s="144"/>
      <c r="N298" s="144"/>
      <c r="O298" s="144"/>
      <c r="P298" s="144"/>
      <c r="Q298" s="144"/>
    </row>
    <row r="299" spans="11:17">
      <c r="K299" s="144"/>
      <c r="L299" s="144"/>
      <c r="M299" s="144"/>
      <c r="N299" s="144"/>
      <c r="O299" s="144"/>
      <c r="P299" s="144"/>
      <c r="Q299" s="144"/>
    </row>
    <row r="300" spans="11:17">
      <c r="K300" s="144"/>
      <c r="L300" s="144"/>
      <c r="M300" s="144"/>
      <c r="N300" s="144"/>
      <c r="O300" s="144"/>
      <c r="P300" s="144"/>
      <c r="Q300" s="144"/>
    </row>
    <row r="301" spans="11:17">
      <c r="K301" s="144"/>
      <c r="L301" s="144"/>
      <c r="M301" s="144"/>
      <c r="N301" s="144"/>
      <c r="O301" s="144"/>
      <c r="P301" s="144"/>
      <c r="Q301" s="144"/>
    </row>
    <row r="302" spans="11:17">
      <c r="K302" s="144"/>
      <c r="L302" s="144"/>
      <c r="M302" s="144"/>
      <c r="N302" s="144"/>
      <c r="O302" s="144"/>
      <c r="P302" s="144"/>
      <c r="Q302" s="144"/>
    </row>
    <row r="303" spans="11:17">
      <c r="K303" s="144"/>
      <c r="L303" s="144"/>
      <c r="M303" s="144"/>
      <c r="N303" s="144"/>
      <c r="O303" s="144"/>
      <c r="P303" s="144"/>
      <c r="Q303" s="144"/>
    </row>
    <row r="304" spans="11:17">
      <c r="K304" s="144"/>
      <c r="L304" s="144"/>
      <c r="M304" s="144"/>
      <c r="N304" s="144"/>
      <c r="O304" s="144"/>
      <c r="P304" s="144"/>
      <c r="Q304" s="144"/>
    </row>
    <row r="305" spans="11:17">
      <c r="K305" s="144"/>
      <c r="L305" s="144"/>
      <c r="M305" s="144"/>
      <c r="N305" s="144"/>
      <c r="O305" s="144"/>
      <c r="P305" s="144"/>
      <c r="Q305" s="144"/>
    </row>
    <row r="306" spans="11:17">
      <c r="K306" s="144"/>
      <c r="L306" s="144"/>
      <c r="M306" s="144"/>
      <c r="N306" s="144"/>
      <c r="O306" s="144"/>
      <c r="P306" s="144"/>
      <c r="Q306" s="144"/>
    </row>
    <row r="307" spans="11:17">
      <c r="K307" s="144"/>
      <c r="L307" s="144"/>
      <c r="M307" s="144"/>
      <c r="N307" s="144"/>
      <c r="O307" s="144"/>
      <c r="P307" s="144"/>
      <c r="Q307" s="144"/>
    </row>
    <row r="308" spans="11:17">
      <c r="K308" s="144"/>
      <c r="L308" s="144"/>
      <c r="M308" s="144"/>
      <c r="N308" s="144"/>
      <c r="O308" s="144"/>
      <c r="P308" s="144"/>
      <c r="Q308" s="144"/>
    </row>
    <row r="309" spans="11:17">
      <c r="K309" s="144"/>
      <c r="L309" s="144"/>
      <c r="M309" s="144"/>
      <c r="N309" s="144"/>
      <c r="O309" s="144"/>
      <c r="P309" s="144"/>
      <c r="Q309" s="144"/>
    </row>
    <row r="310" spans="11:17">
      <c r="K310" s="144"/>
      <c r="L310" s="144"/>
      <c r="M310" s="144"/>
      <c r="N310" s="144"/>
      <c r="O310" s="144"/>
      <c r="P310" s="144"/>
      <c r="Q310" s="144"/>
    </row>
    <row r="311" spans="11:17">
      <c r="K311" s="144"/>
      <c r="L311" s="144"/>
      <c r="M311" s="144"/>
      <c r="N311" s="144"/>
      <c r="O311" s="144"/>
      <c r="P311" s="144"/>
      <c r="Q311" s="144"/>
    </row>
    <row r="312" spans="11:17">
      <c r="K312" s="144"/>
      <c r="L312" s="144"/>
      <c r="M312" s="144"/>
      <c r="N312" s="144"/>
      <c r="O312" s="144"/>
      <c r="P312" s="144"/>
      <c r="Q312" s="144"/>
    </row>
    <row r="313" spans="11:17">
      <c r="K313" s="144"/>
      <c r="L313" s="144"/>
      <c r="M313" s="144"/>
      <c r="N313" s="144"/>
      <c r="O313" s="144"/>
      <c r="P313" s="144"/>
      <c r="Q313" s="144"/>
    </row>
  </sheetData>
  <mergeCells count="9">
    <mergeCell ref="B33:E33"/>
    <mergeCell ref="B129:E129"/>
    <mergeCell ref="B269:E269"/>
    <mergeCell ref="A1:Q1"/>
    <mergeCell ref="A2:Q2"/>
    <mergeCell ref="A3:C3"/>
    <mergeCell ref="A6:C6"/>
    <mergeCell ref="A7:C7"/>
    <mergeCell ref="D7:E7"/>
  </mergeCells>
  <phoneticPr fontId="134" type="noConversion"/>
  <dataValidations count="2">
    <dataValidation type="list" allowBlank="1" showInputMessage="1" showErrorMessage="1" sqref="D6" xr:uid="{FE75AEBB-1DD8-4157-9D9F-D7B4018F71BB}">
      <formula1>$V$4:$V$11</formula1>
    </dataValidation>
    <dataValidation type="list" allowBlank="1" showInputMessage="1" showErrorMessage="1" sqref="D3" xr:uid="{1A71304C-9A9D-4506-94E6-898DB11189C2}">
      <formula1>$U$4:$U$17</formula1>
    </dataValidation>
  </dataValidations>
  <printOptions horizontalCentered="1"/>
  <pageMargins left="0.4" right="0.4" top="0.7" bottom="0.7" header="0" footer="0.3"/>
  <pageSetup paperSize="9" scale="44" fitToHeight="0" orientation="portrait" horizontalDpi="4294967294" vertic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D954-B438-4E37-8CC8-567D8B92D61F}">
  <sheetPr>
    <pageSetUpPr fitToPage="1"/>
  </sheetPr>
  <dimension ref="A1:W122"/>
  <sheetViews>
    <sheetView showGridLines="0" tabSelected="1" view="pageBreakPreview" topLeftCell="D1" zoomScale="93" zoomScaleNormal="100" zoomScaleSheetLayoutView="70" workbookViewId="0">
      <selection activeCell="W21" sqref="W21"/>
    </sheetView>
  </sheetViews>
  <sheetFormatPr defaultColWidth="10.28515625" defaultRowHeight="15"/>
  <cols>
    <col min="1" max="1" width="3.85546875" style="108" customWidth="1"/>
    <col min="2" max="2" width="4.140625" style="108" customWidth="1"/>
    <col min="3" max="3" width="12" style="108" customWidth="1"/>
    <col min="4" max="4" width="17.85546875" style="108" customWidth="1"/>
    <col min="5" max="5" width="16.140625" style="108" customWidth="1"/>
    <col min="6" max="6" width="14.28515625" style="108" customWidth="1"/>
    <col min="7" max="7" width="11" style="108" customWidth="1"/>
    <col min="8" max="8" width="14.85546875" style="108" customWidth="1"/>
    <col min="9" max="9" width="16.85546875" style="108" customWidth="1"/>
    <col min="10" max="10" width="14.28515625" style="108" customWidth="1"/>
    <col min="11" max="16" width="8.85546875" style="1" customWidth="1"/>
    <col min="17" max="17" width="15.42578125" style="1" customWidth="1"/>
    <col min="18" max="18" width="18.140625" style="108" hidden="1" customWidth="1"/>
    <col min="19" max="19" width="10.28515625" style="108"/>
    <col min="20" max="20" width="10.28515625" style="108" customWidth="1"/>
    <col min="21" max="22" width="16.42578125" style="108" hidden="1" customWidth="1"/>
    <col min="23" max="23" width="15.140625" style="108" customWidth="1"/>
    <col min="24" max="16384" width="10.28515625" style="108"/>
  </cols>
  <sheetData>
    <row r="1" spans="1:23" s="52" customFormat="1" ht="24" customHeight="1">
      <c r="A1" s="339" t="s">
        <v>249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1"/>
    </row>
    <row r="2" spans="1:23" s="52" customFormat="1" ht="15" customHeight="1" thickBot="1">
      <c r="A2" s="342" t="s">
        <v>260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4"/>
    </row>
    <row r="3" spans="1:23" s="52" customFormat="1" ht="15" customHeight="1" thickTop="1">
      <c r="A3" s="345" t="s">
        <v>250</v>
      </c>
      <c r="B3" s="346"/>
      <c r="C3" s="346"/>
      <c r="D3" s="53" t="s">
        <v>576</v>
      </c>
      <c r="E3" s="54"/>
      <c r="F3" s="54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  <c r="U3" s="52" t="s">
        <v>250</v>
      </c>
      <c r="V3" s="52" t="s">
        <v>251</v>
      </c>
    </row>
    <row r="4" spans="1:23" s="52" customFormat="1" ht="15" customHeight="1">
      <c r="A4" s="81"/>
      <c r="B4" s="82"/>
      <c r="C4" s="82"/>
      <c r="D4" s="57" t="s">
        <v>252</v>
      </c>
      <c r="E4" s="58"/>
      <c r="F4" s="58"/>
      <c r="G4" s="4"/>
      <c r="H4" s="4"/>
      <c r="I4" s="4"/>
      <c r="J4" s="4"/>
      <c r="K4" s="4"/>
      <c r="L4" s="4"/>
      <c r="M4" s="4"/>
      <c r="N4" s="4"/>
      <c r="O4" s="4"/>
      <c r="P4" s="4"/>
      <c r="Q4" s="59"/>
      <c r="U4" s="52" t="s">
        <v>185</v>
      </c>
      <c r="V4" s="63" t="s">
        <v>467</v>
      </c>
    </row>
    <row r="5" spans="1:23" s="52" customFormat="1" ht="15" customHeight="1">
      <c r="A5" s="81"/>
      <c r="B5" s="82"/>
      <c r="C5" s="82"/>
      <c r="D5" s="57" t="s">
        <v>253</v>
      </c>
      <c r="E5" s="58"/>
      <c r="F5" s="58"/>
      <c r="G5" s="4"/>
      <c r="H5" s="4"/>
      <c r="I5" s="4"/>
      <c r="J5" s="4"/>
      <c r="K5" s="4"/>
      <c r="L5" s="4"/>
      <c r="M5" s="4"/>
      <c r="N5" s="4"/>
      <c r="O5" s="4"/>
      <c r="P5" s="4"/>
      <c r="Q5" s="59"/>
      <c r="U5" s="52" t="s">
        <v>261</v>
      </c>
      <c r="V5" s="63" t="s">
        <v>465</v>
      </c>
    </row>
    <row r="6" spans="1:23" s="52" customFormat="1" ht="15" customHeight="1">
      <c r="A6" s="347" t="s">
        <v>254</v>
      </c>
      <c r="B6" s="348"/>
      <c r="C6" s="348"/>
      <c r="D6" s="58" t="s">
        <v>575</v>
      </c>
      <c r="E6" s="58"/>
      <c r="F6" s="58"/>
      <c r="G6" s="4"/>
      <c r="H6" s="4"/>
      <c r="I6" s="4"/>
      <c r="J6" s="4"/>
      <c r="K6" s="4"/>
      <c r="L6" s="4"/>
      <c r="M6" s="4"/>
      <c r="N6" s="4"/>
      <c r="O6" s="4"/>
      <c r="P6" s="4"/>
      <c r="Q6" s="59"/>
      <c r="U6" s="52" t="s">
        <v>187</v>
      </c>
      <c r="V6" s="63" t="s">
        <v>466</v>
      </c>
    </row>
    <row r="7" spans="1:23" s="1" customFormat="1" ht="15" customHeight="1" thickBot="1">
      <c r="A7" s="349" t="s">
        <v>255</v>
      </c>
      <c r="B7" s="350"/>
      <c r="C7" s="350"/>
      <c r="D7" s="351">
        <f>Pama!D7</f>
        <v>44652</v>
      </c>
      <c r="E7" s="351"/>
      <c r="F7" s="60"/>
      <c r="G7" s="61"/>
      <c r="H7" s="61"/>
      <c r="I7" s="84"/>
      <c r="J7" s="84"/>
      <c r="K7" s="84"/>
      <c r="L7" s="84"/>
      <c r="M7" s="84"/>
      <c r="N7" s="84"/>
      <c r="O7" s="84"/>
      <c r="P7" s="84"/>
      <c r="Q7" s="62" t="s">
        <v>541</v>
      </c>
      <c r="U7" s="52" t="s">
        <v>256</v>
      </c>
      <c r="V7" s="63" t="s">
        <v>340</v>
      </c>
      <c r="W7" s="52"/>
    </row>
    <row r="8" spans="1:23" s="152" customFormat="1" ht="8.25" customHeight="1" thickTop="1">
      <c r="A8" s="64"/>
      <c r="B8" s="4"/>
      <c r="C8" s="4"/>
      <c r="D8" s="4"/>
      <c r="E8" s="4"/>
      <c r="F8" s="16"/>
      <c r="G8" s="4"/>
      <c r="H8" s="4"/>
      <c r="I8" s="4"/>
      <c r="J8" s="4"/>
      <c r="K8" s="4"/>
      <c r="L8" s="4"/>
      <c r="M8" s="4"/>
      <c r="N8" s="4"/>
      <c r="O8" s="4"/>
      <c r="P8" s="4"/>
      <c r="Q8" s="59"/>
      <c r="U8" s="52" t="s">
        <v>191</v>
      </c>
      <c r="V8" s="63" t="s">
        <v>468</v>
      </c>
      <c r="W8" s="1"/>
    </row>
    <row r="9" spans="1:23" s="152" customFormat="1" ht="15" customHeight="1">
      <c r="A9" s="65" t="s">
        <v>0</v>
      </c>
      <c r="B9" s="66" t="s">
        <v>1</v>
      </c>
      <c r="C9" s="4"/>
      <c r="D9" s="4"/>
      <c r="E9" s="4"/>
      <c r="F9" s="16"/>
      <c r="G9" s="4"/>
      <c r="H9" s="4"/>
      <c r="I9" s="4"/>
      <c r="J9" s="4"/>
      <c r="K9" s="93"/>
      <c r="L9" s="4"/>
      <c r="M9" s="4"/>
      <c r="N9" s="4"/>
      <c r="O9" s="4"/>
      <c r="P9" s="4"/>
      <c r="Q9" s="59"/>
      <c r="U9" s="52" t="s">
        <v>434</v>
      </c>
      <c r="V9" s="63" t="s">
        <v>573</v>
      </c>
    </row>
    <row r="10" spans="1:23" s="152" customFormat="1" ht="15" customHeight="1">
      <c r="A10" s="64"/>
      <c r="B10" s="6" t="s">
        <v>2</v>
      </c>
      <c r="C10" s="6" t="s">
        <v>3</v>
      </c>
      <c r="D10" s="6" t="s">
        <v>4</v>
      </c>
      <c r="E10" s="6" t="s">
        <v>5</v>
      </c>
      <c r="F10" s="6" t="s">
        <v>6</v>
      </c>
      <c r="G10" s="6" t="s">
        <v>7</v>
      </c>
      <c r="H10" s="6" t="s">
        <v>8</v>
      </c>
      <c r="I10" s="83" t="s">
        <v>9</v>
      </c>
      <c r="J10" s="83" t="s">
        <v>267</v>
      </c>
      <c r="K10" s="6" t="s">
        <v>262</v>
      </c>
      <c r="L10" s="6" t="s">
        <v>268</v>
      </c>
      <c r="M10" s="6" t="s">
        <v>269</v>
      </c>
      <c r="N10" s="6" t="s">
        <v>263</v>
      </c>
      <c r="O10" s="6" t="s">
        <v>264</v>
      </c>
      <c r="P10" s="6" t="s">
        <v>265</v>
      </c>
      <c r="Q10" s="67" t="s">
        <v>266</v>
      </c>
      <c r="U10" s="52" t="s">
        <v>257</v>
      </c>
      <c r="V10" s="63" t="s">
        <v>572</v>
      </c>
    </row>
    <row r="11" spans="1:23" s="152" customFormat="1" ht="15" customHeight="1">
      <c r="A11" s="153"/>
      <c r="B11" s="209">
        <v>1</v>
      </c>
      <c r="C11" s="209" t="s">
        <v>577</v>
      </c>
      <c r="D11" s="209" t="s">
        <v>578</v>
      </c>
      <c r="E11" s="209" t="s">
        <v>176</v>
      </c>
      <c r="F11" s="209" t="s">
        <v>579</v>
      </c>
      <c r="G11" s="219">
        <v>2021</v>
      </c>
      <c r="H11" s="209" t="s">
        <v>580</v>
      </c>
      <c r="I11" s="245" t="s">
        <v>581</v>
      </c>
      <c r="J11" s="246">
        <v>72820</v>
      </c>
      <c r="K11" s="246">
        <v>349.23999999999887</v>
      </c>
      <c r="L11" s="246">
        <v>5.4966666666666661</v>
      </c>
      <c r="M11" s="246">
        <v>389.26333333333446</v>
      </c>
      <c r="N11" s="129">
        <f>+K11/(K11+L11)</f>
        <v>0.9845049379351819</v>
      </c>
      <c r="O11" s="129">
        <f t="shared" ref="O11:O12" si="0">+(K11+M11)/(K11+L11+M11)</f>
        <v>0.99261200716845877</v>
      </c>
      <c r="P11" s="129">
        <f t="shared" ref="P11:P12" si="1">+K11/(K11+M11)</f>
        <v>0.47290240170434644</v>
      </c>
      <c r="Q11" s="117">
        <f t="shared" ref="Q11:Q12" si="2">+J11/K11</f>
        <v>208.50990722712243</v>
      </c>
      <c r="R11" s="152" t="str">
        <f>IF(O11&gt;89.9999999999999%,"DUM")</f>
        <v>DUM</v>
      </c>
      <c r="U11" s="52" t="s">
        <v>339</v>
      </c>
      <c r="V11" s="52" t="s">
        <v>575</v>
      </c>
    </row>
    <row r="12" spans="1:23" s="152" customFormat="1" ht="15" customHeight="1">
      <c r="A12" s="153"/>
      <c r="B12" s="209">
        <v>2</v>
      </c>
      <c r="C12" s="209" t="s">
        <v>577</v>
      </c>
      <c r="D12" s="209" t="s">
        <v>582</v>
      </c>
      <c r="E12" s="209" t="s">
        <v>176</v>
      </c>
      <c r="F12" s="209" t="s">
        <v>579</v>
      </c>
      <c r="G12" s="219">
        <v>2021</v>
      </c>
      <c r="H12" s="209" t="s">
        <v>580</v>
      </c>
      <c r="I12" s="245" t="s">
        <v>581</v>
      </c>
      <c r="J12" s="246">
        <v>66693</v>
      </c>
      <c r="K12" s="246">
        <v>336.699999999998</v>
      </c>
      <c r="L12" s="246">
        <v>25.92</v>
      </c>
      <c r="M12" s="246">
        <v>381.38000000000204</v>
      </c>
      <c r="N12" s="129">
        <f t="shared" ref="N12:N14" si="3">+K12/(K12+L12)</f>
        <v>0.92852021399812434</v>
      </c>
      <c r="O12" s="129">
        <f t="shared" si="0"/>
        <v>0.96516129032258069</v>
      </c>
      <c r="P12" s="129">
        <f t="shared" si="1"/>
        <v>0.46888926024955158</v>
      </c>
      <c r="Q12" s="117">
        <f t="shared" si="2"/>
        <v>198.07840807840927</v>
      </c>
      <c r="R12" s="152" t="str">
        <f t="shared" ref="R12:R77" si="4">IF(O12&gt;89.9999999999999%,"DUM")</f>
        <v>DUM</v>
      </c>
      <c r="U12" s="52" t="s">
        <v>437</v>
      </c>
      <c r="V12" s="52"/>
    </row>
    <row r="13" spans="1:23" s="152" customFormat="1" ht="15" customHeight="1">
      <c r="A13" s="153"/>
      <c r="B13" s="209">
        <v>3</v>
      </c>
      <c r="C13" s="209" t="s">
        <v>577</v>
      </c>
      <c r="D13" s="209" t="s">
        <v>583</v>
      </c>
      <c r="E13" s="209" t="s">
        <v>176</v>
      </c>
      <c r="F13" s="209" t="s">
        <v>579</v>
      </c>
      <c r="G13" s="219">
        <v>2021</v>
      </c>
      <c r="H13" s="209" t="s">
        <v>580</v>
      </c>
      <c r="I13" s="245" t="s">
        <v>581</v>
      </c>
      <c r="J13" s="246">
        <v>73084</v>
      </c>
      <c r="K13" s="246">
        <v>345.78000000000065</v>
      </c>
      <c r="L13" s="246">
        <v>4.6099999999999994</v>
      </c>
      <c r="M13" s="246">
        <v>393.60999999999933</v>
      </c>
      <c r="N13" s="129">
        <f t="shared" si="3"/>
        <v>0.98684323182739231</v>
      </c>
      <c r="O13" s="129">
        <f t="shared" ref="O13:O14" si="5">+(K13+M13)/(K13+L13+M13)</f>
        <v>0.99380376344086019</v>
      </c>
      <c r="P13" s="129">
        <f t="shared" ref="P13:P14" si="6">+K13/(K13+M13)</f>
        <v>0.46765577029713773</v>
      </c>
      <c r="Q13" s="117">
        <f t="shared" ref="Q13:Q14" si="7">+J13/K13</f>
        <v>211.35982416565406</v>
      </c>
      <c r="R13" s="152" t="str">
        <f t="shared" si="4"/>
        <v>DUM</v>
      </c>
      <c r="U13" s="52"/>
      <c r="V13" s="52"/>
    </row>
    <row r="14" spans="1:23" s="152" customFormat="1" ht="15" customHeight="1">
      <c r="A14" s="153"/>
      <c r="B14" s="209">
        <v>4</v>
      </c>
      <c r="C14" s="209" t="s">
        <v>577</v>
      </c>
      <c r="D14" s="209" t="s">
        <v>584</v>
      </c>
      <c r="E14" s="209" t="s">
        <v>179</v>
      </c>
      <c r="F14" s="209" t="s">
        <v>585</v>
      </c>
      <c r="G14" s="219">
        <v>2021</v>
      </c>
      <c r="H14" s="209" t="s">
        <v>580</v>
      </c>
      <c r="I14" s="245" t="s">
        <v>586</v>
      </c>
      <c r="J14" s="246">
        <v>10153</v>
      </c>
      <c r="K14" s="246">
        <v>91.880000000000109</v>
      </c>
      <c r="L14" s="246">
        <v>39.870000000000005</v>
      </c>
      <c r="M14" s="246">
        <v>612.24999999999989</v>
      </c>
      <c r="N14" s="129">
        <f t="shared" si="3"/>
        <v>0.69738140417457328</v>
      </c>
      <c r="O14" s="129">
        <f t="shared" si="5"/>
        <v>0.94641129032258065</v>
      </c>
      <c r="P14" s="129">
        <f t="shared" si="6"/>
        <v>0.13048726797608412</v>
      </c>
      <c r="Q14" s="117">
        <f t="shared" si="7"/>
        <v>110.50282977797113</v>
      </c>
      <c r="R14" s="152" t="str">
        <f t="shared" si="4"/>
        <v>DUM</v>
      </c>
      <c r="U14" s="63" t="s">
        <v>258</v>
      </c>
      <c r="V14" s="4"/>
    </row>
    <row r="15" spans="1:23" s="4" customFormat="1" ht="15" customHeight="1">
      <c r="A15" s="64"/>
      <c r="B15" s="336" t="s">
        <v>22</v>
      </c>
      <c r="C15" s="337"/>
      <c r="D15" s="337"/>
      <c r="E15" s="338"/>
      <c r="F15" s="8">
        <f>+COUNTA(F11:F14)</f>
        <v>4</v>
      </c>
      <c r="G15" s="9"/>
      <c r="H15" s="7"/>
      <c r="I15" s="86"/>
      <c r="J15" s="86"/>
      <c r="K15" s="7"/>
      <c r="L15" s="7"/>
      <c r="M15" s="7"/>
      <c r="N15" s="7"/>
      <c r="O15" s="7"/>
      <c r="P15" s="7"/>
      <c r="Q15" s="68"/>
      <c r="R15" s="4" t="b">
        <f t="shared" si="4"/>
        <v>0</v>
      </c>
      <c r="U15" s="52" t="s">
        <v>576</v>
      </c>
      <c r="W15" s="152"/>
    </row>
    <row r="16" spans="1:23" s="152" customFormat="1" ht="15" customHeight="1">
      <c r="A16" s="64"/>
      <c r="B16" s="10"/>
      <c r="C16" s="10"/>
      <c r="D16" s="10"/>
      <c r="E16" s="10"/>
      <c r="F16" s="10"/>
      <c r="G16" s="10"/>
      <c r="H16" s="10"/>
      <c r="I16" s="10"/>
      <c r="J16" s="10"/>
      <c r="K16" s="156"/>
      <c r="L16" s="156"/>
      <c r="M16" s="156"/>
      <c r="N16" s="156"/>
      <c r="O16" s="156"/>
      <c r="P16" s="156"/>
      <c r="Q16" s="157"/>
      <c r="R16" s="152" t="b">
        <f t="shared" si="4"/>
        <v>0</v>
      </c>
      <c r="U16" s="52"/>
      <c r="V16" s="4"/>
      <c r="W16" s="4"/>
    </row>
    <row r="17" spans="1:23" s="19" customFormat="1" ht="15" customHeight="1">
      <c r="A17" s="65" t="s">
        <v>23</v>
      </c>
      <c r="B17" s="66" t="s">
        <v>166</v>
      </c>
      <c r="C17" s="4"/>
      <c r="D17" s="4"/>
      <c r="E17" s="4"/>
      <c r="F17" s="16"/>
      <c r="G17" s="4"/>
      <c r="H17" s="4"/>
      <c r="I17" s="4"/>
      <c r="J17" s="4"/>
      <c r="K17" s="106"/>
      <c r="L17" s="106"/>
      <c r="M17" s="106"/>
      <c r="N17" s="106"/>
      <c r="O17" s="106"/>
      <c r="P17" s="106"/>
      <c r="Q17" s="107"/>
      <c r="R17" s="19" t="b">
        <f t="shared" si="4"/>
        <v>0</v>
      </c>
      <c r="U17" s="11"/>
      <c r="V17" s="4"/>
      <c r="W17" s="152"/>
    </row>
    <row r="18" spans="1:23" s="19" customFormat="1" ht="15" customHeight="1">
      <c r="A18" s="64"/>
      <c r="B18" s="6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6" t="s">
        <v>8</v>
      </c>
      <c r="I18" s="83" t="s">
        <v>9</v>
      </c>
      <c r="J18" s="83" t="s">
        <v>267</v>
      </c>
      <c r="K18" s="6" t="s">
        <v>262</v>
      </c>
      <c r="L18" s="6" t="s">
        <v>268</v>
      </c>
      <c r="M18" s="6" t="s">
        <v>269</v>
      </c>
      <c r="N18" s="6" t="s">
        <v>263</v>
      </c>
      <c r="O18" s="6" t="s">
        <v>264</v>
      </c>
      <c r="P18" s="6" t="s">
        <v>265</v>
      </c>
      <c r="Q18" s="67" t="s">
        <v>266</v>
      </c>
      <c r="R18" s="19" t="str">
        <f t="shared" si="4"/>
        <v>DUM</v>
      </c>
      <c r="U18" s="52"/>
      <c r="V18" s="4"/>
    </row>
    <row r="19" spans="1:23" s="19" customFormat="1" ht="15" customHeight="1">
      <c r="A19" s="80"/>
      <c r="B19" s="18">
        <v>1</v>
      </c>
      <c r="C19" s="209" t="s">
        <v>577</v>
      </c>
      <c r="D19" s="209" t="s">
        <v>587</v>
      </c>
      <c r="E19" s="227" t="s">
        <v>411</v>
      </c>
      <c r="F19" s="209" t="s">
        <v>588</v>
      </c>
      <c r="G19" s="219">
        <v>2021</v>
      </c>
      <c r="H19" s="209" t="s">
        <v>589</v>
      </c>
      <c r="I19" s="245" t="s">
        <v>586</v>
      </c>
      <c r="J19" s="247">
        <v>10670</v>
      </c>
      <c r="K19" s="248">
        <v>313.05000000000018</v>
      </c>
      <c r="L19" s="246">
        <v>58.63</v>
      </c>
      <c r="M19" s="246">
        <v>348.31999999999982</v>
      </c>
      <c r="N19" s="129">
        <f t="shared" ref="N19:N33" si="8">IFERROR((K19/(K19+L19)),"")</f>
        <v>0.84225678002582871</v>
      </c>
      <c r="O19" s="129">
        <f t="shared" ref="O19:O28" si="9">+(K19+M19)/(K19+L19+M19)</f>
        <v>0.91856944444444444</v>
      </c>
      <c r="P19" s="129">
        <f t="shared" ref="P19:P28" si="10">+K19/(K19+M19)</f>
        <v>0.47333565175317927</v>
      </c>
      <c r="Q19" s="117">
        <f>+IFERROR((J19/K19),"")</f>
        <v>34.084012138635984</v>
      </c>
      <c r="R19" s="19" t="str">
        <f t="shared" si="4"/>
        <v>DUM</v>
      </c>
      <c r="U19" s="63"/>
      <c r="V19" s="4"/>
    </row>
    <row r="20" spans="1:23" s="19" customFormat="1" ht="15" customHeight="1">
      <c r="A20" s="80"/>
      <c r="B20" s="18">
        <f>+B19+1</f>
        <v>2</v>
      </c>
      <c r="C20" s="209" t="s">
        <v>577</v>
      </c>
      <c r="D20" s="209" t="s">
        <v>590</v>
      </c>
      <c r="E20" s="227" t="s">
        <v>411</v>
      </c>
      <c r="F20" s="209" t="s">
        <v>588</v>
      </c>
      <c r="G20" s="219">
        <v>2021</v>
      </c>
      <c r="H20" s="209" t="s">
        <v>589</v>
      </c>
      <c r="I20" s="245" t="s">
        <v>586</v>
      </c>
      <c r="J20" s="247">
        <v>11044</v>
      </c>
      <c r="K20" s="248">
        <v>338.27999999999975</v>
      </c>
      <c r="L20" s="246">
        <v>9.76</v>
      </c>
      <c r="M20" s="246">
        <v>371.96000000000026</v>
      </c>
      <c r="N20" s="129">
        <f t="shared" si="8"/>
        <v>0.97195724629352953</v>
      </c>
      <c r="O20" s="129">
        <f t="shared" si="9"/>
        <v>0.98644444444444446</v>
      </c>
      <c r="P20" s="129">
        <f t="shared" si="10"/>
        <v>0.47628970488848804</v>
      </c>
      <c r="Q20" s="117">
        <f t="shared" ref="Q20:Q38" si="11">+IFERROR((J20/K20),"")</f>
        <v>32.647510937684785</v>
      </c>
      <c r="R20" s="19" t="str">
        <f t="shared" si="4"/>
        <v>DUM</v>
      </c>
      <c r="U20" s="63"/>
      <c r="V20" s="4"/>
    </row>
    <row r="21" spans="1:23" s="19" customFormat="1" ht="15" customHeight="1">
      <c r="A21" s="80"/>
      <c r="B21" s="18">
        <f t="shared" ref="B21:B43" si="12">+B20+1</f>
        <v>3</v>
      </c>
      <c r="C21" s="209" t="s">
        <v>577</v>
      </c>
      <c r="D21" s="209" t="s">
        <v>591</v>
      </c>
      <c r="E21" s="227" t="s">
        <v>411</v>
      </c>
      <c r="F21" s="209" t="s">
        <v>588</v>
      </c>
      <c r="G21" s="219">
        <v>2021</v>
      </c>
      <c r="H21" s="209" t="s">
        <v>589</v>
      </c>
      <c r="I21" s="245" t="s">
        <v>586</v>
      </c>
      <c r="J21" s="247">
        <v>11814</v>
      </c>
      <c r="K21" s="248">
        <v>356.89999999999964</v>
      </c>
      <c r="L21" s="246">
        <v>5.67</v>
      </c>
      <c r="M21" s="246">
        <v>357.4300000000004</v>
      </c>
      <c r="N21" s="129">
        <f t="shared" si="8"/>
        <v>0.98436164051079789</v>
      </c>
      <c r="O21" s="129">
        <f t="shared" si="9"/>
        <v>0.99212500000000003</v>
      </c>
      <c r="P21" s="129">
        <f t="shared" si="10"/>
        <v>0.49962902300057344</v>
      </c>
      <c r="Q21" s="117">
        <f t="shared" si="11"/>
        <v>33.10170916223035</v>
      </c>
      <c r="R21" s="19" t="str">
        <f t="shared" si="4"/>
        <v>DUM</v>
      </c>
      <c r="U21" s="4"/>
      <c r="V21" s="159"/>
    </row>
    <row r="22" spans="1:23" s="19" customFormat="1" ht="15" customHeight="1">
      <c r="A22" s="80"/>
      <c r="B22" s="18">
        <f t="shared" si="12"/>
        <v>4</v>
      </c>
      <c r="C22" s="209" t="s">
        <v>577</v>
      </c>
      <c r="D22" s="209" t="s">
        <v>592</v>
      </c>
      <c r="E22" s="227" t="s">
        <v>411</v>
      </c>
      <c r="F22" s="209" t="s">
        <v>588</v>
      </c>
      <c r="G22" s="219">
        <v>2021</v>
      </c>
      <c r="H22" s="209" t="s">
        <v>589</v>
      </c>
      <c r="I22" s="245" t="s">
        <v>586</v>
      </c>
      <c r="J22" s="247">
        <v>10560</v>
      </c>
      <c r="K22" s="248">
        <v>328.67000000000007</v>
      </c>
      <c r="L22" s="246">
        <v>22.509999999999998</v>
      </c>
      <c r="M22" s="246">
        <v>368.81999999999994</v>
      </c>
      <c r="N22" s="129">
        <f t="shared" si="8"/>
        <v>0.93590181673216022</v>
      </c>
      <c r="O22" s="129">
        <f t="shared" si="9"/>
        <v>0.96873611111111113</v>
      </c>
      <c r="P22" s="129">
        <f t="shared" si="10"/>
        <v>0.47121822535090119</v>
      </c>
      <c r="Q22" s="117">
        <f t="shared" si="11"/>
        <v>32.129491587306411</v>
      </c>
      <c r="R22" s="19" t="str">
        <f t="shared" si="4"/>
        <v>DUM</v>
      </c>
      <c r="U22" s="4"/>
      <c r="V22" s="159"/>
    </row>
    <row r="23" spans="1:23" s="19" customFormat="1" ht="15" customHeight="1">
      <c r="A23" s="80"/>
      <c r="B23" s="18">
        <f t="shared" si="12"/>
        <v>5</v>
      </c>
      <c r="C23" s="209" t="s">
        <v>577</v>
      </c>
      <c r="D23" s="209" t="s">
        <v>593</v>
      </c>
      <c r="E23" s="227" t="s">
        <v>411</v>
      </c>
      <c r="F23" s="209" t="s">
        <v>588</v>
      </c>
      <c r="G23" s="219">
        <v>2021</v>
      </c>
      <c r="H23" s="209" t="s">
        <v>589</v>
      </c>
      <c r="I23" s="245" t="s">
        <v>586</v>
      </c>
      <c r="J23" s="247">
        <v>10318</v>
      </c>
      <c r="K23" s="248">
        <v>308.57999999999902</v>
      </c>
      <c r="L23" s="246">
        <v>39.42</v>
      </c>
      <c r="M23" s="246">
        <v>372.00000000000102</v>
      </c>
      <c r="N23" s="129">
        <f t="shared" si="8"/>
        <v>0.88672413793103411</v>
      </c>
      <c r="O23" s="129">
        <f t="shared" si="9"/>
        <v>0.94525000000000003</v>
      </c>
      <c r="P23" s="129">
        <f t="shared" si="10"/>
        <v>0.45340738781627288</v>
      </c>
      <c r="Q23" s="117">
        <f t="shared" si="11"/>
        <v>33.437034156458722</v>
      </c>
      <c r="R23" s="19" t="str">
        <f t="shared" si="4"/>
        <v>DUM</v>
      </c>
      <c r="U23" s="4"/>
      <c r="V23" s="159"/>
    </row>
    <row r="24" spans="1:23" s="19" customFormat="1" ht="15" customHeight="1">
      <c r="A24" s="80"/>
      <c r="B24" s="18">
        <f t="shared" si="12"/>
        <v>6</v>
      </c>
      <c r="C24" s="209" t="s">
        <v>577</v>
      </c>
      <c r="D24" s="209" t="s">
        <v>594</v>
      </c>
      <c r="E24" s="227" t="s">
        <v>411</v>
      </c>
      <c r="F24" s="209" t="s">
        <v>588</v>
      </c>
      <c r="G24" s="219">
        <v>2021</v>
      </c>
      <c r="H24" s="209" t="s">
        <v>589</v>
      </c>
      <c r="I24" s="245" t="s">
        <v>586</v>
      </c>
      <c r="J24" s="247">
        <v>11770</v>
      </c>
      <c r="K24" s="248">
        <v>367.10000000000036</v>
      </c>
      <c r="L24" s="246">
        <v>14.933333333333334</v>
      </c>
      <c r="M24" s="246">
        <v>337.96666666666636</v>
      </c>
      <c r="N24" s="129">
        <f t="shared" si="8"/>
        <v>0.96091091527789896</v>
      </c>
      <c r="O24" s="129">
        <f t="shared" si="9"/>
        <v>0.97925925925925938</v>
      </c>
      <c r="P24" s="129">
        <f t="shared" si="10"/>
        <v>0.52065998487140741</v>
      </c>
      <c r="Q24" s="117">
        <f t="shared" si="11"/>
        <v>32.06210841732495</v>
      </c>
      <c r="R24" s="19" t="str">
        <f t="shared" si="4"/>
        <v>DUM</v>
      </c>
      <c r="U24" s="4"/>
      <c r="V24" s="159"/>
    </row>
    <row r="25" spans="1:23" s="19" customFormat="1" ht="15" customHeight="1">
      <c r="A25" s="80"/>
      <c r="B25" s="18">
        <f t="shared" si="12"/>
        <v>7</v>
      </c>
      <c r="C25" s="209" t="s">
        <v>577</v>
      </c>
      <c r="D25" s="209" t="s">
        <v>595</v>
      </c>
      <c r="E25" s="227" t="s">
        <v>411</v>
      </c>
      <c r="F25" s="209" t="s">
        <v>588</v>
      </c>
      <c r="G25" s="219">
        <v>2021</v>
      </c>
      <c r="H25" s="209" t="s">
        <v>589</v>
      </c>
      <c r="I25" s="245" t="s">
        <v>586</v>
      </c>
      <c r="J25" s="247">
        <v>12023</v>
      </c>
      <c r="K25" s="248">
        <v>358.74999999999909</v>
      </c>
      <c r="L25" s="246">
        <v>9.18</v>
      </c>
      <c r="M25" s="246">
        <v>352.07000000000096</v>
      </c>
      <c r="N25" s="129">
        <f t="shared" si="8"/>
        <v>0.9750496018264343</v>
      </c>
      <c r="O25" s="129">
        <f t="shared" si="9"/>
        <v>0.98725000000000007</v>
      </c>
      <c r="P25" s="129">
        <f t="shared" si="10"/>
        <v>0.50469879857066358</v>
      </c>
      <c r="Q25" s="117">
        <f t="shared" si="11"/>
        <v>33.513588850174301</v>
      </c>
      <c r="R25" s="19" t="str">
        <f t="shared" si="4"/>
        <v>DUM</v>
      </c>
      <c r="U25" s="4"/>
    </row>
    <row r="26" spans="1:23" s="19" customFormat="1" ht="15" customHeight="1">
      <c r="A26" s="80"/>
      <c r="B26" s="18">
        <f t="shared" si="12"/>
        <v>8</v>
      </c>
      <c r="C26" s="209" t="s">
        <v>577</v>
      </c>
      <c r="D26" s="209" t="s">
        <v>596</v>
      </c>
      <c r="E26" s="227" t="s">
        <v>411</v>
      </c>
      <c r="F26" s="209" t="s">
        <v>588</v>
      </c>
      <c r="G26" s="219">
        <v>2021</v>
      </c>
      <c r="H26" s="209" t="s">
        <v>589</v>
      </c>
      <c r="I26" s="245" t="s">
        <v>586</v>
      </c>
      <c r="J26" s="247">
        <v>10582</v>
      </c>
      <c r="K26" s="248">
        <v>314.07000000000062</v>
      </c>
      <c r="L26" s="246">
        <v>68.739999999999995</v>
      </c>
      <c r="M26" s="246">
        <v>337.18999999999937</v>
      </c>
      <c r="N26" s="129">
        <f t="shared" si="8"/>
        <v>0.82043311303257516</v>
      </c>
      <c r="O26" s="129">
        <f t="shared" si="9"/>
        <v>0.90452777777777782</v>
      </c>
      <c r="P26" s="129">
        <f t="shared" si="10"/>
        <v>0.4822497927095179</v>
      </c>
      <c r="Q26" s="117">
        <f t="shared" si="11"/>
        <v>33.693125736300757</v>
      </c>
      <c r="R26" s="19" t="str">
        <f t="shared" si="4"/>
        <v>DUM</v>
      </c>
      <c r="U26" s="4"/>
      <c r="V26" s="155"/>
    </row>
    <row r="27" spans="1:23" s="19" customFormat="1" ht="15" customHeight="1">
      <c r="A27" s="80"/>
      <c r="B27" s="18">
        <f t="shared" si="12"/>
        <v>9</v>
      </c>
      <c r="C27" s="209" t="s">
        <v>577</v>
      </c>
      <c r="D27" s="209" t="s">
        <v>597</v>
      </c>
      <c r="E27" s="227" t="s">
        <v>411</v>
      </c>
      <c r="F27" s="209" t="s">
        <v>588</v>
      </c>
      <c r="G27" s="219">
        <v>2021</v>
      </c>
      <c r="H27" s="209" t="s">
        <v>589</v>
      </c>
      <c r="I27" s="245" t="s">
        <v>586</v>
      </c>
      <c r="J27" s="247">
        <v>10604</v>
      </c>
      <c r="K27" s="248">
        <v>332.14999999999964</v>
      </c>
      <c r="L27" s="246">
        <v>19.829999999999998</v>
      </c>
      <c r="M27" s="246">
        <v>368.02000000000032</v>
      </c>
      <c r="N27" s="129">
        <f t="shared" si="8"/>
        <v>0.94366157168020903</v>
      </c>
      <c r="O27" s="129">
        <f t="shared" si="9"/>
        <v>0.97245833333333331</v>
      </c>
      <c r="P27" s="129">
        <f t="shared" si="10"/>
        <v>0.47438479226473523</v>
      </c>
      <c r="Q27" s="117">
        <f t="shared" si="11"/>
        <v>31.925334939033604</v>
      </c>
      <c r="R27" s="19" t="str">
        <f t="shared" si="4"/>
        <v>DUM</v>
      </c>
      <c r="U27" s="4"/>
      <c r="V27" s="155"/>
    </row>
    <row r="28" spans="1:23" s="19" customFormat="1" ht="15" customHeight="1">
      <c r="A28" s="80"/>
      <c r="B28" s="18">
        <f t="shared" si="12"/>
        <v>10</v>
      </c>
      <c r="C28" s="209" t="s">
        <v>577</v>
      </c>
      <c r="D28" s="209" t="s">
        <v>598</v>
      </c>
      <c r="E28" s="227" t="s">
        <v>411</v>
      </c>
      <c r="F28" s="209" t="s">
        <v>588</v>
      </c>
      <c r="G28" s="219">
        <v>2021</v>
      </c>
      <c r="H28" s="209" t="s">
        <v>589</v>
      </c>
      <c r="I28" s="245" t="s">
        <v>586</v>
      </c>
      <c r="J28" s="247">
        <v>11726</v>
      </c>
      <c r="K28" s="248">
        <v>365.18000000000029</v>
      </c>
      <c r="L28" s="246">
        <v>7.33</v>
      </c>
      <c r="M28" s="246">
        <v>347.48999999999967</v>
      </c>
      <c r="N28" s="129">
        <f t="shared" si="8"/>
        <v>0.98032267590131816</v>
      </c>
      <c r="O28" s="129">
        <f t="shared" si="9"/>
        <v>0.98981944444444436</v>
      </c>
      <c r="P28" s="129">
        <f t="shared" si="10"/>
        <v>0.51241107384904694</v>
      </c>
      <c r="Q28" s="117">
        <f t="shared" si="11"/>
        <v>32.110192233966785</v>
      </c>
      <c r="R28" s="19" t="str">
        <f t="shared" si="4"/>
        <v>DUM</v>
      </c>
      <c r="U28" s="4"/>
      <c r="V28" s="155"/>
    </row>
    <row r="29" spans="1:23" s="19" customFormat="1" ht="15" customHeight="1">
      <c r="A29" s="80"/>
      <c r="B29" s="18">
        <f t="shared" si="12"/>
        <v>11</v>
      </c>
      <c r="C29" s="209" t="s">
        <v>577</v>
      </c>
      <c r="D29" s="209" t="s">
        <v>599</v>
      </c>
      <c r="E29" s="227" t="s">
        <v>411</v>
      </c>
      <c r="F29" s="209" t="s">
        <v>588</v>
      </c>
      <c r="G29" s="219">
        <v>2021</v>
      </c>
      <c r="H29" s="209" t="s">
        <v>589</v>
      </c>
      <c r="I29" s="245" t="s">
        <v>586</v>
      </c>
      <c r="J29" s="247">
        <v>9691</v>
      </c>
      <c r="K29" s="248">
        <v>309.29999999999927</v>
      </c>
      <c r="L29" s="246">
        <v>12.64</v>
      </c>
      <c r="M29" s="246">
        <v>398.06000000000074</v>
      </c>
      <c r="N29" s="129">
        <f t="shared" si="8"/>
        <v>0.96073802571907807</v>
      </c>
      <c r="O29" s="129">
        <f t="shared" ref="O29:O38" si="13">+(K29+M29)/(K29+L29+M29)</f>
        <v>0.98244444444444445</v>
      </c>
      <c r="P29" s="129">
        <f t="shared" ref="P29:P38" si="14">+K29/(K29+M29)</f>
        <v>0.43725966975797226</v>
      </c>
      <c r="Q29" s="117">
        <f t="shared" si="11"/>
        <v>31.33204009052707</v>
      </c>
      <c r="R29" s="19" t="str">
        <f t="shared" si="4"/>
        <v>DUM</v>
      </c>
    </row>
    <row r="30" spans="1:23" s="19" customFormat="1" ht="15" customHeight="1">
      <c r="A30" s="80"/>
      <c r="B30" s="18">
        <f t="shared" si="12"/>
        <v>12</v>
      </c>
      <c r="C30" s="209" t="s">
        <v>577</v>
      </c>
      <c r="D30" s="209" t="s">
        <v>600</v>
      </c>
      <c r="E30" s="227" t="s">
        <v>411</v>
      </c>
      <c r="F30" s="209" t="s">
        <v>588</v>
      </c>
      <c r="G30" s="219">
        <v>2021</v>
      </c>
      <c r="H30" s="209" t="s">
        <v>589</v>
      </c>
      <c r="I30" s="245" t="s">
        <v>586</v>
      </c>
      <c r="J30" s="247">
        <v>10791</v>
      </c>
      <c r="K30" s="248">
        <v>333.35000000000036</v>
      </c>
      <c r="L30" s="246">
        <v>37.920000000000009</v>
      </c>
      <c r="M30" s="246">
        <v>348.72999999999968</v>
      </c>
      <c r="N30" s="129">
        <f t="shared" si="8"/>
        <v>0.89786408812993246</v>
      </c>
      <c r="O30" s="129">
        <f t="shared" si="13"/>
        <v>0.94733333333333336</v>
      </c>
      <c r="P30" s="129">
        <v>0</v>
      </c>
      <c r="Q30" s="117">
        <f t="shared" si="11"/>
        <v>32.371381430928416</v>
      </c>
      <c r="R30" s="19" t="str">
        <f t="shared" si="4"/>
        <v>DUM</v>
      </c>
      <c r="U30" s="152"/>
    </row>
    <row r="31" spans="1:23" s="19" customFormat="1" ht="15" customHeight="1">
      <c r="A31" s="80"/>
      <c r="B31" s="18">
        <f t="shared" si="12"/>
        <v>13</v>
      </c>
      <c r="C31" s="209" t="s">
        <v>577</v>
      </c>
      <c r="D31" s="209" t="s">
        <v>601</v>
      </c>
      <c r="E31" s="227" t="s">
        <v>411</v>
      </c>
      <c r="F31" s="209" t="s">
        <v>588</v>
      </c>
      <c r="G31" s="219">
        <v>2021</v>
      </c>
      <c r="H31" s="209" t="s">
        <v>589</v>
      </c>
      <c r="I31" s="245" t="s">
        <v>586</v>
      </c>
      <c r="J31" s="247">
        <v>12529</v>
      </c>
      <c r="K31" s="248">
        <v>366.60000000000036</v>
      </c>
      <c r="L31" s="246">
        <v>6.63</v>
      </c>
      <c r="M31" s="246">
        <v>346.76999999999964</v>
      </c>
      <c r="N31" s="129">
        <f t="shared" si="8"/>
        <v>0.98223615464994773</v>
      </c>
      <c r="O31" s="129">
        <f t="shared" si="13"/>
        <v>0.99079166666666663</v>
      </c>
      <c r="P31" s="129">
        <f t="shared" si="14"/>
        <v>0.51389881828504191</v>
      </c>
      <c r="Q31" s="117">
        <f t="shared" si="11"/>
        <v>34.176213857064887</v>
      </c>
      <c r="R31" s="19" t="str">
        <f t="shared" si="4"/>
        <v>DUM</v>
      </c>
      <c r="U31" s="152"/>
    </row>
    <row r="32" spans="1:23" s="19" customFormat="1" ht="15" customHeight="1">
      <c r="A32" s="80"/>
      <c r="B32" s="18">
        <f t="shared" si="12"/>
        <v>14</v>
      </c>
      <c r="C32" s="209" t="s">
        <v>577</v>
      </c>
      <c r="D32" s="209" t="s">
        <v>602</v>
      </c>
      <c r="E32" s="227" t="s">
        <v>411</v>
      </c>
      <c r="F32" s="209" t="s">
        <v>588</v>
      </c>
      <c r="G32" s="219">
        <v>2021</v>
      </c>
      <c r="H32" s="209" t="s">
        <v>589</v>
      </c>
      <c r="I32" s="245" t="s">
        <v>586</v>
      </c>
      <c r="J32" s="247">
        <v>12111</v>
      </c>
      <c r="K32" s="248">
        <v>360.89999999999964</v>
      </c>
      <c r="L32" s="246">
        <v>7.91</v>
      </c>
      <c r="M32" s="246">
        <v>351.1900000000004</v>
      </c>
      <c r="N32" s="129">
        <f t="shared" si="8"/>
        <v>0.97855264228193373</v>
      </c>
      <c r="O32" s="129">
        <f t="shared" si="13"/>
        <v>0.98901388888888897</v>
      </c>
      <c r="P32" s="129">
        <f t="shared" si="14"/>
        <v>0.50681795840413379</v>
      </c>
      <c r="Q32" s="117">
        <f t="shared" si="11"/>
        <v>33.557772236076509</v>
      </c>
      <c r="R32" s="19" t="str">
        <f t="shared" si="4"/>
        <v>DUM</v>
      </c>
      <c r="U32" s="152"/>
    </row>
    <row r="33" spans="1:23" s="19" customFormat="1" ht="15" customHeight="1">
      <c r="A33" s="80"/>
      <c r="B33" s="18">
        <f t="shared" si="12"/>
        <v>15</v>
      </c>
      <c r="C33" s="209" t="s">
        <v>577</v>
      </c>
      <c r="D33" s="209" t="s">
        <v>603</v>
      </c>
      <c r="E33" s="227" t="s">
        <v>411</v>
      </c>
      <c r="F33" s="209" t="s">
        <v>588</v>
      </c>
      <c r="G33" s="219">
        <v>2021</v>
      </c>
      <c r="H33" s="209" t="s">
        <v>589</v>
      </c>
      <c r="I33" s="245" t="s">
        <v>586</v>
      </c>
      <c r="J33" s="247">
        <v>11946</v>
      </c>
      <c r="K33" s="248">
        <v>341.00000000000091</v>
      </c>
      <c r="L33" s="246">
        <v>5</v>
      </c>
      <c r="M33" s="246">
        <v>373.99999999999909</v>
      </c>
      <c r="N33" s="129">
        <f t="shared" si="8"/>
        <v>0.98554913294797697</v>
      </c>
      <c r="O33" s="129">
        <f t="shared" si="13"/>
        <v>0.99305555555555558</v>
      </c>
      <c r="P33" s="129">
        <f t="shared" si="14"/>
        <v>0.47692307692307817</v>
      </c>
      <c r="Q33" s="117">
        <f t="shared" si="11"/>
        <v>35.032258064516036</v>
      </c>
      <c r="R33" s="19" t="str">
        <f t="shared" si="4"/>
        <v>DUM</v>
      </c>
    </row>
    <row r="34" spans="1:23" s="19" customFormat="1" ht="15" customHeight="1">
      <c r="A34" s="80"/>
      <c r="B34" s="18">
        <f t="shared" si="12"/>
        <v>16</v>
      </c>
      <c r="C34" s="209" t="s">
        <v>577</v>
      </c>
      <c r="D34" s="209" t="s">
        <v>604</v>
      </c>
      <c r="E34" s="227" t="s">
        <v>411</v>
      </c>
      <c r="F34" s="209" t="s">
        <v>588</v>
      </c>
      <c r="G34" s="219">
        <v>2021</v>
      </c>
      <c r="H34" s="209" t="s">
        <v>589</v>
      </c>
      <c r="I34" s="245" t="s">
        <v>586</v>
      </c>
      <c r="J34" s="247">
        <v>11957</v>
      </c>
      <c r="K34" s="248">
        <v>355.64999999999964</v>
      </c>
      <c r="L34" s="246">
        <v>13</v>
      </c>
      <c r="M34" s="246">
        <v>351.35000000000036</v>
      </c>
      <c r="N34" s="129">
        <f>IFERROR((K34/(K34+L34)),"")</f>
        <v>0.96473619964736201</v>
      </c>
      <c r="O34" s="129">
        <f t="shared" si="13"/>
        <v>0.9819444444444444</v>
      </c>
      <c r="P34" s="129">
        <f t="shared" si="14"/>
        <v>0.50304101838755255</v>
      </c>
      <c r="Q34" s="117">
        <f t="shared" si="11"/>
        <v>33.620132152397055</v>
      </c>
      <c r="R34" s="19" t="str">
        <f t="shared" si="4"/>
        <v>DUM</v>
      </c>
    </row>
    <row r="35" spans="1:23" s="19" customFormat="1" ht="15" customHeight="1">
      <c r="A35" s="80"/>
      <c r="B35" s="18">
        <f t="shared" si="12"/>
        <v>17</v>
      </c>
      <c r="C35" s="209" t="s">
        <v>577</v>
      </c>
      <c r="D35" s="209" t="s">
        <v>605</v>
      </c>
      <c r="E35" s="227" t="s">
        <v>411</v>
      </c>
      <c r="F35" s="209" t="s">
        <v>588</v>
      </c>
      <c r="G35" s="219">
        <v>2021</v>
      </c>
      <c r="H35" s="209" t="s">
        <v>589</v>
      </c>
      <c r="I35" s="245" t="s">
        <v>586</v>
      </c>
      <c r="J35" s="247">
        <v>10714</v>
      </c>
      <c r="K35" s="248">
        <v>323.89999999999964</v>
      </c>
      <c r="L35" s="246">
        <v>50.71</v>
      </c>
      <c r="M35" s="246">
        <v>345.39000000000033</v>
      </c>
      <c r="N35" s="129">
        <f t="shared" ref="N35:N38" si="15">IFERROR((K35/(K35+L35)),"")</f>
        <v>0.86463255118656723</v>
      </c>
      <c r="O35" s="129">
        <f t="shared" si="13"/>
        <v>0.92956944444444445</v>
      </c>
      <c r="P35" s="129">
        <f t="shared" si="14"/>
        <v>0.48394567377369996</v>
      </c>
      <c r="Q35" s="117">
        <f t="shared" si="11"/>
        <v>33.078110527940758</v>
      </c>
      <c r="R35" s="19" t="str">
        <f t="shared" si="4"/>
        <v>DUM</v>
      </c>
    </row>
    <row r="36" spans="1:23" s="19" customFormat="1" ht="15" customHeight="1">
      <c r="A36" s="80"/>
      <c r="B36" s="18">
        <f t="shared" si="12"/>
        <v>18</v>
      </c>
      <c r="C36" s="209" t="s">
        <v>577</v>
      </c>
      <c r="D36" s="209" t="s">
        <v>606</v>
      </c>
      <c r="E36" s="227" t="s">
        <v>411</v>
      </c>
      <c r="F36" s="209" t="s">
        <v>588</v>
      </c>
      <c r="G36" s="219">
        <v>2021</v>
      </c>
      <c r="H36" s="209" t="s">
        <v>589</v>
      </c>
      <c r="I36" s="245" t="s">
        <v>586</v>
      </c>
      <c r="J36" s="247">
        <v>11594</v>
      </c>
      <c r="K36" s="248">
        <v>342.15999999999985</v>
      </c>
      <c r="L36" s="246">
        <v>17.04</v>
      </c>
      <c r="M36" s="246">
        <v>360.80000000000018</v>
      </c>
      <c r="N36" s="129">
        <f t="shared" si="15"/>
        <v>0.95256124721603552</v>
      </c>
      <c r="O36" s="129">
        <f t="shared" si="13"/>
        <v>0.97633333333333339</v>
      </c>
      <c r="P36" s="129">
        <f t="shared" si="14"/>
        <v>0.48674177762603821</v>
      </c>
      <c r="Q36" s="117">
        <f t="shared" si="11"/>
        <v>33.884732288987621</v>
      </c>
      <c r="R36" s="19" t="str">
        <f t="shared" si="4"/>
        <v>DUM</v>
      </c>
    </row>
    <row r="37" spans="1:23" s="19" customFormat="1" ht="15" customHeight="1">
      <c r="A37" s="80"/>
      <c r="B37" s="18">
        <f t="shared" si="12"/>
        <v>19</v>
      </c>
      <c r="C37" s="209" t="s">
        <v>577</v>
      </c>
      <c r="D37" s="209" t="s">
        <v>607</v>
      </c>
      <c r="E37" s="227" t="s">
        <v>411</v>
      </c>
      <c r="F37" s="209" t="s">
        <v>588</v>
      </c>
      <c r="G37" s="219">
        <v>2021</v>
      </c>
      <c r="H37" s="209" t="s">
        <v>589</v>
      </c>
      <c r="I37" s="245" t="s">
        <v>586</v>
      </c>
      <c r="J37" s="247">
        <v>10725</v>
      </c>
      <c r="K37" s="248">
        <v>301.65000000000055</v>
      </c>
      <c r="L37" s="246">
        <v>71.45</v>
      </c>
      <c r="M37" s="246">
        <v>346.89999999999941</v>
      </c>
      <c r="N37" s="129">
        <f t="shared" si="15"/>
        <v>0.80849638166711368</v>
      </c>
      <c r="O37" s="129">
        <f t="shared" si="13"/>
        <v>0.90076388888888881</v>
      </c>
      <c r="P37" s="129">
        <f t="shared" si="14"/>
        <v>0.46511448616143791</v>
      </c>
      <c r="Q37" s="117">
        <f t="shared" si="11"/>
        <v>35.554450522128228</v>
      </c>
      <c r="R37" s="19" t="str">
        <f t="shared" si="4"/>
        <v>DUM</v>
      </c>
    </row>
    <row r="38" spans="1:23" s="19" customFormat="1" ht="15" customHeight="1">
      <c r="A38" s="80"/>
      <c r="B38" s="18">
        <f t="shared" si="12"/>
        <v>20</v>
      </c>
      <c r="C38" s="209" t="s">
        <v>577</v>
      </c>
      <c r="D38" s="209" t="s">
        <v>608</v>
      </c>
      <c r="E38" s="227" t="s">
        <v>411</v>
      </c>
      <c r="F38" s="209" t="s">
        <v>588</v>
      </c>
      <c r="G38" s="219">
        <v>2021</v>
      </c>
      <c r="H38" s="209" t="s">
        <v>589</v>
      </c>
      <c r="I38" s="245" t="s">
        <v>586</v>
      </c>
      <c r="J38" s="247">
        <v>8437</v>
      </c>
      <c r="K38" s="248">
        <v>248.76999999999998</v>
      </c>
      <c r="L38" s="246">
        <v>263.90000000000003</v>
      </c>
      <c r="M38" s="246">
        <v>207.32999999999998</v>
      </c>
      <c r="N38" s="129">
        <f t="shared" si="15"/>
        <v>0.48524391909025288</v>
      </c>
      <c r="O38" s="129">
        <f t="shared" si="13"/>
        <v>0.63347222222222221</v>
      </c>
      <c r="P38" s="129">
        <f t="shared" si="14"/>
        <v>0.54542863407147557</v>
      </c>
      <c r="Q38" s="117">
        <f t="shared" si="11"/>
        <v>33.914861116694141</v>
      </c>
      <c r="R38" s="19" t="b">
        <f t="shared" si="4"/>
        <v>0</v>
      </c>
    </row>
    <row r="39" spans="1:23" s="19" customFormat="1" ht="15" customHeight="1">
      <c r="A39" s="80"/>
      <c r="B39" s="18">
        <f t="shared" si="12"/>
        <v>21</v>
      </c>
      <c r="C39" s="209" t="s">
        <v>577</v>
      </c>
      <c r="D39" s="18" t="s">
        <v>2257</v>
      </c>
      <c r="E39" s="20" t="s">
        <v>411</v>
      </c>
      <c r="F39" s="18" t="s">
        <v>2258</v>
      </c>
      <c r="G39" s="18">
        <v>2022</v>
      </c>
      <c r="H39" s="18" t="s">
        <v>589</v>
      </c>
      <c r="I39" s="109" t="s">
        <v>586</v>
      </c>
      <c r="J39" s="135">
        <v>858</v>
      </c>
      <c r="K39" s="136">
        <v>24.369999999999997</v>
      </c>
      <c r="L39" s="116">
        <v>0.5</v>
      </c>
      <c r="M39" s="136">
        <v>695.13</v>
      </c>
      <c r="N39" s="129">
        <f t="shared" ref="N39:N43" si="16">IFERROR((K39/(K39+L39)),"")</f>
        <v>0.97989545637314035</v>
      </c>
      <c r="O39" s="129">
        <f t="shared" ref="O39:O43" si="17">+(K39+M39)/(K39+L39+M39)</f>
        <v>0.99930555555555556</v>
      </c>
      <c r="P39" s="129">
        <f t="shared" ref="P39:P43" si="18">+K39/(K39+M39)</f>
        <v>3.3870743571924947E-2</v>
      </c>
      <c r="Q39" s="117">
        <f t="shared" ref="Q39:Q43" si="19">+IFERROR((J39/K39),"")</f>
        <v>35.207221994255235</v>
      </c>
      <c r="R39" s="19" t="str">
        <f t="shared" si="4"/>
        <v>DUM</v>
      </c>
    </row>
    <row r="40" spans="1:23" s="19" customFormat="1" ht="15" customHeight="1">
      <c r="A40" s="80"/>
      <c r="B40" s="18">
        <f t="shared" si="12"/>
        <v>22</v>
      </c>
      <c r="C40" s="209" t="s">
        <v>577</v>
      </c>
      <c r="D40" s="18" t="s">
        <v>2259</v>
      </c>
      <c r="E40" s="20" t="s">
        <v>411</v>
      </c>
      <c r="F40" s="18" t="s">
        <v>2258</v>
      </c>
      <c r="G40" s="18">
        <v>2022</v>
      </c>
      <c r="H40" s="18" t="s">
        <v>589</v>
      </c>
      <c r="I40" s="109" t="s">
        <v>586</v>
      </c>
      <c r="J40" s="135"/>
      <c r="K40" s="136">
        <v>0</v>
      </c>
      <c r="L40" s="116">
        <v>0.25</v>
      </c>
      <c r="M40" s="136">
        <v>719.75</v>
      </c>
      <c r="N40" s="129">
        <f t="shared" si="16"/>
        <v>0</v>
      </c>
      <c r="O40" s="129">
        <f t="shared" si="17"/>
        <v>0.99965277777777772</v>
      </c>
      <c r="P40" s="129">
        <f t="shared" si="18"/>
        <v>0</v>
      </c>
      <c r="Q40" s="117" t="str">
        <f t="shared" si="19"/>
        <v/>
      </c>
      <c r="R40" s="19" t="str">
        <f t="shared" si="4"/>
        <v>DUM</v>
      </c>
    </row>
    <row r="41" spans="1:23" s="19" customFormat="1" ht="15" customHeight="1">
      <c r="A41" s="80"/>
      <c r="B41" s="18">
        <f t="shared" si="12"/>
        <v>23</v>
      </c>
      <c r="C41" s="209" t="s">
        <v>577</v>
      </c>
      <c r="D41" s="209" t="s">
        <v>2260</v>
      </c>
      <c r="E41" s="227" t="s">
        <v>411</v>
      </c>
      <c r="F41" s="209" t="s">
        <v>2258</v>
      </c>
      <c r="G41" s="219">
        <v>2022</v>
      </c>
      <c r="H41" s="209" t="s">
        <v>589</v>
      </c>
      <c r="I41" s="245" t="s">
        <v>586</v>
      </c>
      <c r="J41" s="247"/>
      <c r="K41" s="248">
        <v>0</v>
      </c>
      <c r="L41" s="246">
        <v>0.5</v>
      </c>
      <c r="M41" s="246">
        <v>719.5</v>
      </c>
      <c r="N41" s="129">
        <f t="shared" si="16"/>
        <v>0</v>
      </c>
      <c r="O41" s="129">
        <f t="shared" si="17"/>
        <v>0.99930555555555556</v>
      </c>
      <c r="P41" s="129">
        <f t="shared" si="18"/>
        <v>0</v>
      </c>
      <c r="Q41" s="117" t="str">
        <f t="shared" si="19"/>
        <v/>
      </c>
      <c r="R41" s="19" t="str">
        <f t="shared" ref="R41:R43" si="20">IF(O41&gt;89.9999999999999%,"DUM")</f>
        <v>DUM</v>
      </c>
    </row>
    <row r="42" spans="1:23" s="19" customFormat="1" ht="15" customHeight="1">
      <c r="A42" s="80"/>
      <c r="B42" s="18">
        <f t="shared" si="12"/>
        <v>24</v>
      </c>
      <c r="C42" s="209" t="s">
        <v>577</v>
      </c>
      <c r="D42" s="18" t="s">
        <v>2261</v>
      </c>
      <c r="E42" s="20" t="s">
        <v>411</v>
      </c>
      <c r="F42" s="18" t="s">
        <v>2258</v>
      </c>
      <c r="G42" s="18">
        <v>2022</v>
      </c>
      <c r="H42" s="18" t="s">
        <v>589</v>
      </c>
      <c r="I42" s="109" t="s">
        <v>586</v>
      </c>
      <c r="J42" s="135">
        <v>132</v>
      </c>
      <c r="K42" s="136">
        <v>4.32</v>
      </c>
      <c r="L42" s="116">
        <v>0.5</v>
      </c>
      <c r="M42" s="136">
        <v>715.18</v>
      </c>
      <c r="N42" s="129">
        <f t="shared" si="16"/>
        <v>0.89626556016597514</v>
      </c>
      <c r="O42" s="129">
        <f t="shared" si="17"/>
        <v>0.99930555555555556</v>
      </c>
      <c r="P42" s="129">
        <f t="shared" si="18"/>
        <v>6.0041695621959696E-3</v>
      </c>
      <c r="Q42" s="117">
        <f t="shared" si="19"/>
        <v>30.555555555555554</v>
      </c>
      <c r="R42" s="19" t="str">
        <f t="shared" si="20"/>
        <v>DUM</v>
      </c>
    </row>
    <row r="43" spans="1:23" s="19" customFormat="1" ht="15" customHeight="1">
      <c r="A43" s="80"/>
      <c r="B43" s="18">
        <f t="shared" si="12"/>
        <v>25</v>
      </c>
      <c r="C43" s="209" t="s">
        <v>577</v>
      </c>
      <c r="D43" s="18" t="s">
        <v>2262</v>
      </c>
      <c r="E43" s="20" t="s">
        <v>411</v>
      </c>
      <c r="F43" s="18" t="s">
        <v>2258</v>
      </c>
      <c r="G43" s="18">
        <v>2022</v>
      </c>
      <c r="H43" s="18" t="s">
        <v>589</v>
      </c>
      <c r="I43" s="109" t="s">
        <v>586</v>
      </c>
      <c r="J43" s="135">
        <v>154</v>
      </c>
      <c r="K43" s="136">
        <v>3.8700000000000045</v>
      </c>
      <c r="L43" s="116">
        <v>0.42000000000000004</v>
      </c>
      <c r="M43" s="136">
        <v>715.71</v>
      </c>
      <c r="N43" s="129">
        <f t="shared" si="16"/>
        <v>0.90209790209790219</v>
      </c>
      <c r="O43" s="129">
        <f t="shared" si="17"/>
        <v>0.99941666666666673</v>
      </c>
      <c r="P43" s="129">
        <f t="shared" si="18"/>
        <v>5.3781372467272635E-3</v>
      </c>
      <c r="Q43" s="117">
        <f t="shared" si="19"/>
        <v>39.793281653746725</v>
      </c>
      <c r="R43" s="19" t="str">
        <f t="shared" si="20"/>
        <v>DUM</v>
      </c>
    </row>
    <row r="44" spans="1:23" s="4" customFormat="1" ht="15" customHeight="1">
      <c r="A44" s="64"/>
      <c r="B44" s="336" t="s">
        <v>22</v>
      </c>
      <c r="C44" s="337"/>
      <c r="D44" s="337"/>
      <c r="E44" s="338"/>
      <c r="F44" s="8">
        <f>+COUNTA(F19:F43)</f>
        <v>25</v>
      </c>
      <c r="G44" s="9"/>
      <c r="H44" s="7"/>
      <c r="I44" s="86"/>
      <c r="J44" s="86"/>
      <c r="K44" s="110"/>
      <c r="L44" s="110"/>
      <c r="M44" s="110"/>
      <c r="N44" s="129"/>
      <c r="O44" s="129"/>
      <c r="P44" s="129"/>
      <c r="Q44" s="117"/>
      <c r="R44" s="4" t="b">
        <f t="shared" si="4"/>
        <v>0</v>
      </c>
      <c r="U44" s="19"/>
      <c r="V44" s="19"/>
      <c r="W44" s="19"/>
    </row>
    <row r="45" spans="1:23" s="19" customFormat="1" ht="8.25" customHeight="1">
      <c r="A45" s="158"/>
      <c r="B45" s="159"/>
      <c r="C45" s="16"/>
      <c r="D45" s="16"/>
      <c r="E45" s="17"/>
      <c r="F45" s="17"/>
      <c r="G45" s="17"/>
      <c r="H45" s="16"/>
      <c r="I45" s="17"/>
      <c r="J45" s="17"/>
      <c r="K45" s="111"/>
      <c r="L45" s="108"/>
      <c r="M45" s="108"/>
      <c r="N45" s="108"/>
      <c r="O45" s="108"/>
      <c r="P45" s="108"/>
      <c r="Q45" s="112"/>
      <c r="R45" s="19" t="b">
        <f t="shared" si="4"/>
        <v>0</v>
      </c>
      <c r="V45" s="152"/>
      <c r="W45" s="4"/>
    </row>
    <row r="46" spans="1:23" s="152" customFormat="1" ht="15" customHeight="1">
      <c r="A46" s="65" t="s">
        <v>95</v>
      </c>
      <c r="B46" s="66" t="s">
        <v>96</v>
      </c>
      <c r="C46" s="4"/>
      <c r="D46" s="4"/>
      <c r="E46" s="4"/>
      <c r="F46" s="16"/>
      <c r="G46" s="4"/>
      <c r="H46" s="4"/>
      <c r="I46" s="4"/>
      <c r="J46" s="4"/>
      <c r="K46" s="108"/>
      <c r="L46" s="108"/>
      <c r="M46" s="108"/>
      <c r="N46" s="108"/>
      <c r="O46" s="108"/>
      <c r="P46" s="108"/>
      <c r="Q46" s="112"/>
      <c r="R46" s="152" t="b">
        <f t="shared" si="4"/>
        <v>0</v>
      </c>
      <c r="U46" s="19"/>
      <c r="W46" s="19"/>
    </row>
    <row r="47" spans="1:23" s="152" customFormat="1" ht="15" customHeight="1">
      <c r="A47" s="64"/>
      <c r="B47" s="6" t="s">
        <v>2</v>
      </c>
      <c r="C47" s="6" t="s">
        <v>3</v>
      </c>
      <c r="D47" s="6" t="s">
        <v>4</v>
      </c>
      <c r="E47" s="6" t="s">
        <v>5</v>
      </c>
      <c r="F47" s="6" t="s">
        <v>6</v>
      </c>
      <c r="G47" s="6" t="s">
        <v>7</v>
      </c>
      <c r="H47" s="6" t="s">
        <v>8</v>
      </c>
      <c r="I47" s="6" t="s">
        <v>9</v>
      </c>
      <c r="J47" s="83" t="s">
        <v>267</v>
      </c>
      <c r="K47" s="6" t="s">
        <v>262</v>
      </c>
      <c r="L47" s="6" t="s">
        <v>268</v>
      </c>
      <c r="M47" s="6" t="s">
        <v>269</v>
      </c>
      <c r="N47" s="6" t="s">
        <v>263</v>
      </c>
      <c r="O47" s="6" t="s">
        <v>264</v>
      </c>
      <c r="P47" s="6" t="s">
        <v>265</v>
      </c>
      <c r="Q47" s="67" t="s">
        <v>266</v>
      </c>
      <c r="R47" s="152" t="str">
        <f t="shared" si="4"/>
        <v>DUM</v>
      </c>
      <c r="U47" s="19"/>
    </row>
    <row r="48" spans="1:23" s="152" customFormat="1" ht="15" customHeight="1">
      <c r="A48" s="64"/>
      <c r="B48" s="18">
        <v>1</v>
      </c>
      <c r="C48" s="209" t="s">
        <v>577</v>
      </c>
      <c r="D48" s="209" t="s">
        <v>609</v>
      </c>
      <c r="E48" s="209" t="s">
        <v>179</v>
      </c>
      <c r="F48" s="209" t="s">
        <v>113</v>
      </c>
      <c r="G48" s="209">
        <v>2014</v>
      </c>
      <c r="H48" s="201" t="s">
        <v>610</v>
      </c>
      <c r="I48" s="209" t="s">
        <v>586</v>
      </c>
      <c r="J48" s="247"/>
      <c r="K48" s="248">
        <v>188.80000000000064</v>
      </c>
      <c r="L48" s="246">
        <v>19.45</v>
      </c>
      <c r="M48" s="246">
        <v>511.74999999999932</v>
      </c>
      <c r="N48" s="129">
        <f>IFERROR((K48/(K48+L48)),"")</f>
        <v>0.90660264105642285</v>
      </c>
      <c r="O48" s="129">
        <f t="shared" ref="O48" si="21">+(K48+M48)/(K48+L48+M48)</f>
        <v>0.972986111111111</v>
      </c>
      <c r="P48" s="129">
        <f t="shared" ref="P48" si="22">+K48/(K48+M48)</f>
        <v>0.26950253372350391</v>
      </c>
      <c r="Q48" s="117"/>
      <c r="R48" s="152" t="str">
        <f t="shared" si="4"/>
        <v>DUM</v>
      </c>
      <c r="U48" s="19"/>
    </row>
    <row r="49" spans="1:21" s="152" customFormat="1" ht="15" customHeight="1">
      <c r="A49" s="64"/>
      <c r="B49" s="18">
        <v>2</v>
      </c>
      <c r="C49" s="209" t="s">
        <v>577</v>
      </c>
      <c r="D49" s="209" t="s">
        <v>611</v>
      </c>
      <c r="E49" s="209" t="s">
        <v>179</v>
      </c>
      <c r="F49" s="209" t="s">
        <v>113</v>
      </c>
      <c r="G49" s="209">
        <v>2014</v>
      </c>
      <c r="H49" s="201" t="s">
        <v>610</v>
      </c>
      <c r="I49" s="209" t="s">
        <v>586</v>
      </c>
      <c r="J49" s="247"/>
      <c r="K49" s="248">
        <v>32.5</v>
      </c>
      <c r="L49" s="246">
        <v>0.7</v>
      </c>
      <c r="M49" s="246">
        <v>686.8</v>
      </c>
      <c r="N49" s="129">
        <f t="shared" ref="N49:N72" si="23">IFERROR((K49/(K49+L49)),"")</f>
        <v>0.97891566265060237</v>
      </c>
      <c r="O49" s="129">
        <f t="shared" ref="O49:O72" si="24">+(K49+M49)/(K49+L49+M49)</f>
        <v>0.99902777777777774</v>
      </c>
      <c r="P49" s="129">
        <f t="shared" ref="P49:P72" si="25">+K49/(K49+M49)</f>
        <v>4.5182816627276523E-2</v>
      </c>
      <c r="Q49" s="117"/>
      <c r="R49" s="152" t="str">
        <f t="shared" si="4"/>
        <v>DUM</v>
      </c>
      <c r="U49" s="19"/>
    </row>
    <row r="50" spans="1:21" s="152" customFormat="1" ht="15" customHeight="1">
      <c r="A50" s="64"/>
      <c r="B50" s="18">
        <v>3</v>
      </c>
      <c r="C50" s="209" t="s">
        <v>577</v>
      </c>
      <c r="D50" s="209" t="s">
        <v>612</v>
      </c>
      <c r="E50" s="209" t="s">
        <v>179</v>
      </c>
      <c r="F50" s="209" t="s">
        <v>113</v>
      </c>
      <c r="G50" s="209">
        <v>2021</v>
      </c>
      <c r="H50" s="201" t="s">
        <v>610</v>
      </c>
      <c r="I50" s="209" t="s">
        <v>586</v>
      </c>
      <c r="J50" s="247"/>
      <c r="K50" s="248">
        <v>364.69999999999891</v>
      </c>
      <c r="L50" s="246">
        <v>23.78</v>
      </c>
      <c r="M50" s="246">
        <v>331.52000000000112</v>
      </c>
      <c r="N50" s="129">
        <f t="shared" si="23"/>
        <v>0.93878706754530472</v>
      </c>
      <c r="O50" s="129">
        <f t="shared" si="24"/>
        <v>0.96697222222222223</v>
      </c>
      <c r="P50" s="129">
        <f t="shared" si="25"/>
        <v>0.52382867484415685</v>
      </c>
      <c r="Q50" s="117"/>
      <c r="R50" s="152" t="str">
        <f t="shared" si="4"/>
        <v>DUM</v>
      </c>
      <c r="U50" s="19"/>
    </row>
    <row r="51" spans="1:21" s="152" customFormat="1" ht="15" customHeight="1">
      <c r="A51" s="64"/>
      <c r="B51" s="18">
        <v>4</v>
      </c>
      <c r="C51" s="209" t="s">
        <v>577</v>
      </c>
      <c r="D51" s="209" t="s">
        <v>1947</v>
      </c>
      <c r="E51" s="209" t="s">
        <v>179</v>
      </c>
      <c r="F51" s="209" t="s">
        <v>113</v>
      </c>
      <c r="G51" s="209">
        <v>2021</v>
      </c>
      <c r="H51" s="201" t="s">
        <v>610</v>
      </c>
      <c r="I51" s="209" t="s">
        <v>586</v>
      </c>
      <c r="J51" s="247"/>
      <c r="K51" s="248">
        <v>476.89999999999873</v>
      </c>
      <c r="L51" s="246">
        <v>4.0100000000000007</v>
      </c>
      <c r="M51" s="246">
        <v>239.09000000000128</v>
      </c>
      <c r="N51" s="129">
        <f t="shared" si="23"/>
        <v>0.99166164147137714</v>
      </c>
      <c r="O51" s="129">
        <f t="shared" si="24"/>
        <v>0.9944305555555556</v>
      </c>
      <c r="P51" s="129">
        <f t="shared" si="25"/>
        <v>0.66607075517814318</v>
      </c>
      <c r="Q51" s="117"/>
      <c r="R51" s="152" t="str">
        <f t="shared" ref="R51" si="26">IF(O51&gt;89.9999999999999%,"DUM")</f>
        <v>DUM</v>
      </c>
      <c r="U51" s="19"/>
    </row>
    <row r="52" spans="1:21" s="152" customFormat="1" ht="15" customHeight="1">
      <c r="A52" s="64"/>
      <c r="B52" s="18">
        <v>5</v>
      </c>
      <c r="C52" s="209" t="s">
        <v>577</v>
      </c>
      <c r="D52" s="209" t="s">
        <v>2254</v>
      </c>
      <c r="E52" s="209" t="s">
        <v>179</v>
      </c>
      <c r="F52" s="209" t="s">
        <v>113</v>
      </c>
      <c r="G52" s="219">
        <v>2021</v>
      </c>
      <c r="H52" s="201" t="s">
        <v>610</v>
      </c>
      <c r="I52" s="209" t="s">
        <v>586</v>
      </c>
      <c r="J52" s="247"/>
      <c r="K52" s="248">
        <v>350.1</v>
      </c>
      <c r="L52" s="246">
        <v>3.91</v>
      </c>
      <c r="M52" s="246">
        <v>365.99</v>
      </c>
      <c r="N52" s="129">
        <v>0</v>
      </c>
      <c r="O52" s="129">
        <f t="shared" si="24"/>
        <v>0.99456944444444451</v>
      </c>
      <c r="P52" s="129">
        <f t="shared" si="25"/>
        <v>0.48890502590456508</v>
      </c>
      <c r="Q52" s="117"/>
      <c r="R52" s="152" t="str">
        <f t="shared" si="4"/>
        <v>DUM</v>
      </c>
      <c r="U52" s="19"/>
    </row>
    <row r="53" spans="1:21" s="152" customFormat="1" ht="15" customHeight="1">
      <c r="A53" s="64"/>
      <c r="B53" s="18">
        <v>6</v>
      </c>
      <c r="C53" s="209" t="s">
        <v>577</v>
      </c>
      <c r="D53" s="209" t="s">
        <v>584</v>
      </c>
      <c r="E53" s="209" t="s">
        <v>179</v>
      </c>
      <c r="F53" s="209" t="s">
        <v>585</v>
      </c>
      <c r="G53" s="209">
        <v>2021</v>
      </c>
      <c r="H53" s="201" t="s">
        <v>613</v>
      </c>
      <c r="I53" s="209" t="s">
        <v>586</v>
      </c>
      <c r="J53" s="247"/>
      <c r="K53" s="248">
        <v>275.66999999999916</v>
      </c>
      <c r="L53" s="246">
        <v>39.870000000000005</v>
      </c>
      <c r="M53" s="246">
        <v>404.46000000000083</v>
      </c>
      <c r="N53" s="129">
        <f t="shared" si="23"/>
        <v>0.87364517969195632</v>
      </c>
      <c r="O53" s="129">
        <f t="shared" si="24"/>
        <v>0.94462500000000005</v>
      </c>
      <c r="P53" s="129">
        <f t="shared" si="25"/>
        <v>0.40531957125843465</v>
      </c>
      <c r="Q53" s="117"/>
      <c r="R53" s="152" t="str">
        <f t="shared" si="4"/>
        <v>DUM</v>
      </c>
      <c r="U53" s="19"/>
    </row>
    <row r="54" spans="1:21" s="152" customFormat="1" ht="15" customHeight="1">
      <c r="A54" s="64"/>
      <c r="B54" s="18">
        <v>7</v>
      </c>
      <c r="C54" s="209" t="s">
        <v>577</v>
      </c>
      <c r="D54" s="209" t="s">
        <v>614</v>
      </c>
      <c r="E54" s="209" t="s">
        <v>179</v>
      </c>
      <c r="F54" s="209" t="s">
        <v>615</v>
      </c>
      <c r="G54" s="209">
        <v>2021</v>
      </c>
      <c r="H54" s="201" t="s">
        <v>616</v>
      </c>
      <c r="I54" s="209" t="s">
        <v>152</v>
      </c>
      <c r="J54" s="247"/>
      <c r="K54" s="248">
        <v>321.30000000000018</v>
      </c>
      <c r="L54" s="246">
        <v>5.32</v>
      </c>
      <c r="M54" s="246">
        <v>393.37999999999977</v>
      </c>
      <c r="N54" s="129">
        <f t="shared" si="23"/>
        <v>0.9837119588512645</v>
      </c>
      <c r="O54" s="129">
        <f t="shared" si="24"/>
        <v>0.992611111111111</v>
      </c>
      <c r="P54" s="129">
        <f t="shared" si="25"/>
        <v>0.44957183634633713</v>
      </c>
      <c r="Q54" s="117"/>
      <c r="R54" s="152" t="str">
        <f t="shared" si="4"/>
        <v>DUM</v>
      </c>
      <c r="U54" s="19"/>
    </row>
    <row r="55" spans="1:21" s="152" customFormat="1" ht="15" customHeight="1">
      <c r="A55" s="64"/>
      <c r="B55" s="18">
        <v>8</v>
      </c>
      <c r="C55" s="209" t="s">
        <v>577</v>
      </c>
      <c r="D55" s="209" t="s">
        <v>1948</v>
      </c>
      <c r="E55" s="209" t="s">
        <v>516</v>
      </c>
      <c r="F55" s="209" t="s">
        <v>2203</v>
      </c>
      <c r="G55" s="209">
        <v>2019</v>
      </c>
      <c r="H55" s="201" t="s">
        <v>1929</v>
      </c>
      <c r="I55" s="209" t="s">
        <v>617</v>
      </c>
      <c r="J55" s="247"/>
      <c r="K55" s="248">
        <v>147.5</v>
      </c>
      <c r="L55" s="246">
        <v>3.42</v>
      </c>
      <c r="M55" s="246">
        <v>569.08000000000004</v>
      </c>
      <c r="N55" s="129">
        <f t="shared" si="23"/>
        <v>0.97733898754306925</v>
      </c>
      <c r="O55" s="129">
        <f t="shared" si="24"/>
        <v>0.99525000000000008</v>
      </c>
      <c r="P55" s="129">
        <f t="shared" si="25"/>
        <v>0.20583884562784335</v>
      </c>
      <c r="Q55" s="117"/>
      <c r="R55" s="152" t="str">
        <f t="shared" si="4"/>
        <v>DUM</v>
      </c>
      <c r="U55" s="19"/>
    </row>
    <row r="56" spans="1:21" s="152" customFormat="1" ht="15" customHeight="1">
      <c r="A56" s="64"/>
      <c r="B56" s="18">
        <v>9</v>
      </c>
      <c r="C56" s="209" t="s">
        <v>577</v>
      </c>
      <c r="D56" s="209" t="s">
        <v>618</v>
      </c>
      <c r="E56" s="209" t="s">
        <v>516</v>
      </c>
      <c r="F56" s="209" t="s">
        <v>619</v>
      </c>
      <c r="G56" s="209">
        <v>2017</v>
      </c>
      <c r="H56" s="201" t="s">
        <v>275</v>
      </c>
      <c r="I56" s="209"/>
      <c r="J56" s="247"/>
      <c r="K56" s="248">
        <v>59.466666666666669</v>
      </c>
      <c r="L56" s="246">
        <v>43.17</v>
      </c>
      <c r="M56" s="246">
        <v>617.36333333333334</v>
      </c>
      <c r="N56" s="129">
        <f t="shared" si="23"/>
        <v>0.57939008151732652</v>
      </c>
      <c r="O56" s="129">
        <f t="shared" si="24"/>
        <v>0.94004166666666678</v>
      </c>
      <c r="P56" s="129">
        <f t="shared" si="25"/>
        <v>8.7860565676265337E-2</v>
      </c>
      <c r="Q56" s="117"/>
      <c r="R56" s="152" t="str">
        <f t="shared" si="4"/>
        <v>DUM</v>
      </c>
      <c r="U56" s="19"/>
    </row>
    <row r="57" spans="1:21" s="152" customFormat="1" ht="15" customHeight="1">
      <c r="A57" s="64"/>
      <c r="B57" s="18">
        <v>10</v>
      </c>
      <c r="C57" s="209" t="s">
        <v>577</v>
      </c>
      <c r="D57" s="209" t="s">
        <v>620</v>
      </c>
      <c r="E57" s="209" t="s">
        <v>516</v>
      </c>
      <c r="F57" s="209" t="s">
        <v>621</v>
      </c>
      <c r="G57" s="209">
        <v>2021</v>
      </c>
      <c r="H57" s="201" t="s">
        <v>275</v>
      </c>
      <c r="I57" s="209"/>
      <c r="J57" s="247"/>
      <c r="K57" s="248">
        <v>141.6</v>
      </c>
      <c r="L57" s="246">
        <v>81.33</v>
      </c>
      <c r="M57" s="246">
        <v>497.06999999999994</v>
      </c>
      <c r="N57" s="129">
        <f t="shared" si="23"/>
        <v>0.63517696137801094</v>
      </c>
      <c r="O57" s="129">
        <f t="shared" si="24"/>
        <v>0.88704166666666662</v>
      </c>
      <c r="P57" s="129">
        <f t="shared" si="25"/>
        <v>0.2217107426370426</v>
      </c>
      <c r="Q57" s="117"/>
      <c r="R57" s="152" t="b">
        <f t="shared" si="4"/>
        <v>0</v>
      </c>
      <c r="U57" s="19"/>
    </row>
    <row r="58" spans="1:21" s="152" customFormat="1" ht="15" customHeight="1">
      <c r="A58" s="64"/>
      <c r="B58" s="18">
        <v>11</v>
      </c>
      <c r="C58" s="209" t="s">
        <v>577</v>
      </c>
      <c r="D58" s="209" t="s">
        <v>1930</v>
      </c>
      <c r="E58" s="209" t="s">
        <v>516</v>
      </c>
      <c r="F58" s="209" t="s">
        <v>621</v>
      </c>
      <c r="G58" s="209">
        <v>2021</v>
      </c>
      <c r="H58" s="201" t="s">
        <v>275</v>
      </c>
      <c r="I58" s="209"/>
      <c r="J58" s="247"/>
      <c r="K58" s="248">
        <v>91.6</v>
      </c>
      <c r="L58" s="246">
        <v>56.75</v>
      </c>
      <c r="M58" s="246">
        <v>571.65</v>
      </c>
      <c r="N58" s="129">
        <f t="shared" si="23"/>
        <v>0.61745871250421303</v>
      </c>
      <c r="O58" s="129">
        <f t="shared" si="24"/>
        <v>0.92118055555555556</v>
      </c>
      <c r="P58" s="129">
        <f t="shared" si="25"/>
        <v>0.1381078024877497</v>
      </c>
      <c r="Q58" s="117"/>
      <c r="R58" s="152" t="str">
        <f t="shared" si="4"/>
        <v>DUM</v>
      </c>
      <c r="U58" s="19"/>
    </row>
    <row r="59" spans="1:21" s="152" customFormat="1" ht="15" customHeight="1">
      <c r="A59" s="64"/>
      <c r="B59" s="18">
        <v>12</v>
      </c>
      <c r="C59" s="209" t="s">
        <v>577</v>
      </c>
      <c r="D59" s="209" t="s">
        <v>1931</v>
      </c>
      <c r="E59" s="209" t="s">
        <v>516</v>
      </c>
      <c r="F59" s="209" t="s">
        <v>621</v>
      </c>
      <c r="G59" s="209">
        <v>2021</v>
      </c>
      <c r="H59" s="201" t="s">
        <v>275</v>
      </c>
      <c r="I59" s="209"/>
      <c r="J59" s="247"/>
      <c r="K59" s="248">
        <v>154.38666666666686</v>
      </c>
      <c r="L59" s="246">
        <v>165.05</v>
      </c>
      <c r="M59" s="246">
        <v>400.56333333333316</v>
      </c>
      <c r="N59" s="129">
        <f t="shared" si="23"/>
        <v>0.48330915883169362</v>
      </c>
      <c r="O59" s="129">
        <f t="shared" si="24"/>
        <v>0.77076388888888892</v>
      </c>
      <c r="P59" s="129">
        <f t="shared" si="25"/>
        <v>0.27819923716851402</v>
      </c>
      <c r="Q59" s="117"/>
      <c r="R59" s="152" t="b">
        <f t="shared" si="4"/>
        <v>0</v>
      </c>
      <c r="U59" s="19"/>
    </row>
    <row r="60" spans="1:21" s="152" customFormat="1" ht="15" customHeight="1">
      <c r="A60" s="64"/>
      <c r="B60" s="18">
        <v>13</v>
      </c>
      <c r="C60" s="209" t="s">
        <v>577</v>
      </c>
      <c r="D60" s="209" t="s">
        <v>622</v>
      </c>
      <c r="E60" s="209" t="s">
        <v>180</v>
      </c>
      <c r="F60" s="209" t="s">
        <v>623</v>
      </c>
      <c r="G60" s="209">
        <v>2021</v>
      </c>
      <c r="H60" s="201" t="s">
        <v>275</v>
      </c>
      <c r="I60" s="209"/>
      <c r="J60" s="247"/>
      <c r="K60" s="248">
        <v>256.60000000000002</v>
      </c>
      <c r="L60" s="246">
        <v>2</v>
      </c>
      <c r="M60" s="246">
        <v>461.4</v>
      </c>
      <c r="N60" s="129">
        <f t="shared" si="23"/>
        <v>0.99226604795050266</v>
      </c>
      <c r="O60" s="129">
        <f t="shared" si="24"/>
        <v>0.99722222222222223</v>
      </c>
      <c r="P60" s="129">
        <f t="shared" si="25"/>
        <v>0.35738161559888582</v>
      </c>
      <c r="Q60" s="117"/>
      <c r="R60" s="152" t="str">
        <f t="shared" si="4"/>
        <v>DUM</v>
      </c>
      <c r="U60" s="19"/>
    </row>
    <row r="61" spans="1:21" s="152" customFormat="1" ht="15" customHeight="1">
      <c r="A61" s="64"/>
      <c r="B61" s="18">
        <v>14</v>
      </c>
      <c r="C61" s="209" t="s">
        <v>577</v>
      </c>
      <c r="D61" s="209" t="s">
        <v>624</v>
      </c>
      <c r="E61" s="209" t="s">
        <v>180</v>
      </c>
      <c r="F61" s="209" t="s">
        <v>623</v>
      </c>
      <c r="G61" s="209">
        <v>2021</v>
      </c>
      <c r="H61" s="201" t="s">
        <v>275</v>
      </c>
      <c r="I61" s="209"/>
      <c r="J61" s="247"/>
      <c r="K61" s="248">
        <v>327.06666666666666</v>
      </c>
      <c r="L61" s="246">
        <v>2</v>
      </c>
      <c r="M61" s="246">
        <v>390.93333333333334</v>
      </c>
      <c r="N61" s="129">
        <f t="shared" si="23"/>
        <v>0.9939222042139384</v>
      </c>
      <c r="O61" s="129">
        <f t="shared" si="24"/>
        <v>0.99722222222222223</v>
      </c>
      <c r="P61" s="129">
        <f t="shared" si="25"/>
        <v>0.45552460538532963</v>
      </c>
      <c r="Q61" s="117"/>
      <c r="R61" s="152" t="str">
        <f t="shared" si="4"/>
        <v>DUM</v>
      </c>
      <c r="U61" s="19"/>
    </row>
    <row r="62" spans="1:21" s="152" customFormat="1" ht="15" customHeight="1">
      <c r="A62" s="153"/>
      <c r="B62" s="18">
        <v>15</v>
      </c>
      <c r="C62" s="209" t="s">
        <v>577</v>
      </c>
      <c r="D62" s="209" t="s">
        <v>625</v>
      </c>
      <c r="E62" s="209" t="s">
        <v>180</v>
      </c>
      <c r="F62" s="209" t="s">
        <v>623</v>
      </c>
      <c r="G62" s="209">
        <v>2021</v>
      </c>
      <c r="H62" s="201" t="s">
        <v>275</v>
      </c>
      <c r="I62" s="209"/>
      <c r="J62" s="247"/>
      <c r="K62" s="248">
        <v>136.6</v>
      </c>
      <c r="L62" s="246">
        <v>1.25</v>
      </c>
      <c r="M62" s="246">
        <v>582.15</v>
      </c>
      <c r="N62" s="129">
        <f t="shared" si="23"/>
        <v>0.99093217265143274</v>
      </c>
      <c r="O62" s="129">
        <f t="shared" si="24"/>
        <v>0.99826388888888884</v>
      </c>
      <c r="P62" s="129">
        <f t="shared" si="25"/>
        <v>0.19005217391304347</v>
      </c>
      <c r="Q62" s="117"/>
      <c r="R62" s="152" t="str">
        <f t="shared" si="4"/>
        <v>DUM</v>
      </c>
    </row>
    <row r="63" spans="1:21" s="152" customFormat="1" ht="15" customHeight="1">
      <c r="A63" s="153"/>
      <c r="B63" s="18">
        <v>16</v>
      </c>
      <c r="C63" s="209" t="s">
        <v>577</v>
      </c>
      <c r="D63" s="209" t="s">
        <v>626</v>
      </c>
      <c r="E63" s="209" t="s">
        <v>180</v>
      </c>
      <c r="F63" s="209" t="s">
        <v>623</v>
      </c>
      <c r="G63" s="209">
        <v>2021</v>
      </c>
      <c r="H63" s="201" t="s">
        <v>275</v>
      </c>
      <c r="I63" s="209"/>
      <c r="J63" s="247"/>
      <c r="K63" s="248">
        <v>209.73333333333332</v>
      </c>
      <c r="L63" s="246">
        <v>37.57</v>
      </c>
      <c r="M63" s="246">
        <v>472.6966666666666</v>
      </c>
      <c r="N63" s="129">
        <f t="shared" si="23"/>
        <v>0.84808130366216927</v>
      </c>
      <c r="O63" s="129">
        <f t="shared" si="24"/>
        <v>0.94781944444444455</v>
      </c>
      <c r="P63" s="129">
        <f t="shared" si="25"/>
        <v>0.30733310864606384</v>
      </c>
      <c r="Q63" s="117"/>
      <c r="R63" s="152" t="str">
        <f t="shared" si="4"/>
        <v>DUM</v>
      </c>
    </row>
    <row r="64" spans="1:21" s="152" customFormat="1" ht="15" customHeight="1">
      <c r="A64" s="153"/>
      <c r="B64" s="18">
        <v>17</v>
      </c>
      <c r="C64" s="209" t="s">
        <v>577</v>
      </c>
      <c r="D64" s="209" t="s">
        <v>627</v>
      </c>
      <c r="E64" s="209" t="s">
        <v>180</v>
      </c>
      <c r="F64" s="209" t="s">
        <v>623</v>
      </c>
      <c r="G64" s="209">
        <v>2021</v>
      </c>
      <c r="H64" s="201" t="s">
        <v>275</v>
      </c>
      <c r="I64" s="209"/>
      <c r="J64" s="247"/>
      <c r="K64" s="248">
        <v>321.7399999999999</v>
      </c>
      <c r="L64" s="246">
        <v>13.27</v>
      </c>
      <c r="M64" s="246">
        <v>384.99000000000012</v>
      </c>
      <c r="N64" s="129">
        <f t="shared" si="23"/>
        <v>0.9603892421121758</v>
      </c>
      <c r="O64" s="129">
        <f t="shared" si="24"/>
        <v>0.98156944444444449</v>
      </c>
      <c r="P64" s="129">
        <f t="shared" si="25"/>
        <v>0.455251651974587</v>
      </c>
      <c r="Q64" s="117"/>
      <c r="R64" s="152" t="str">
        <f t="shared" si="4"/>
        <v>DUM</v>
      </c>
    </row>
    <row r="65" spans="1:23" s="152" customFormat="1" ht="15" customHeight="1">
      <c r="A65" s="153"/>
      <c r="B65" s="18">
        <v>18</v>
      </c>
      <c r="C65" s="209" t="s">
        <v>577</v>
      </c>
      <c r="D65" s="209" t="s">
        <v>628</v>
      </c>
      <c r="E65" s="209" t="s">
        <v>629</v>
      </c>
      <c r="F65" s="209" t="s">
        <v>630</v>
      </c>
      <c r="G65" s="209">
        <v>2021</v>
      </c>
      <c r="H65" s="201" t="s">
        <v>275</v>
      </c>
      <c r="I65" s="209" t="s">
        <v>631</v>
      </c>
      <c r="J65" s="247"/>
      <c r="K65" s="248">
        <v>243.30000000000018</v>
      </c>
      <c r="L65" s="246">
        <v>0.92</v>
      </c>
      <c r="M65" s="246">
        <v>475.77999999999986</v>
      </c>
      <c r="N65" s="129">
        <f t="shared" si="23"/>
        <v>0.99623290475800508</v>
      </c>
      <c r="O65" s="129">
        <f t="shared" si="24"/>
        <v>0.99872222222222229</v>
      </c>
      <c r="P65" s="129">
        <f t="shared" si="25"/>
        <v>0.33834900150191938</v>
      </c>
      <c r="Q65" s="117"/>
      <c r="R65" s="152" t="str">
        <f t="shared" si="4"/>
        <v>DUM</v>
      </c>
    </row>
    <row r="66" spans="1:23" s="152" customFormat="1" ht="15" customHeight="1">
      <c r="A66" s="153"/>
      <c r="B66" s="18">
        <v>19</v>
      </c>
      <c r="C66" s="209" t="s">
        <v>577</v>
      </c>
      <c r="D66" s="209" t="s">
        <v>632</v>
      </c>
      <c r="E66" s="209" t="s">
        <v>629</v>
      </c>
      <c r="F66" s="209" t="s">
        <v>630</v>
      </c>
      <c r="G66" s="209">
        <v>2021</v>
      </c>
      <c r="H66" s="201" t="s">
        <v>275</v>
      </c>
      <c r="I66" s="209" t="s">
        <v>631</v>
      </c>
      <c r="J66" s="247"/>
      <c r="K66" s="248">
        <v>289</v>
      </c>
      <c r="L66" s="246">
        <v>2.5</v>
      </c>
      <c r="M66" s="246">
        <v>428.5</v>
      </c>
      <c r="N66" s="129">
        <f t="shared" si="23"/>
        <v>0.99142367066895365</v>
      </c>
      <c r="O66" s="129">
        <f t="shared" si="24"/>
        <v>0.99652777777777779</v>
      </c>
      <c r="P66" s="129">
        <f t="shared" si="25"/>
        <v>0.40278745644599301</v>
      </c>
      <c r="Q66" s="117"/>
      <c r="R66" s="152" t="str">
        <f t="shared" si="4"/>
        <v>DUM</v>
      </c>
    </row>
    <row r="67" spans="1:23" s="152" customFormat="1" ht="15" customHeight="1">
      <c r="A67" s="153"/>
      <c r="B67" s="18">
        <v>20</v>
      </c>
      <c r="C67" s="209" t="s">
        <v>577</v>
      </c>
      <c r="D67" s="209" t="s">
        <v>633</v>
      </c>
      <c r="E67" s="209" t="s">
        <v>629</v>
      </c>
      <c r="F67" s="209" t="s">
        <v>630</v>
      </c>
      <c r="G67" s="209">
        <v>2021</v>
      </c>
      <c r="H67" s="201" t="s">
        <v>275</v>
      </c>
      <c r="I67" s="209" t="s">
        <v>631</v>
      </c>
      <c r="J67" s="247"/>
      <c r="K67" s="248">
        <v>199.70000000000073</v>
      </c>
      <c r="L67" s="246">
        <v>4</v>
      </c>
      <c r="M67" s="246">
        <v>516.29999999999927</v>
      </c>
      <c r="N67" s="129">
        <f t="shared" si="23"/>
        <v>0.98036327933235157</v>
      </c>
      <c r="O67" s="129">
        <f t="shared" si="24"/>
        <v>0.99444444444444446</v>
      </c>
      <c r="P67" s="129">
        <f t="shared" si="25"/>
        <v>0.27891061452514065</v>
      </c>
      <c r="Q67" s="117"/>
      <c r="R67" s="152" t="str">
        <f t="shared" si="4"/>
        <v>DUM</v>
      </c>
    </row>
    <row r="68" spans="1:23" s="152" customFormat="1" ht="15" customHeight="1">
      <c r="A68" s="153"/>
      <c r="B68" s="18">
        <v>21</v>
      </c>
      <c r="C68" s="209" t="s">
        <v>577</v>
      </c>
      <c r="D68" s="209" t="s">
        <v>634</v>
      </c>
      <c r="E68" s="209" t="s">
        <v>635</v>
      </c>
      <c r="F68" s="209" t="s">
        <v>636</v>
      </c>
      <c r="G68" s="209">
        <v>2021</v>
      </c>
      <c r="H68" s="201" t="s">
        <v>275</v>
      </c>
      <c r="I68" s="209" t="s">
        <v>631</v>
      </c>
      <c r="J68" s="247"/>
      <c r="K68" s="248">
        <v>253.59999999999991</v>
      </c>
      <c r="L68" s="246">
        <v>0.92</v>
      </c>
      <c r="M68" s="246">
        <v>465.48000000000013</v>
      </c>
      <c r="N68" s="129">
        <f t="shared" si="23"/>
        <v>0.99638535282099638</v>
      </c>
      <c r="O68" s="129">
        <f t="shared" si="24"/>
        <v>0.99872222222222229</v>
      </c>
      <c r="P68" s="129">
        <f t="shared" si="25"/>
        <v>0.35267285976525548</v>
      </c>
      <c r="Q68" s="117"/>
      <c r="R68" s="152" t="str">
        <f t="shared" si="4"/>
        <v>DUM</v>
      </c>
    </row>
    <row r="69" spans="1:23" s="152" customFormat="1" ht="15" customHeight="1">
      <c r="A69" s="153"/>
      <c r="B69" s="18">
        <v>22</v>
      </c>
      <c r="C69" s="209" t="s">
        <v>577</v>
      </c>
      <c r="D69" s="209" t="s">
        <v>637</v>
      </c>
      <c r="E69" s="209" t="s">
        <v>635</v>
      </c>
      <c r="F69" s="209" t="s">
        <v>636</v>
      </c>
      <c r="G69" s="209">
        <v>2021</v>
      </c>
      <c r="H69" s="201" t="s">
        <v>275</v>
      </c>
      <c r="I69" s="209" t="s">
        <v>631</v>
      </c>
      <c r="J69" s="247"/>
      <c r="K69" s="248">
        <v>227.39999999999964</v>
      </c>
      <c r="L69" s="246">
        <v>0.75</v>
      </c>
      <c r="M69" s="246">
        <v>491.85000000000036</v>
      </c>
      <c r="N69" s="129">
        <f t="shared" si="23"/>
        <v>0.99671268902038135</v>
      </c>
      <c r="O69" s="129">
        <f t="shared" si="24"/>
        <v>0.99895833333333328</v>
      </c>
      <c r="P69" s="129">
        <f t="shared" si="25"/>
        <v>0.31616266944734045</v>
      </c>
      <c r="Q69" s="117"/>
      <c r="R69" s="152" t="str">
        <f t="shared" si="4"/>
        <v>DUM</v>
      </c>
    </row>
    <row r="70" spans="1:23" s="152" customFormat="1" ht="15" customHeight="1">
      <c r="A70" s="153"/>
      <c r="B70" s="18">
        <v>23</v>
      </c>
      <c r="C70" s="209" t="s">
        <v>577</v>
      </c>
      <c r="D70" s="209" t="s">
        <v>638</v>
      </c>
      <c r="E70" s="209" t="s">
        <v>639</v>
      </c>
      <c r="F70" s="209" t="s">
        <v>640</v>
      </c>
      <c r="G70" s="209">
        <v>2021</v>
      </c>
      <c r="H70" s="201" t="s">
        <v>275</v>
      </c>
      <c r="I70" s="209" t="s">
        <v>641</v>
      </c>
      <c r="J70" s="247"/>
      <c r="K70" s="248">
        <v>60</v>
      </c>
      <c r="L70" s="246">
        <v>0.92</v>
      </c>
      <c r="M70" s="246">
        <v>659.08</v>
      </c>
      <c r="N70" s="129">
        <f t="shared" si="23"/>
        <v>0.98489822718319109</v>
      </c>
      <c r="O70" s="129">
        <f t="shared" si="24"/>
        <v>0.99872222222222229</v>
      </c>
      <c r="P70" s="129">
        <f t="shared" si="25"/>
        <v>8.3439951048562042E-2</v>
      </c>
      <c r="Q70" s="117"/>
      <c r="R70" s="152" t="str">
        <f t="shared" si="4"/>
        <v>DUM</v>
      </c>
    </row>
    <row r="71" spans="1:23" s="152" customFormat="1" ht="15" customHeight="1">
      <c r="A71" s="153"/>
      <c r="B71" s="18">
        <v>24</v>
      </c>
      <c r="C71" s="209" t="s">
        <v>577</v>
      </c>
      <c r="D71" s="209" t="s">
        <v>642</v>
      </c>
      <c r="E71" s="209" t="s">
        <v>643</v>
      </c>
      <c r="F71" s="209" t="s">
        <v>644</v>
      </c>
      <c r="G71" s="209">
        <v>2021</v>
      </c>
      <c r="H71" s="201" t="s">
        <v>275</v>
      </c>
      <c r="I71" s="209" t="s">
        <v>645</v>
      </c>
      <c r="J71" s="247"/>
      <c r="K71" s="248">
        <v>650.01000000000022</v>
      </c>
      <c r="L71" s="246">
        <v>4.91</v>
      </c>
      <c r="M71" s="246">
        <v>65.079999999999814</v>
      </c>
      <c r="N71" s="129">
        <f t="shared" si="23"/>
        <v>0.99250290111769379</v>
      </c>
      <c r="O71" s="129">
        <f t="shared" si="24"/>
        <v>0.99318055555555562</v>
      </c>
      <c r="P71" s="129">
        <f t="shared" si="25"/>
        <v>0.90899047672320998</v>
      </c>
      <c r="Q71" s="117"/>
      <c r="R71" s="152" t="str">
        <f t="shared" si="4"/>
        <v>DUM</v>
      </c>
    </row>
    <row r="72" spans="1:23" s="152" customFormat="1" ht="15" customHeight="1">
      <c r="A72" s="153"/>
      <c r="B72" s="18">
        <v>25</v>
      </c>
      <c r="C72" s="209" t="s">
        <v>577</v>
      </c>
      <c r="D72" s="18" t="s">
        <v>646</v>
      </c>
      <c r="E72" s="18" t="s">
        <v>277</v>
      </c>
      <c r="F72" s="18" t="s">
        <v>647</v>
      </c>
      <c r="G72" s="18">
        <v>2021</v>
      </c>
      <c r="H72" s="21" t="s">
        <v>275</v>
      </c>
      <c r="I72" s="18" t="s">
        <v>648</v>
      </c>
      <c r="J72" s="247"/>
      <c r="K72" s="248">
        <v>24.200000000000045</v>
      </c>
      <c r="L72" s="246">
        <v>1.42</v>
      </c>
      <c r="M72" s="246">
        <v>694.38</v>
      </c>
      <c r="N72" s="129">
        <f t="shared" si="23"/>
        <v>0.94457455113192823</v>
      </c>
      <c r="O72" s="129">
        <f t="shared" si="24"/>
        <v>0.99802777777777785</v>
      </c>
      <c r="P72" s="129">
        <f t="shared" si="25"/>
        <v>3.3677530685518722E-2</v>
      </c>
      <c r="Q72" s="117"/>
      <c r="R72" s="152" t="str">
        <f t="shared" si="4"/>
        <v>DUM</v>
      </c>
    </row>
    <row r="73" spans="1:23" s="152" customFormat="1" ht="15" customHeight="1">
      <c r="A73" s="153"/>
      <c r="B73" s="18">
        <v>26</v>
      </c>
      <c r="C73" s="209" t="s">
        <v>577</v>
      </c>
      <c r="D73" s="18" t="s">
        <v>649</v>
      </c>
      <c r="E73" s="18" t="s">
        <v>516</v>
      </c>
      <c r="F73" s="18" t="s">
        <v>650</v>
      </c>
      <c r="G73" s="18">
        <v>2021</v>
      </c>
      <c r="H73" s="21" t="s">
        <v>275</v>
      </c>
      <c r="I73" s="18" t="s">
        <v>651</v>
      </c>
      <c r="J73" s="247"/>
      <c r="K73" s="248">
        <v>86.299999999999955</v>
      </c>
      <c r="L73" s="246">
        <v>1.25</v>
      </c>
      <c r="M73" s="246">
        <v>632.45000000000005</v>
      </c>
      <c r="N73" s="129">
        <f t="shared" ref="N73:N75" si="27">IFERROR((K73/(K73+L73)),"")</f>
        <v>0.98572244431753286</v>
      </c>
      <c r="O73" s="129">
        <f t="shared" ref="O73:O75" si="28">+(K73+M73)/(K73+L73+M73)</f>
        <v>0.99826388888888884</v>
      </c>
      <c r="P73" s="129">
        <f t="shared" ref="P73:P75" si="29">+K73/(K73+M73)</f>
        <v>0.12006956521739125</v>
      </c>
      <c r="Q73" s="117"/>
      <c r="R73" s="152" t="str">
        <f t="shared" si="4"/>
        <v>DUM</v>
      </c>
    </row>
    <row r="74" spans="1:23" s="15" customFormat="1" ht="15" customHeight="1">
      <c r="A74" s="79"/>
      <c r="B74" s="18">
        <v>27</v>
      </c>
      <c r="C74" s="18" t="s">
        <v>577</v>
      </c>
      <c r="D74" s="18" t="s">
        <v>2255</v>
      </c>
      <c r="E74" s="18" t="s">
        <v>516</v>
      </c>
      <c r="F74" s="18" t="s">
        <v>652</v>
      </c>
      <c r="G74" s="18">
        <v>2021</v>
      </c>
      <c r="H74" s="21" t="s">
        <v>275</v>
      </c>
      <c r="I74" s="18" t="s">
        <v>653</v>
      </c>
      <c r="J74" s="209"/>
      <c r="K74" s="219">
        <v>0</v>
      </c>
      <c r="L74" s="219">
        <v>0.12</v>
      </c>
      <c r="M74" s="219">
        <v>719.88</v>
      </c>
      <c r="N74" s="129">
        <v>0</v>
      </c>
      <c r="O74" s="129">
        <f t="shared" si="28"/>
        <v>0.99983333333333335</v>
      </c>
      <c r="P74" s="129">
        <f t="shared" si="29"/>
        <v>0</v>
      </c>
      <c r="Q74" s="282"/>
      <c r="R74" s="15" t="str">
        <f t="shared" si="4"/>
        <v>DUM</v>
      </c>
      <c r="U74" s="152"/>
      <c r="W74" s="152"/>
    </row>
    <row r="75" spans="1:23" s="152" customFormat="1" ht="15" customHeight="1">
      <c r="A75" s="153"/>
      <c r="B75" s="18">
        <v>28</v>
      </c>
      <c r="C75" s="18" t="s">
        <v>577</v>
      </c>
      <c r="D75" s="18" t="s">
        <v>1949</v>
      </c>
      <c r="E75" s="18" t="s">
        <v>516</v>
      </c>
      <c r="F75" s="18" t="s">
        <v>652</v>
      </c>
      <c r="G75" s="18">
        <v>2021</v>
      </c>
      <c r="H75" s="21" t="s">
        <v>275</v>
      </c>
      <c r="I75" s="18" t="s">
        <v>2256</v>
      </c>
      <c r="J75" s="209"/>
      <c r="K75" s="219">
        <v>162.80000000000018</v>
      </c>
      <c r="L75" s="219">
        <v>12.65</v>
      </c>
      <c r="M75" s="219">
        <v>544.54999999999984</v>
      </c>
      <c r="N75" s="129">
        <f t="shared" si="27"/>
        <v>0.92789968652037624</v>
      </c>
      <c r="O75" s="129">
        <f t="shared" si="28"/>
        <v>0.98243055555555558</v>
      </c>
      <c r="P75" s="129">
        <f t="shared" si="29"/>
        <v>0.23015480313847483</v>
      </c>
      <c r="Q75" s="283"/>
      <c r="R75" s="152" t="str">
        <f t="shared" si="4"/>
        <v>DUM</v>
      </c>
      <c r="W75" s="15"/>
    </row>
    <row r="76" spans="1:23" s="152" customFormat="1" ht="15" hidden="1" customHeight="1">
      <c r="A76" s="153"/>
      <c r="B76" s="18"/>
      <c r="C76" s="18"/>
      <c r="D76" s="18"/>
      <c r="E76" s="18"/>
      <c r="F76" s="18"/>
      <c r="G76" s="18"/>
      <c r="H76" s="21"/>
      <c r="I76" s="18"/>
      <c r="J76" s="19"/>
      <c r="R76" s="152" t="b">
        <f t="shared" si="4"/>
        <v>0</v>
      </c>
    </row>
    <row r="77" spans="1:23" s="152" customFormat="1" ht="15" hidden="1" customHeight="1">
      <c r="A77" s="153"/>
      <c r="B77" s="18"/>
      <c r="C77" s="18"/>
      <c r="D77" s="18"/>
      <c r="E77" s="18"/>
      <c r="F77" s="18"/>
      <c r="G77" s="18"/>
      <c r="H77" s="21"/>
      <c r="I77" s="18"/>
      <c r="J77" s="19"/>
      <c r="R77" s="152" t="b">
        <f t="shared" si="4"/>
        <v>0</v>
      </c>
      <c r="U77" s="15"/>
    </row>
    <row r="78" spans="1:23" s="4" customFormat="1" ht="15" customHeight="1" thickBot="1">
      <c r="A78" s="78"/>
      <c r="B78" s="324" t="s">
        <v>22</v>
      </c>
      <c r="C78" s="325"/>
      <c r="D78" s="325"/>
      <c r="E78" s="326"/>
      <c r="F78" s="70">
        <f>+COUNTA(E48:E77)</f>
        <v>28</v>
      </c>
      <c r="G78" s="71"/>
      <c r="H78" s="72"/>
      <c r="I78" s="72"/>
      <c r="J78" s="113"/>
      <c r="M78" s="152"/>
      <c r="N78" s="152"/>
      <c r="U78" s="152"/>
      <c r="W78" s="152"/>
    </row>
    <row r="79" spans="1:23" s="152" customFormat="1" ht="15" customHeight="1">
      <c r="K79" s="144"/>
      <c r="L79" s="144"/>
      <c r="M79" s="144"/>
      <c r="N79" s="144"/>
      <c r="O79" s="144"/>
      <c r="P79" s="144"/>
      <c r="Q79" s="144"/>
      <c r="W79" s="4"/>
    </row>
    <row r="80" spans="1:23" s="152" customFormat="1" ht="15" customHeight="1">
      <c r="K80" s="144"/>
      <c r="L80" s="144"/>
      <c r="M80" s="144"/>
      <c r="N80" s="144"/>
      <c r="O80" s="144"/>
      <c r="P80" s="144"/>
      <c r="Q80" s="144"/>
    </row>
    <row r="81" spans="1:23" ht="15" customHeight="1">
      <c r="A81" s="160"/>
      <c r="B81" s="160"/>
      <c r="C81" s="160"/>
      <c r="D81" s="160"/>
      <c r="E81" s="160"/>
      <c r="F81" s="160"/>
      <c r="G81" s="160"/>
      <c r="H81" s="160"/>
      <c r="I81" s="160"/>
      <c r="J81" s="160"/>
      <c r="K81" s="144"/>
      <c r="L81" s="144"/>
      <c r="M81" s="144"/>
      <c r="N81" s="144"/>
      <c r="O81" s="144"/>
      <c r="P81" s="144"/>
      <c r="Q81" s="144"/>
      <c r="U81" s="4"/>
      <c r="W81" s="152"/>
    </row>
    <row r="82" spans="1:23" ht="15" customHeight="1">
      <c r="A82" s="160"/>
      <c r="B82" s="160"/>
      <c r="C82" s="160"/>
      <c r="D82" s="160"/>
      <c r="E82" s="160"/>
      <c r="F82" s="160"/>
      <c r="G82" s="160"/>
      <c r="H82" s="160"/>
      <c r="I82" s="160"/>
      <c r="J82" s="160"/>
      <c r="K82" s="144"/>
      <c r="L82" s="144"/>
      <c r="M82" s="144"/>
      <c r="N82" s="144"/>
      <c r="O82" s="144"/>
      <c r="P82" s="144"/>
      <c r="Q82" s="144"/>
      <c r="U82" s="152"/>
    </row>
    <row r="83" spans="1:23" ht="15" customHeight="1">
      <c r="A83" s="160"/>
      <c r="B83" s="160"/>
      <c r="C83" s="160"/>
      <c r="D83" s="160"/>
      <c r="E83" s="160"/>
      <c r="F83" s="160"/>
      <c r="G83" s="160"/>
      <c r="H83" s="160"/>
      <c r="I83" s="160"/>
      <c r="J83" s="160"/>
      <c r="K83" s="144"/>
      <c r="L83" s="144"/>
      <c r="M83" s="144"/>
      <c r="N83" s="144"/>
      <c r="O83" s="144"/>
      <c r="P83" s="144"/>
      <c r="Q83" s="144"/>
      <c r="U83" s="152"/>
    </row>
    <row r="84" spans="1:23" ht="15" customHeight="1">
      <c r="A84" s="160"/>
      <c r="B84" s="160"/>
      <c r="C84" s="160"/>
      <c r="D84" s="160"/>
      <c r="E84" s="160"/>
      <c r="F84" s="160"/>
      <c r="G84" s="160"/>
      <c r="H84" s="160"/>
      <c r="I84" s="160"/>
      <c r="J84" s="160"/>
      <c r="K84" s="144"/>
      <c r="L84" s="144"/>
      <c r="M84" s="144"/>
      <c r="N84" s="144"/>
      <c r="O84" s="144"/>
      <c r="P84" s="144"/>
      <c r="Q84" s="144"/>
    </row>
    <row r="85" spans="1:23" ht="12.75" customHeight="1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44"/>
      <c r="L85" s="144"/>
      <c r="M85" s="144"/>
      <c r="N85" s="144"/>
      <c r="O85" s="144"/>
      <c r="P85" s="144"/>
      <c r="Q85" s="144"/>
    </row>
    <row r="86" spans="1:23" ht="12.75" customHeight="1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K86" s="144"/>
      <c r="L86" s="144"/>
      <c r="M86" s="144"/>
      <c r="N86" s="144"/>
      <c r="O86" s="144"/>
      <c r="P86" s="144"/>
      <c r="Q86" s="144"/>
    </row>
    <row r="87" spans="1:23" ht="12.75" customHeight="1">
      <c r="A87" s="160"/>
      <c r="B87" s="160"/>
      <c r="C87" s="160"/>
      <c r="D87" s="160"/>
      <c r="E87" s="160"/>
      <c r="F87" s="160"/>
      <c r="G87" s="160"/>
      <c r="H87" s="160"/>
      <c r="I87" s="160"/>
      <c r="J87" s="160"/>
      <c r="K87" s="144"/>
      <c r="L87" s="144"/>
      <c r="M87" s="144"/>
      <c r="N87" s="144"/>
      <c r="O87" s="144"/>
      <c r="P87" s="144"/>
      <c r="Q87" s="144"/>
    </row>
    <row r="88" spans="1:23" ht="12.75" customHeight="1">
      <c r="A88" s="160"/>
      <c r="B88" s="160"/>
      <c r="C88" s="160"/>
      <c r="D88" s="160"/>
      <c r="E88" s="160"/>
      <c r="F88" s="160"/>
      <c r="G88" s="160"/>
      <c r="H88" s="160"/>
      <c r="I88" s="160"/>
      <c r="J88" s="160"/>
      <c r="K88" s="144"/>
      <c r="L88" s="144"/>
      <c r="M88" s="144"/>
      <c r="N88" s="144"/>
      <c r="O88" s="144"/>
      <c r="P88" s="144"/>
      <c r="Q88" s="144"/>
    </row>
    <row r="89" spans="1:23" ht="12.75" customHeight="1">
      <c r="A89" s="160"/>
      <c r="B89" s="160"/>
      <c r="C89" s="160"/>
      <c r="D89" s="160"/>
      <c r="E89" s="160"/>
      <c r="F89" s="160"/>
      <c r="G89" s="160"/>
      <c r="H89" s="160"/>
      <c r="I89" s="160"/>
      <c r="J89" s="160"/>
      <c r="K89" s="144"/>
      <c r="L89" s="144"/>
      <c r="M89" s="144"/>
      <c r="N89" s="144"/>
      <c r="O89" s="144"/>
      <c r="P89" s="144"/>
      <c r="Q89" s="144"/>
    </row>
    <row r="90" spans="1:23" ht="12.75" customHeight="1">
      <c r="A90" s="160"/>
      <c r="B90" s="160"/>
      <c r="C90" s="160"/>
      <c r="D90" s="160"/>
      <c r="E90" s="160"/>
      <c r="F90" s="160"/>
      <c r="G90" s="160"/>
      <c r="H90" s="160"/>
      <c r="I90" s="160"/>
      <c r="J90" s="160"/>
      <c r="K90" s="144"/>
      <c r="L90" s="144"/>
      <c r="M90" s="144"/>
      <c r="N90" s="144"/>
      <c r="O90" s="144"/>
      <c r="P90" s="144"/>
      <c r="Q90" s="144"/>
    </row>
    <row r="91" spans="1:23" ht="12.75" customHeight="1">
      <c r="K91" s="144"/>
      <c r="L91" s="144"/>
      <c r="M91" s="144"/>
      <c r="N91" s="144"/>
      <c r="O91" s="144"/>
      <c r="P91" s="144"/>
      <c r="Q91" s="144"/>
    </row>
    <row r="92" spans="1:23" ht="12.75" customHeight="1">
      <c r="K92" s="144"/>
      <c r="L92" s="144"/>
      <c r="M92" s="144"/>
      <c r="N92" s="144"/>
      <c r="O92" s="144"/>
      <c r="P92" s="144"/>
      <c r="Q92" s="144"/>
    </row>
    <row r="93" spans="1:23" ht="12.75" customHeight="1">
      <c r="K93" s="144"/>
      <c r="L93" s="144"/>
      <c r="M93" s="144"/>
      <c r="N93" s="144"/>
      <c r="O93" s="144"/>
      <c r="P93" s="144"/>
      <c r="Q93" s="144"/>
    </row>
    <row r="94" spans="1:23" ht="12.75" customHeight="1">
      <c r="K94" s="144"/>
      <c r="L94" s="144"/>
      <c r="M94" s="144"/>
      <c r="N94" s="144"/>
      <c r="O94" s="144"/>
      <c r="P94" s="144"/>
      <c r="Q94" s="144"/>
    </row>
    <row r="95" spans="1:23" ht="12.75" customHeight="1">
      <c r="K95" s="144"/>
      <c r="L95" s="144"/>
      <c r="M95" s="144"/>
      <c r="N95" s="144"/>
      <c r="O95" s="144"/>
      <c r="P95" s="144"/>
      <c r="Q95" s="144"/>
    </row>
    <row r="96" spans="1:23" ht="12.75" customHeight="1">
      <c r="K96" s="144"/>
      <c r="L96" s="144"/>
      <c r="M96" s="144"/>
      <c r="N96" s="144"/>
      <c r="O96" s="144"/>
      <c r="P96" s="144"/>
      <c r="Q96" s="144"/>
    </row>
    <row r="97" spans="11:17" ht="12.75" customHeight="1">
      <c r="K97" s="144"/>
      <c r="L97" s="144"/>
      <c r="M97" s="144"/>
      <c r="N97" s="144"/>
      <c r="O97" s="144"/>
      <c r="P97" s="144"/>
      <c r="Q97" s="144"/>
    </row>
    <row r="98" spans="11:17" ht="12.75" customHeight="1">
      <c r="K98" s="144"/>
      <c r="L98" s="144"/>
      <c r="M98" s="144"/>
      <c r="N98" s="144"/>
      <c r="O98" s="144"/>
      <c r="P98" s="144"/>
      <c r="Q98" s="144"/>
    </row>
    <row r="99" spans="11:17" ht="12.75" customHeight="1">
      <c r="K99" s="144"/>
      <c r="L99" s="144"/>
      <c r="M99" s="144"/>
      <c r="N99" s="144"/>
      <c r="O99" s="144"/>
      <c r="P99" s="144"/>
      <c r="Q99" s="144"/>
    </row>
    <row r="100" spans="11:17">
      <c r="K100" s="144"/>
      <c r="L100" s="144"/>
      <c r="M100" s="144"/>
      <c r="N100" s="144"/>
      <c r="O100" s="144"/>
      <c r="P100" s="144"/>
      <c r="Q100" s="144"/>
    </row>
    <row r="101" spans="11:17">
      <c r="K101" s="144"/>
      <c r="L101" s="144"/>
      <c r="M101" s="144"/>
      <c r="N101" s="144"/>
      <c r="O101" s="144"/>
      <c r="P101" s="144"/>
      <c r="Q101" s="144"/>
    </row>
    <row r="102" spans="11:17">
      <c r="K102" s="144"/>
      <c r="L102" s="144"/>
      <c r="M102" s="144"/>
      <c r="N102" s="144"/>
      <c r="O102" s="144"/>
      <c r="P102" s="144"/>
      <c r="Q102" s="144"/>
    </row>
    <row r="103" spans="11:17">
      <c r="K103" s="144"/>
      <c r="L103" s="144"/>
      <c r="M103" s="144"/>
      <c r="N103" s="144"/>
      <c r="O103" s="144"/>
      <c r="P103" s="144"/>
      <c r="Q103" s="144"/>
    </row>
    <row r="104" spans="11:17">
      <c r="K104" s="144"/>
      <c r="L104" s="144"/>
      <c r="M104" s="144"/>
      <c r="N104" s="144"/>
      <c r="O104" s="144"/>
      <c r="P104" s="144"/>
      <c r="Q104" s="144"/>
    </row>
    <row r="105" spans="11:17">
      <c r="K105" s="144"/>
      <c r="L105" s="144"/>
      <c r="M105" s="144"/>
      <c r="N105" s="144"/>
      <c r="O105" s="144"/>
      <c r="P105" s="144"/>
      <c r="Q105" s="144"/>
    </row>
    <row r="106" spans="11:17">
      <c r="K106" s="144"/>
      <c r="L106" s="144"/>
      <c r="M106" s="144"/>
      <c r="N106" s="144"/>
      <c r="O106" s="144"/>
      <c r="P106" s="144"/>
      <c r="Q106" s="144"/>
    </row>
    <row r="107" spans="11:17">
      <c r="K107" s="144"/>
      <c r="L107" s="144"/>
      <c r="M107" s="144"/>
      <c r="N107" s="144"/>
      <c r="O107" s="144"/>
      <c r="P107" s="144"/>
      <c r="Q107" s="144"/>
    </row>
    <row r="108" spans="11:17">
      <c r="K108" s="144"/>
      <c r="L108" s="144"/>
      <c r="M108" s="144"/>
      <c r="N108" s="144"/>
      <c r="O108" s="144"/>
      <c r="P108" s="144"/>
      <c r="Q108" s="144"/>
    </row>
    <row r="109" spans="11:17">
      <c r="K109" s="144"/>
      <c r="L109" s="144"/>
      <c r="M109" s="144"/>
      <c r="N109" s="144"/>
      <c r="O109" s="144"/>
      <c r="P109" s="144"/>
      <c r="Q109" s="144"/>
    </row>
    <row r="110" spans="11:17">
      <c r="K110" s="144"/>
      <c r="L110" s="144"/>
      <c r="M110" s="144"/>
      <c r="N110" s="144"/>
      <c r="O110" s="144"/>
      <c r="P110" s="144"/>
      <c r="Q110" s="144"/>
    </row>
    <row r="111" spans="11:17">
      <c r="K111" s="144"/>
      <c r="L111" s="144"/>
      <c r="M111" s="144"/>
      <c r="N111" s="144"/>
      <c r="O111" s="144"/>
      <c r="P111" s="144"/>
      <c r="Q111" s="144"/>
    </row>
    <row r="112" spans="11:17">
      <c r="K112" s="144"/>
      <c r="L112" s="144"/>
      <c r="M112" s="144"/>
      <c r="N112" s="144"/>
      <c r="O112" s="144"/>
      <c r="P112" s="144"/>
      <c r="Q112" s="144"/>
    </row>
    <row r="113" spans="11:17">
      <c r="K113" s="144"/>
      <c r="L113" s="144"/>
      <c r="M113" s="144"/>
      <c r="N113" s="144"/>
      <c r="O113" s="144"/>
      <c r="P113" s="144"/>
      <c r="Q113" s="144"/>
    </row>
    <row r="114" spans="11:17">
      <c r="K114" s="144"/>
      <c r="L114" s="144"/>
      <c r="M114" s="144"/>
      <c r="N114" s="144"/>
      <c r="O114" s="144"/>
      <c r="P114" s="144"/>
      <c r="Q114" s="144"/>
    </row>
    <row r="115" spans="11:17">
      <c r="K115" s="144"/>
      <c r="L115" s="144"/>
      <c r="M115" s="144"/>
      <c r="N115" s="144"/>
      <c r="O115" s="144"/>
      <c r="P115" s="144"/>
      <c r="Q115" s="144"/>
    </row>
    <row r="116" spans="11:17">
      <c r="K116" s="144"/>
      <c r="L116" s="144"/>
      <c r="M116" s="144"/>
      <c r="N116" s="144"/>
      <c r="O116" s="144"/>
      <c r="P116" s="144"/>
      <c r="Q116" s="144"/>
    </row>
    <row r="117" spans="11:17">
      <c r="K117" s="144"/>
      <c r="L117" s="144"/>
      <c r="M117" s="144"/>
      <c r="N117" s="144"/>
      <c r="O117" s="144"/>
      <c r="P117" s="144"/>
      <c r="Q117" s="144"/>
    </row>
    <row r="118" spans="11:17">
      <c r="K118" s="144"/>
      <c r="L118" s="144"/>
      <c r="M118" s="144"/>
      <c r="N118" s="144"/>
      <c r="O118" s="144"/>
      <c r="P118" s="144"/>
      <c r="Q118" s="144"/>
    </row>
    <row r="119" spans="11:17">
      <c r="K119" s="144"/>
      <c r="L119" s="144"/>
      <c r="M119" s="144"/>
      <c r="N119" s="144"/>
      <c r="O119" s="144"/>
      <c r="P119" s="144"/>
      <c r="Q119" s="144"/>
    </row>
    <row r="120" spans="11:17">
      <c r="K120" s="144"/>
      <c r="L120" s="144"/>
      <c r="M120" s="144"/>
      <c r="N120" s="144"/>
      <c r="O120" s="144"/>
      <c r="P120" s="144"/>
      <c r="Q120" s="144"/>
    </row>
    <row r="121" spans="11:17">
      <c r="K121" s="144"/>
      <c r="L121" s="144"/>
      <c r="M121" s="144"/>
      <c r="N121" s="144"/>
      <c r="O121" s="144"/>
      <c r="P121" s="144"/>
      <c r="Q121" s="144"/>
    </row>
    <row r="122" spans="11:17">
      <c r="K122" s="144"/>
      <c r="L122" s="144"/>
      <c r="M122" s="144"/>
      <c r="N122" s="144"/>
      <c r="O122" s="144"/>
      <c r="P122" s="144"/>
      <c r="Q122" s="144"/>
    </row>
  </sheetData>
  <mergeCells count="9">
    <mergeCell ref="B15:E15"/>
    <mergeCell ref="B44:E44"/>
    <mergeCell ref="B78:E78"/>
    <mergeCell ref="A1:Q1"/>
    <mergeCell ref="A2:Q2"/>
    <mergeCell ref="A3:C3"/>
    <mergeCell ref="A6:C6"/>
    <mergeCell ref="A7:C7"/>
    <mergeCell ref="D7:E7"/>
  </mergeCells>
  <dataValidations disablePrompts="1" count="2">
    <dataValidation type="list" allowBlank="1" showInputMessage="1" showErrorMessage="1" sqref="D6" xr:uid="{8AD05383-EA3D-4766-9262-879078000579}">
      <formula1>$V$4:$V$14</formula1>
    </dataValidation>
    <dataValidation type="list" allowBlank="1" showInputMessage="1" showErrorMessage="1" sqref="D3" xr:uid="{D1B325D6-EFA9-4FA8-978C-4C143FA2F35F}">
      <formula1>$U$4:$U$17</formula1>
    </dataValidation>
  </dataValidations>
  <printOptions horizontalCentered="1"/>
  <pageMargins left="0.4" right="0.4" top="0.7" bottom="0.7" header="0" footer="0.3"/>
  <pageSetup paperSize="9" scale="48" fitToHeight="0" orientation="portrait" horizontalDpi="4294967294" verticalDpi="4294967294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W117"/>
  <sheetViews>
    <sheetView showGridLines="0" view="pageBreakPreview" topLeftCell="E4" zoomScaleNormal="100" zoomScaleSheetLayoutView="100" workbookViewId="0">
      <selection activeCell="J24" sqref="J24"/>
    </sheetView>
  </sheetViews>
  <sheetFormatPr defaultColWidth="10.28515625" defaultRowHeight="15"/>
  <cols>
    <col min="1" max="1" width="3.85546875" style="108" customWidth="1"/>
    <col min="2" max="2" width="4.140625" style="108" customWidth="1"/>
    <col min="3" max="3" width="12" style="108" customWidth="1"/>
    <col min="4" max="4" width="17.85546875" style="108" customWidth="1"/>
    <col min="5" max="5" width="16.140625" style="108" customWidth="1"/>
    <col min="6" max="6" width="14.28515625" style="108" customWidth="1"/>
    <col min="7" max="7" width="11" style="108" customWidth="1"/>
    <col min="8" max="8" width="14.85546875" style="108" customWidth="1"/>
    <col min="9" max="9" width="16.85546875" style="108" customWidth="1"/>
    <col min="10" max="10" width="14.28515625" style="108" customWidth="1"/>
    <col min="11" max="16" width="8.85546875" style="1" customWidth="1"/>
    <col min="17" max="17" width="15.42578125" style="1" customWidth="1"/>
    <col min="18" max="18" width="18.140625" style="108" customWidth="1"/>
    <col min="19" max="19" width="10.28515625" style="108"/>
    <col min="20" max="20" width="0" style="108" hidden="1" customWidth="1"/>
    <col min="21" max="22" width="16.42578125" style="108" hidden="1" customWidth="1"/>
    <col min="23" max="23" width="15.140625" style="108" customWidth="1"/>
    <col min="24" max="16384" width="10.28515625" style="108"/>
  </cols>
  <sheetData>
    <row r="1" spans="1:23" s="52" customFormat="1" ht="24" customHeight="1">
      <c r="A1" s="339" t="s">
        <v>249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1"/>
    </row>
    <row r="2" spans="1:23" s="52" customFormat="1" ht="15" customHeight="1" thickBot="1">
      <c r="A2" s="342" t="s">
        <v>260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4"/>
    </row>
    <row r="3" spans="1:23" s="52" customFormat="1" ht="15" customHeight="1" thickTop="1">
      <c r="A3" s="345" t="s">
        <v>250</v>
      </c>
      <c r="B3" s="346"/>
      <c r="C3" s="346"/>
      <c r="D3" s="53" t="s">
        <v>339</v>
      </c>
      <c r="E3" s="54"/>
      <c r="F3" s="54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  <c r="U3" s="52" t="s">
        <v>250</v>
      </c>
      <c r="V3" s="52" t="s">
        <v>251</v>
      </c>
    </row>
    <row r="4" spans="1:23" s="52" customFormat="1" ht="15" customHeight="1">
      <c r="A4" s="81"/>
      <c r="B4" s="82"/>
      <c r="C4" s="82"/>
      <c r="D4" s="57" t="s">
        <v>252</v>
      </c>
      <c r="E4" s="58"/>
      <c r="F4" s="58"/>
      <c r="G4" s="4"/>
      <c r="H4" s="4"/>
      <c r="I4" s="4"/>
      <c r="J4" s="4"/>
      <c r="K4" s="4"/>
      <c r="L4" s="4"/>
      <c r="M4" s="4"/>
      <c r="N4" s="4"/>
      <c r="O4" s="4"/>
      <c r="P4" s="4"/>
      <c r="Q4" s="59"/>
      <c r="U4" s="52" t="s">
        <v>185</v>
      </c>
      <c r="V4" s="63" t="s">
        <v>467</v>
      </c>
    </row>
    <row r="5" spans="1:23" s="52" customFormat="1" ht="15" customHeight="1">
      <c r="A5" s="81"/>
      <c r="B5" s="82"/>
      <c r="C5" s="82"/>
      <c r="D5" s="57" t="s">
        <v>253</v>
      </c>
      <c r="E5" s="58"/>
      <c r="F5" s="58"/>
      <c r="G5" s="4"/>
      <c r="H5" s="4"/>
      <c r="I5" s="4"/>
      <c r="J5" s="4"/>
      <c r="K5" s="4"/>
      <c r="L5" s="4"/>
      <c r="M5" s="4"/>
      <c r="N5" s="4"/>
      <c r="O5" s="4"/>
      <c r="P5" s="4"/>
      <c r="Q5" s="59"/>
      <c r="U5" s="52" t="s">
        <v>261</v>
      </c>
      <c r="V5" s="63" t="s">
        <v>465</v>
      </c>
    </row>
    <row r="6" spans="1:23" s="52" customFormat="1" ht="15" customHeight="1">
      <c r="A6" s="347" t="s">
        <v>254</v>
      </c>
      <c r="B6" s="348"/>
      <c r="C6" s="348"/>
      <c r="D6" s="58" t="s">
        <v>572</v>
      </c>
      <c r="E6" s="58"/>
      <c r="F6" s="58"/>
      <c r="G6" s="4"/>
      <c r="H6" s="4"/>
      <c r="I6" s="4"/>
      <c r="J6" s="4"/>
      <c r="K6" s="4"/>
      <c r="L6" s="4"/>
      <c r="M6" s="4"/>
      <c r="N6" s="4"/>
      <c r="O6" s="4"/>
      <c r="P6" s="4"/>
      <c r="Q6" s="59"/>
      <c r="U6" s="52" t="s">
        <v>187</v>
      </c>
      <c r="V6" s="63" t="s">
        <v>466</v>
      </c>
    </row>
    <row r="7" spans="1:23" s="1" customFormat="1" ht="15" customHeight="1" thickBot="1">
      <c r="A7" s="349" t="s">
        <v>255</v>
      </c>
      <c r="B7" s="350"/>
      <c r="C7" s="350"/>
      <c r="D7" s="351">
        <f>Pama!D7</f>
        <v>44652</v>
      </c>
      <c r="E7" s="351"/>
      <c r="F7" s="60"/>
      <c r="G7" s="61"/>
      <c r="H7" s="61"/>
      <c r="I7" s="84"/>
      <c r="J7" s="84"/>
      <c r="K7" s="84"/>
      <c r="L7" s="84"/>
      <c r="M7" s="84"/>
      <c r="N7" s="84"/>
      <c r="O7" s="84"/>
      <c r="P7" s="84"/>
      <c r="Q7" s="62" t="s">
        <v>541</v>
      </c>
      <c r="U7" s="52" t="s">
        <v>256</v>
      </c>
      <c r="V7" s="63" t="s">
        <v>340</v>
      </c>
      <c r="W7" s="52"/>
    </row>
    <row r="8" spans="1:23" s="152" customFormat="1" ht="8.25" customHeight="1" thickTop="1">
      <c r="A8" s="64"/>
      <c r="B8" s="4"/>
      <c r="C8" s="4"/>
      <c r="D8" s="4"/>
      <c r="E8" s="4"/>
      <c r="F8" s="16"/>
      <c r="G8" s="4"/>
      <c r="H8" s="4"/>
      <c r="I8" s="4"/>
      <c r="J8" s="4"/>
      <c r="K8" s="4"/>
      <c r="L8" s="4"/>
      <c r="M8" s="4"/>
      <c r="N8" s="4"/>
      <c r="O8" s="4"/>
      <c r="P8" s="4"/>
      <c r="Q8" s="59"/>
      <c r="U8" s="52" t="s">
        <v>191</v>
      </c>
      <c r="V8" s="63" t="s">
        <v>468</v>
      </c>
      <c r="W8" s="1"/>
    </row>
    <row r="9" spans="1:23" s="152" customFormat="1" ht="15" customHeight="1">
      <c r="A9" s="65" t="s">
        <v>0</v>
      </c>
      <c r="B9" s="66" t="s">
        <v>1</v>
      </c>
      <c r="C9" s="4"/>
      <c r="D9" s="4"/>
      <c r="E9" s="4"/>
      <c r="F9" s="16"/>
      <c r="G9" s="4"/>
      <c r="H9" s="4"/>
      <c r="I9" s="4"/>
      <c r="J9" s="4"/>
      <c r="K9" s="93"/>
      <c r="L9" s="4"/>
      <c r="M9" s="4"/>
      <c r="N9" s="4"/>
      <c r="O9" s="4"/>
      <c r="P9" s="4"/>
      <c r="Q9" s="59"/>
      <c r="U9" s="52" t="s">
        <v>434</v>
      </c>
      <c r="V9" s="63" t="s">
        <v>573</v>
      </c>
    </row>
    <row r="10" spans="1:23" s="152" customFormat="1" ht="15" customHeight="1">
      <c r="A10" s="64"/>
      <c r="B10" s="6" t="s">
        <v>2</v>
      </c>
      <c r="C10" s="6" t="s">
        <v>3</v>
      </c>
      <c r="D10" s="6" t="s">
        <v>4</v>
      </c>
      <c r="E10" s="6" t="s">
        <v>5</v>
      </c>
      <c r="F10" s="6" t="s">
        <v>6</v>
      </c>
      <c r="G10" s="6" t="s">
        <v>7</v>
      </c>
      <c r="H10" s="6" t="s">
        <v>8</v>
      </c>
      <c r="I10" s="83" t="s">
        <v>9</v>
      </c>
      <c r="J10" s="83" t="s">
        <v>267</v>
      </c>
      <c r="K10" s="6" t="s">
        <v>262</v>
      </c>
      <c r="L10" s="6" t="s">
        <v>268</v>
      </c>
      <c r="M10" s="6" t="s">
        <v>269</v>
      </c>
      <c r="N10" s="6" t="s">
        <v>263</v>
      </c>
      <c r="O10" s="6" t="s">
        <v>264</v>
      </c>
      <c r="P10" s="6" t="s">
        <v>265</v>
      </c>
      <c r="Q10" s="67" t="s">
        <v>266</v>
      </c>
      <c r="U10" s="52" t="s">
        <v>257</v>
      </c>
      <c r="V10" s="63" t="s">
        <v>572</v>
      </c>
    </row>
    <row r="11" spans="1:23" s="152" customFormat="1" ht="15" customHeight="1">
      <c r="A11" s="153"/>
      <c r="B11" s="18">
        <v>1</v>
      </c>
      <c r="C11" s="18" t="s">
        <v>436</v>
      </c>
      <c r="D11" s="18" t="s">
        <v>341</v>
      </c>
      <c r="E11" s="18" t="s">
        <v>1932</v>
      </c>
      <c r="F11" s="18" t="s">
        <v>1760</v>
      </c>
      <c r="G11" s="154">
        <v>2012</v>
      </c>
      <c r="H11" s="18" t="s">
        <v>551</v>
      </c>
      <c r="I11" s="109" t="s">
        <v>1761</v>
      </c>
      <c r="J11" s="134">
        <v>0</v>
      </c>
      <c r="K11" s="134">
        <v>0</v>
      </c>
      <c r="L11" s="134">
        <v>720</v>
      </c>
      <c r="M11" s="134">
        <v>0</v>
      </c>
      <c r="N11" s="129">
        <f>+K11/(K11+L11)</f>
        <v>0</v>
      </c>
      <c r="O11" s="129">
        <f t="shared" ref="O11:O12" si="0">+(K11+M11)/(K11+L11+M11)</f>
        <v>0</v>
      </c>
      <c r="P11" s="129">
        <v>0</v>
      </c>
      <c r="Q11" s="117">
        <v>0</v>
      </c>
      <c r="R11" s="152" t="b">
        <f>IF(O11&gt;89.9999999999999%,"kmi")</f>
        <v>0</v>
      </c>
      <c r="U11" s="52" t="s">
        <v>339</v>
      </c>
      <c r="V11" s="52"/>
    </row>
    <row r="12" spans="1:23" s="152" customFormat="1" ht="15" customHeight="1">
      <c r="A12" s="153"/>
      <c r="B12" s="18">
        <f>+B11+1</f>
        <v>2</v>
      </c>
      <c r="C12" s="18" t="s">
        <v>436</v>
      </c>
      <c r="D12" s="18" t="s">
        <v>345</v>
      </c>
      <c r="E12" s="18" t="s">
        <v>1932</v>
      </c>
      <c r="F12" s="18" t="s">
        <v>1760</v>
      </c>
      <c r="G12" s="154">
        <v>2012</v>
      </c>
      <c r="H12" s="18" t="s">
        <v>551</v>
      </c>
      <c r="I12" s="109" t="s">
        <v>1761</v>
      </c>
      <c r="J12" s="134">
        <v>41818</v>
      </c>
      <c r="K12" s="134">
        <v>380</v>
      </c>
      <c r="L12" s="134">
        <v>72</v>
      </c>
      <c r="M12" s="134">
        <v>244</v>
      </c>
      <c r="N12" s="129">
        <f t="shared" ref="N12" si="1">+K12/(K12+L12)</f>
        <v>0.84070796460176989</v>
      </c>
      <c r="O12" s="129">
        <f t="shared" si="0"/>
        <v>0.89655172413793105</v>
      </c>
      <c r="P12" s="129">
        <f t="shared" ref="P12" si="2">+K12/(K12+M12)</f>
        <v>0.60897435897435892</v>
      </c>
      <c r="Q12" s="117">
        <f t="shared" ref="Q12" si="3">+J12/K12</f>
        <v>110.04736842105264</v>
      </c>
      <c r="R12" s="152" t="b">
        <f t="shared" ref="R12:R73" si="4">IF(O12&gt;89.9999999999999%,"kmi")</f>
        <v>0</v>
      </c>
      <c r="U12" s="52" t="s">
        <v>437</v>
      </c>
      <c r="V12" s="52"/>
    </row>
    <row r="13" spans="1:23" s="152" customFormat="1" ht="15" hidden="1" customHeight="1">
      <c r="A13" s="153"/>
      <c r="B13" s="189">
        <f>+B12+1</f>
        <v>3</v>
      </c>
      <c r="C13" s="189" t="s">
        <v>342</v>
      </c>
      <c r="D13" s="189" t="s">
        <v>344</v>
      </c>
      <c r="E13" s="189" t="s">
        <v>208</v>
      </c>
      <c r="F13" s="189" t="s">
        <v>343</v>
      </c>
      <c r="G13" s="190">
        <v>2011</v>
      </c>
      <c r="H13" s="189" t="s">
        <v>13</v>
      </c>
      <c r="I13" s="191" t="s">
        <v>1761</v>
      </c>
      <c r="J13" s="192"/>
      <c r="K13" s="192"/>
      <c r="L13" s="192"/>
      <c r="M13" s="192"/>
      <c r="N13" s="193"/>
      <c r="O13" s="193"/>
      <c r="P13" s="193"/>
      <c r="Q13" s="194"/>
      <c r="R13" s="152" t="b">
        <f t="shared" si="4"/>
        <v>0</v>
      </c>
      <c r="U13" s="63" t="s">
        <v>258</v>
      </c>
      <c r="V13" s="4"/>
    </row>
    <row r="14" spans="1:23" s="4" customFormat="1" ht="15" customHeight="1">
      <c r="A14" s="64"/>
      <c r="B14" s="336" t="s">
        <v>22</v>
      </c>
      <c r="C14" s="337"/>
      <c r="D14" s="337"/>
      <c r="E14" s="338"/>
      <c r="F14" s="8">
        <f>+COUNTA(F11:F13)</f>
        <v>3</v>
      </c>
      <c r="G14" s="9"/>
      <c r="H14" s="7"/>
      <c r="I14" s="86"/>
      <c r="J14" s="86"/>
      <c r="K14" s="7"/>
      <c r="L14" s="7"/>
      <c r="M14" s="7"/>
      <c r="N14" s="7"/>
      <c r="O14" s="7"/>
      <c r="P14" s="7"/>
      <c r="Q14" s="68"/>
      <c r="R14" s="152" t="b">
        <f t="shared" si="4"/>
        <v>0</v>
      </c>
      <c r="U14" s="52"/>
      <c r="W14" s="152"/>
    </row>
    <row r="15" spans="1:23" s="152" customFormat="1" ht="15" customHeight="1">
      <c r="A15" s="64"/>
      <c r="B15" s="10"/>
      <c r="C15" s="10"/>
      <c r="D15" s="10"/>
      <c r="E15" s="10"/>
      <c r="F15" s="10"/>
      <c r="G15" s="10"/>
      <c r="H15" s="10"/>
      <c r="I15" s="10"/>
      <c r="J15" s="10"/>
      <c r="K15" s="156"/>
      <c r="L15" s="156"/>
      <c r="M15" s="156"/>
      <c r="N15" s="156"/>
      <c r="O15" s="156"/>
      <c r="P15" s="156"/>
      <c r="Q15" s="157"/>
      <c r="R15" s="152" t="b">
        <f t="shared" si="4"/>
        <v>0</v>
      </c>
      <c r="U15" s="52"/>
      <c r="V15" s="4"/>
      <c r="W15" s="4"/>
    </row>
    <row r="16" spans="1:23" s="19" customFormat="1" ht="15" customHeight="1">
      <c r="A16" s="65" t="s">
        <v>23</v>
      </c>
      <c r="B16" s="66" t="s">
        <v>166</v>
      </c>
      <c r="C16" s="4"/>
      <c r="D16" s="4"/>
      <c r="E16" s="4"/>
      <c r="F16" s="16"/>
      <c r="G16" s="4"/>
      <c r="H16" s="4"/>
      <c r="I16" s="4"/>
      <c r="J16" s="4"/>
      <c r="K16" s="106"/>
      <c r="L16" s="106"/>
      <c r="M16" s="106"/>
      <c r="N16" s="106"/>
      <c r="O16" s="106"/>
      <c r="P16" s="106"/>
      <c r="Q16" s="107"/>
      <c r="R16" s="152" t="b">
        <f t="shared" si="4"/>
        <v>0</v>
      </c>
      <c r="U16" s="11"/>
      <c r="V16" s="4"/>
      <c r="W16" s="152"/>
    </row>
    <row r="17" spans="1:22" s="19" customFormat="1" ht="15" customHeight="1">
      <c r="A17" s="64"/>
      <c r="B17" s="6" t="s">
        <v>2</v>
      </c>
      <c r="C17" s="6" t="s">
        <v>3</v>
      </c>
      <c r="D17" s="6" t="s">
        <v>4</v>
      </c>
      <c r="E17" s="6" t="s">
        <v>5</v>
      </c>
      <c r="F17" s="6" t="s">
        <v>6</v>
      </c>
      <c r="G17" s="6" t="s">
        <v>7</v>
      </c>
      <c r="H17" s="6" t="s">
        <v>8</v>
      </c>
      <c r="I17" s="83" t="s">
        <v>9</v>
      </c>
      <c r="J17" s="83" t="s">
        <v>267</v>
      </c>
      <c r="K17" s="6" t="s">
        <v>262</v>
      </c>
      <c r="L17" s="6" t="s">
        <v>268</v>
      </c>
      <c r="M17" s="6" t="s">
        <v>269</v>
      </c>
      <c r="N17" s="6" t="s">
        <v>263</v>
      </c>
      <c r="O17" s="6" t="s">
        <v>264</v>
      </c>
      <c r="P17" s="6" t="s">
        <v>265</v>
      </c>
      <c r="Q17" s="67" t="s">
        <v>266</v>
      </c>
      <c r="R17" s="152" t="str">
        <f t="shared" si="4"/>
        <v>kmi</v>
      </c>
      <c r="U17" s="52"/>
      <c r="V17" s="4"/>
    </row>
    <row r="18" spans="1:22" s="19" customFormat="1" ht="15" customHeight="1">
      <c r="A18" s="80"/>
      <c r="B18" s="18">
        <v>1</v>
      </c>
      <c r="C18" s="18" t="s">
        <v>436</v>
      </c>
      <c r="D18" s="18" t="s">
        <v>514</v>
      </c>
      <c r="E18" s="20" t="s">
        <v>1933</v>
      </c>
      <c r="F18" s="18" t="s">
        <v>1934</v>
      </c>
      <c r="G18" s="18">
        <v>2011</v>
      </c>
      <c r="H18" s="18" t="s">
        <v>551</v>
      </c>
      <c r="I18" s="109" t="s">
        <v>552</v>
      </c>
      <c r="J18" s="135">
        <v>0</v>
      </c>
      <c r="K18" s="136">
        <v>0</v>
      </c>
      <c r="L18" s="116">
        <v>708</v>
      </c>
      <c r="M18" s="136">
        <v>12</v>
      </c>
      <c r="N18" s="129">
        <v>0</v>
      </c>
      <c r="O18" s="129">
        <f t="shared" ref="O18:O27" si="5">+(K18+M18)/(K18+L18+M18)</f>
        <v>1.6666666666666666E-2</v>
      </c>
      <c r="P18" s="129">
        <f t="shared" ref="P18:P27" si="6">+K18/(K18+M18)</f>
        <v>0</v>
      </c>
      <c r="Q18" s="117"/>
      <c r="R18" s="152" t="b">
        <f t="shared" si="4"/>
        <v>0</v>
      </c>
      <c r="U18" s="63"/>
      <c r="V18" s="4"/>
    </row>
    <row r="19" spans="1:22" s="19" customFormat="1" ht="15" customHeight="1">
      <c r="A19" s="80"/>
      <c r="B19" s="18">
        <f>+B18+1</f>
        <v>2</v>
      </c>
      <c r="C19" s="18" t="s">
        <v>436</v>
      </c>
      <c r="D19" s="18" t="s">
        <v>346</v>
      </c>
      <c r="E19" s="20" t="s">
        <v>1933</v>
      </c>
      <c r="F19" s="18" t="s">
        <v>1934</v>
      </c>
      <c r="G19" s="18">
        <v>2011</v>
      </c>
      <c r="H19" s="18" t="s">
        <v>551</v>
      </c>
      <c r="I19" s="109" t="s">
        <v>552</v>
      </c>
      <c r="J19" s="135">
        <v>4833</v>
      </c>
      <c r="K19" s="136">
        <v>236</v>
      </c>
      <c r="L19" s="116">
        <v>113</v>
      </c>
      <c r="M19" s="136">
        <v>371</v>
      </c>
      <c r="N19" s="129">
        <f t="shared" ref="N19:N27" si="7">+K19/(K19+L19)</f>
        <v>0.67621776504297992</v>
      </c>
      <c r="O19" s="129">
        <f t="shared" si="5"/>
        <v>0.84305555555555556</v>
      </c>
      <c r="P19" s="129">
        <f t="shared" si="6"/>
        <v>0.38879736408566723</v>
      </c>
      <c r="Q19" s="117">
        <f t="shared" ref="Q19:Q27" si="8">+J19/K19</f>
        <v>20.478813559322035</v>
      </c>
      <c r="R19" s="152" t="b">
        <f t="shared" si="4"/>
        <v>0</v>
      </c>
      <c r="U19" s="63"/>
      <c r="V19" s="4"/>
    </row>
    <row r="20" spans="1:22" s="19" customFormat="1" ht="15" customHeight="1">
      <c r="A20" s="80"/>
      <c r="B20" s="18">
        <f t="shared" ref="B20:B39" si="9">+B19+1</f>
        <v>3</v>
      </c>
      <c r="C20" s="18" t="s">
        <v>436</v>
      </c>
      <c r="D20" s="18" t="s">
        <v>347</v>
      </c>
      <c r="E20" s="20" t="s">
        <v>1933</v>
      </c>
      <c r="F20" s="18" t="s">
        <v>1934</v>
      </c>
      <c r="G20" s="18">
        <v>2011</v>
      </c>
      <c r="H20" s="18" t="s">
        <v>551</v>
      </c>
      <c r="I20" s="109" t="s">
        <v>552</v>
      </c>
      <c r="J20" s="135">
        <v>630</v>
      </c>
      <c r="K20" s="136">
        <v>25</v>
      </c>
      <c r="L20" s="116">
        <v>401</v>
      </c>
      <c r="M20" s="136">
        <v>295</v>
      </c>
      <c r="N20" s="129">
        <f t="shared" si="7"/>
        <v>5.8685446009389672E-2</v>
      </c>
      <c r="O20" s="129">
        <f t="shared" si="5"/>
        <v>0.44382801664355065</v>
      </c>
      <c r="P20" s="129">
        <f t="shared" si="6"/>
        <v>7.8125E-2</v>
      </c>
      <c r="Q20" s="117">
        <f t="shared" si="8"/>
        <v>25.2</v>
      </c>
      <c r="R20" s="152" t="b">
        <f t="shared" si="4"/>
        <v>0</v>
      </c>
      <c r="U20" s="4"/>
      <c r="V20" s="159"/>
    </row>
    <row r="21" spans="1:22" s="19" customFormat="1" ht="15" customHeight="1">
      <c r="A21" s="80"/>
      <c r="B21" s="18">
        <f t="shared" si="9"/>
        <v>4</v>
      </c>
      <c r="C21" s="18" t="s">
        <v>436</v>
      </c>
      <c r="D21" s="18" t="s">
        <v>515</v>
      </c>
      <c r="E21" s="20" t="s">
        <v>1933</v>
      </c>
      <c r="F21" s="18" t="s">
        <v>1934</v>
      </c>
      <c r="G21" s="18">
        <v>2011</v>
      </c>
      <c r="H21" s="18" t="s">
        <v>551</v>
      </c>
      <c r="I21" s="109" t="s">
        <v>552</v>
      </c>
      <c r="J21" s="135">
        <v>2370</v>
      </c>
      <c r="K21" s="136">
        <v>99</v>
      </c>
      <c r="L21" s="116">
        <v>358</v>
      </c>
      <c r="M21" s="136">
        <v>263</v>
      </c>
      <c r="N21" s="129">
        <f t="shared" si="7"/>
        <v>0.21663019693654267</v>
      </c>
      <c r="O21" s="129">
        <f t="shared" si="5"/>
        <v>0.50277777777777777</v>
      </c>
      <c r="P21" s="129">
        <f t="shared" si="6"/>
        <v>0.27348066298342544</v>
      </c>
      <c r="Q21" s="117">
        <f t="shared" si="8"/>
        <v>23.939393939393938</v>
      </c>
      <c r="R21" s="152" t="b">
        <f t="shared" si="4"/>
        <v>0</v>
      </c>
      <c r="U21" s="4"/>
      <c r="V21" s="159"/>
    </row>
    <row r="22" spans="1:22" s="19" customFormat="1" ht="15" customHeight="1">
      <c r="A22" s="80"/>
      <c r="B22" s="18">
        <f t="shared" si="9"/>
        <v>5</v>
      </c>
      <c r="C22" s="18" t="s">
        <v>436</v>
      </c>
      <c r="D22" s="18" t="s">
        <v>1762</v>
      </c>
      <c r="E22" s="20" t="s">
        <v>1933</v>
      </c>
      <c r="F22" s="18" t="s">
        <v>1934</v>
      </c>
      <c r="G22" s="18">
        <v>2011</v>
      </c>
      <c r="H22" s="18" t="s">
        <v>551</v>
      </c>
      <c r="I22" s="109" t="s">
        <v>552</v>
      </c>
      <c r="J22" s="135">
        <v>3448</v>
      </c>
      <c r="K22" s="136">
        <v>156</v>
      </c>
      <c r="L22" s="116">
        <v>206</v>
      </c>
      <c r="M22" s="136">
        <v>359</v>
      </c>
      <c r="N22" s="129">
        <f t="shared" si="7"/>
        <v>0.43093922651933703</v>
      </c>
      <c r="O22" s="129">
        <f t="shared" si="5"/>
        <v>0.7142857142857143</v>
      </c>
      <c r="P22" s="129">
        <f t="shared" si="6"/>
        <v>0.30291262135922331</v>
      </c>
      <c r="Q22" s="117">
        <f t="shared" si="8"/>
        <v>22.102564102564102</v>
      </c>
      <c r="R22" s="152" t="b">
        <f t="shared" si="4"/>
        <v>0</v>
      </c>
      <c r="U22" s="4"/>
      <c r="V22" s="159"/>
    </row>
    <row r="23" spans="1:22" s="19" customFormat="1" ht="15" customHeight="1">
      <c r="A23" s="80"/>
      <c r="B23" s="18">
        <f t="shared" si="9"/>
        <v>6</v>
      </c>
      <c r="C23" s="18" t="s">
        <v>436</v>
      </c>
      <c r="D23" s="18" t="s">
        <v>348</v>
      </c>
      <c r="E23" s="20" t="s">
        <v>1933</v>
      </c>
      <c r="F23" s="18" t="s">
        <v>1934</v>
      </c>
      <c r="G23" s="18">
        <v>2011</v>
      </c>
      <c r="H23" s="18" t="s">
        <v>551</v>
      </c>
      <c r="I23" s="109" t="s">
        <v>552</v>
      </c>
      <c r="J23" s="135">
        <v>0</v>
      </c>
      <c r="K23" s="136">
        <v>6</v>
      </c>
      <c r="L23" s="116">
        <v>558</v>
      </c>
      <c r="M23" s="136">
        <v>156</v>
      </c>
      <c r="N23" s="129">
        <v>0</v>
      </c>
      <c r="O23" s="129">
        <f t="shared" si="5"/>
        <v>0.22500000000000001</v>
      </c>
      <c r="P23" s="129">
        <f t="shared" si="6"/>
        <v>3.7037037037037035E-2</v>
      </c>
      <c r="Q23" s="117"/>
      <c r="R23" s="152" t="b">
        <f t="shared" si="4"/>
        <v>0</v>
      </c>
      <c r="U23" s="4"/>
      <c r="V23" s="159"/>
    </row>
    <row r="24" spans="1:22" s="19" customFormat="1" ht="15" customHeight="1">
      <c r="A24" s="80"/>
      <c r="B24" s="18">
        <f t="shared" si="9"/>
        <v>7</v>
      </c>
      <c r="C24" s="18" t="s">
        <v>436</v>
      </c>
      <c r="D24" s="18" t="s">
        <v>525</v>
      </c>
      <c r="E24" s="20" t="s">
        <v>1933</v>
      </c>
      <c r="F24" s="18" t="s">
        <v>1934</v>
      </c>
      <c r="G24" s="18">
        <v>2011</v>
      </c>
      <c r="H24" s="18" t="s">
        <v>551</v>
      </c>
      <c r="I24" s="109" t="s">
        <v>552</v>
      </c>
      <c r="J24" s="135">
        <v>4570</v>
      </c>
      <c r="K24" s="136">
        <v>190</v>
      </c>
      <c r="L24" s="116">
        <v>198</v>
      </c>
      <c r="M24" s="136">
        <v>333</v>
      </c>
      <c r="N24" s="129">
        <f t="shared" si="7"/>
        <v>0.48969072164948452</v>
      </c>
      <c r="O24" s="129">
        <f t="shared" si="5"/>
        <v>0.72538141470180306</v>
      </c>
      <c r="P24" s="129">
        <f t="shared" si="6"/>
        <v>0.3632887189292543</v>
      </c>
      <c r="Q24" s="117">
        <f t="shared" si="8"/>
        <v>24.05263157894737</v>
      </c>
      <c r="R24" s="152" t="b">
        <f t="shared" si="4"/>
        <v>0</v>
      </c>
      <c r="U24" s="4"/>
    </row>
    <row r="25" spans="1:22" s="19" customFormat="1" ht="15" customHeight="1">
      <c r="A25" s="80"/>
      <c r="B25" s="18">
        <f t="shared" si="9"/>
        <v>8</v>
      </c>
      <c r="C25" s="18" t="s">
        <v>436</v>
      </c>
      <c r="D25" s="18" t="s">
        <v>553</v>
      </c>
      <c r="E25" s="20" t="s">
        <v>1935</v>
      </c>
      <c r="F25" s="18" t="s">
        <v>1934</v>
      </c>
      <c r="G25" s="18">
        <v>2021</v>
      </c>
      <c r="H25" s="18" t="s">
        <v>551</v>
      </c>
      <c r="I25" s="109" t="s">
        <v>554</v>
      </c>
      <c r="J25" s="135">
        <v>12149</v>
      </c>
      <c r="K25" s="136">
        <v>271</v>
      </c>
      <c r="L25" s="116">
        <v>106</v>
      </c>
      <c r="M25" s="136">
        <v>343</v>
      </c>
      <c r="N25" s="129">
        <f t="shared" ref="N25" si="10">+K25/(K25+L25)</f>
        <v>0.71883289124668437</v>
      </c>
      <c r="O25" s="129">
        <f t="shared" ref="O25" si="11">+(K25+M25)/(K25+L25+M25)</f>
        <v>0.85277777777777775</v>
      </c>
      <c r="P25" s="129">
        <f t="shared" ref="P25" si="12">+K25/(K25+M25)</f>
        <v>0.44136807817589574</v>
      </c>
      <c r="Q25" s="117">
        <f t="shared" si="8"/>
        <v>44.830258302583026</v>
      </c>
      <c r="R25" s="152" t="b">
        <f t="shared" si="4"/>
        <v>0</v>
      </c>
      <c r="U25" s="4"/>
      <c r="V25" s="155"/>
    </row>
    <row r="26" spans="1:22" s="19" customFormat="1" ht="15" customHeight="1">
      <c r="A26" s="80"/>
      <c r="B26" s="18">
        <f t="shared" si="9"/>
        <v>9</v>
      </c>
      <c r="C26" s="18" t="s">
        <v>436</v>
      </c>
      <c r="D26" s="18" t="s">
        <v>555</v>
      </c>
      <c r="E26" s="20" t="s">
        <v>1935</v>
      </c>
      <c r="F26" s="18" t="s">
        <v>1934</v>
      </c>
      <c r="G26" s="18">
        <v>2021</v>
      </c>
      <c r="H26" s="18" t="s">
        <v>551</v>
      </c>
      <c r="I26" s="109" t="s">
        <v>554</v>
      </c>
      <c r="J26" s="135">
        <v>0</v>
      </c>
      <c r="K26" s="136">
        <v>0</v>
      </c>
      <c r="L26" s="116">
        <v>708</v>
      </c>
      <c r="M26" s="136">
        <v>12</v>
      </c>
      <c r="N26" s="129">
        <f t="shared" si="7"/>
        <v>0</v>
      </c>
      <c r="O26" s="129">
        <f t="shared" si="5"/>
        <v>1.6666666666666666E-2</v>
      </c>
      <c r="P26" s="129">
        <f t="shared" si="6"/>
        <v>0</v>
      </c>
      <c r="Q26" s="117" t="e">
        <f t="shared" si="8"/>
        <v>#DIV/0!</v>
      </c>
      <c r="R26" s="152" t="b">
        <f t="shared" si="4"/>
        <v>0</v>
      </c>
      <c r="U26" s="4"/>
      <c r="V26" s="155"/>
    </row>
    <row r="27" spans="1:22" s="19" customFormat="1" ht="15" customHeight="1">
      <c r="A27" s="80"/>
      <c r="B27" s="18">
        <f t="shared" si="9"/>
        <v>10</v>
      </c>
      <c r="C27" s="18" t="s">
        <v>436</v>
      </c>
      <c r="D27" s="18" t="s">
        <v>556</v>
      </c>
      <c r="E27" s="20" t="s">
        <v>1935</v>
      </c>
      <c r="F27" s="18" t="s">
        <v>1934</v>
      </c>
      <c r="G27" s="18">
        <v>2021</v>
      </c>
      <c r="H27" s="18" t="s">
        <v>551</v>
      </c>
      <c r="I27" s="109" t="s">
        <v>554</v>
      </c>
      <c r="J27" s="135">
        <v>13808</v>
      </c>
      <c r="K27" s="136">
        <v>299</v>
      </c>
      <c r="L27" s="116">
        <v>74</v>
      </c>
      <c r="M27" s="136">
        <v>347</v>
      </c>
      <c r="N27" s="129">
        <f t="shared" si="7"/>
        <v>0.80160857908847183</v>
      </c>
      <c r="O27" s="129">
        <f t="shared" si="5"/>
        <v>0.89722222222222225</v>
      </c>
      <c r="P27" s="129">
        <f t="shared" si="6"/>
        <v>0.46284829721362231</v>
      </c>
      <c r="Q27" s="117">
        <f t="shared" si="8"/>
        <v>46.180602006688964</v>
      </c>
      <c r="R27" s="152" t="b">
        <f t="shared" si="4"/>
        <v>0</v>
      </c>
      <c r="U27" s="4"/>
      <c r="V27" s="155"/>
    </row>
    <row r="28" spans="1:22" s="19" customFormat="1" ht="15" hidden="1" customHeight="1">
      <c r="A28" s="80"/>
      <c r="B28" s="18">
        <f t="shared" si="9"/>
        <v>11</v>
      </c>
      <c r="C28" s="18"/>
      <c r="D28" s="18"/>
      <c r="E28" s="20"/>
      <c r="F28" s="18"/>
      <c r="G28" s="18"/>
      <c r="H28" s="18"/>
      <c r="I28" s="109"/>
      <c r="J28" s="135"/>
      <c r="K28" s="136"/>
      <c r="L28" s="116"/>
      <c r="M28" s="136"/>
      <c r="N28" s="129"/>
      <c r="O28" s="129"/>
      <c r="P28" s="129"/>
      <c r="Q28" s="117"/>
      <c r="R28" s="152" t="b">
        <f t="shared" si="4"/>
        <v>0</v>
      </c>
    </row>
    <row r="29" spans="1:22" s="19" customFormat="1" ht="15" hidden="1" customHeight="1">
      <c r="A29" s="80"/>
      <c r="B29" s="18">
        <f t="shared" si="9"/>
        <v>12</v>
      </c>
      <c r="C29" s="18"/>
      <c r="D29" s="18"/>
      <c r="E29" s="20"/>
      <c r="F29" s="18"/>
      <c r="G29" s="18"/>
      <c r="H29" s="18"/>
      <c r="I29" s="109"/>
      <c r="J29" s="135"/>
      <c r="K29" s="136"/>
      <c r="L29" s="116"/>
      <c r="M29" s="136"/>
      <c r="N29" s="129"/>
      <c r="O29" s="129"/>
      <c r="P29" s="129"/>
      <c r="Q29" s="117"/>
      <c r="R29" s="152" t="b">
        <f t="shared" si="4"/>
        <v>0</v>
      </c>
      <c r="U29" s="152"/>
    </row>
    <row r="30" spans="1:22" s="19" customFormat="1" ht="15" hidden="1" customHeight="1">
      <c r="A30" s="80"/>
      <c r="B30" s="18">
        <f t="shared" si="9"/>
        <v>13</v>
      </c>
      <c r="C30" s="18"/>
      <c r="D30" s="18"/>
      <c r="E30" s="20"/>
      <c r="F30" s="18"/>
      <c r="G30" s="18"/>
      <c r="H30" s="18"/>
      <c r="I30" s="109"/>
      <c r="J30" s="135"/>
      <c r="K30" s="136"/>
      <c r="L30" s="116"/>
      <c r="M30" s="136"/>
      <c r="N30" s="129"/>
      <c r="O30" s="129"/>
      <c r="P30" s="129"/>
      <c r="Q30" s="117"/>
      <c r="R30" s="152" t="b">
        <f t="shared" si="4"/>
        <v>0</v>
      </c>
      <c r="U30" s="152"/>
    </row>
    <row r="31" spans="1:22" s="19" customFormat="1" ht="15" hidden="1" customHeight="1">
      <c r="A31" s="80"/>
      <c r="B31" s="18">
        <f t="shared" si="9"/>
        <v>14</v>
      </c>
      <c r="C31" s="18"/>
      <c r="D31" s="18"/>
      <c r="E31" s="20"/>
      <c r="F31" s="18"/>
      <c r="G31" s="18"/>
      <c r="H31" s="18"/>
      <c r="I31" s="109"/>
      <c r="J31" s="135"/>
      <c r="K31" s="136"/>
      <c r="L31" s="116"/>
      <c r="M31" s="136"/>
      <c r="N31" s="129"/>
      <c r="O31" s="129"/>
      <c r="P31" s="129"/>
      <c r="Q31" s="117"/>
      <c r="R31" s="152" t="b">
        <f t="shared" si="4"/>
        <v>0</v>
      </c>
      <c r="U31" s="152"/>
    </row>
    <row r="32" spans="1:22" s="19" customFormat="1" ht="15" hidden="1" customHeight="1">
      <c r="A32" s="80"/>
      <c r="B32" s="18">
        <f t="shared" si="9"/>
        <v>15</v>
      </c>
      <c r="C32" s="18"/>
      <c r="D32" s="18"/>
      <c r="E32" s="20"/>
      <c r="F32" s="18"/>
      <c r="G32" s="18"/>
      <c r="H32" s="18"/>
      <c r="I32" s="109"/>
      <c r="J32" s="135"/>
      <c r="K32" s="136"/>
      <c r="L32" s="116"/>
      <c r="M32" s="136"/>
      <c r="N32" s="129"/>
      <c r="O32" s="129"/>
      <c r="P32" s="129"/>
      <c r="Q32" s="117"/>
      <c r="R32" s="152" t="b">
        <f t="shared" si="4"/>
        <v>0</v>
      </c>
    </row>
    <row r="33" spans="1:23" s="19" customFormat="1" ht="15" hidden="1" customHeight="1">
      <c r="A33" s="80"/>
      <c r="B33" s="18">
        <f t="shared" si="9"/>
        <v>16</v>
      </c>
      <c r="C33" s="18"/>
      <c r="D33" s="18"/>
      <c r="E33" s="20"/>
      <c r="F33" s="18"/>
      <c r="G33" s="18"/>
      <c r="H33" s="18"/>
      <c r="I33" s="109"/>
      <c r="J33" s="135"/>
      <c r="K33" s="136"/>
      <c r="L33" s="116"/>
      <c r="M33" s="136"/>
      <c r="N33" s="129"/>
      <c r="O33" s="129"/>
      <c r="P33" s="129"/>
      <c r="Q33" s="117"/>
      <c r="R33" s="152" t="b">
        <f t="shared" si="4"/>
        <v>0</v>
      </c>
    </row>
    <row r="34" spans="1:23" s="19" customFormat="1" ht="15" hidden="1" customHeight="1">
      <c r="A34" s="80"/>
      <c r="B34" s="18">
        <f t="shared" si="9"/>
        <v>17</v>
      </c>
      <c r="C34" s="18"/>
      <c r="D34" s="18"/>
      <c r="E34" s="20"/>
      <c r="F34" s="18"/>
      <c r="G34" s="18"/>
      <c r="H34" s="18"/>
      <c r="I34" s="109"/>
      <c r="J34" s="135"/>
      <c r="K34" s="136"/>
      <c r="L34" s="116"/>
      <c r="M34" s="136"/>
      <c r="N34" s="129"/>
      <c r="O34" s="129"/>
      <c r="P34" s="129"/>
      <c r="Q34" s="117"/>
      <c r="R34" s="152" t="b">
        <f t="shared" si="4"/>
        <v>0</v>
      </c>
    </row>
    <row r="35" spans="1:23" s="19" customFormat="1" ht="15" hidden="1" customHeight="1">
      <c r="A35" s="80"/>
      <c r="B35" s="18">
        <f t="shared" si="9"/>
        <v>18</v>
      </c>
      <c r="C35" s="18"/>
      <c r="D35" s="18"/>
      <c r="E35" s="20"/>
      <c r="F35" s="18"/>
      <c r="G35" s="18"/>
      <c r="H35" s="18"/>
      <c r="I35" s="109"/>
      <c r="J35" s="135"/>
      <c r="K35" s="136"/>
      <c r="L35" s="116"/>
      <c r="M35" s="136"/>
      <c r="N35" s="129"/>
      <c r="O35" s="129"/>
      <c r="P35" s="129"/>
      <c r="Q35" s="117"/>
      <c r="R35" s="152" t="b">
        <f t="shared" si="4"/>
        <v>0</v>
      </c>
    </row>
    <row r="36" spans="1:23" s="19" customFormat="1" ht="15" hidden="1" customHeight="1">
      <c r="A36" s="80"/>
      <c r="B36" s="18">
        <f t="shared" si="9"/>
        <v>19</v>
      </c>
      <c r="C36" s="18"/>
      <c r="D36" s="18"/>
      <c r="E36" s="20"/>
      <c r="F36" s="18"/>
      <c r="G36" s="18"/>
      <c r="H36" s="18"/>
      <c r="I36" s="109"/>
      <c r="J36" s="135"/>
      <c r="K36" s="136"/>
      <c r="L36" s="116"/>
      <c r="M36" s="136"/>
      <c r="N36" s="129"/>
      <c r="O36" s="129"/>
      <c r="P36" s="129"/>
      <c r="Q36" s="117"/>
      <c r="R36" s="152" t="b">
        <f t="shared" si="4"/>
        <v>0</v>
      </c>
    </row>
    <row r="37" spans="1:23" s="19" customFormat="1" ht="15" hidden="1" customHeight="1">
      <c r="A37" s="80"/>
      <c r="B37" s="18">
        <f t="shared" si="9"/>
        <v>20</v>
      </c>
      <c r="C37" s="18"/>
      <c r="D37" s="18"/>
      <c r="E37" s="20"/>
      <c r="F37" s="18"/>
      <c r="G37" s="18"/>
      <c r="H37" s="18"/>
      <c r="I37" s="109"/>
      <c r="J37" s="135"/>
      <c r="K37" s="136"/>
      <c r="L37" s="116"/>
      <c r="M37" s="136"/>
      <c r="N37" s="129"/>
      <c r="O37" s="129"/>
      <c r="P37" s="129"/>
      <c r="Q37" s="117"/>
      <c r="R37" s="152" t="b">
        <f t="shared" si="4"/>
        <v>0</v>
      </c>
    </row>
    <row r="38" spans="1:23" s="19" customFormat="1" ht="15" hidden="1" customHeight="1">
      <c r="A38" s="80"/>
      <c r="B38" s="18">
        <f t="shared" si="9"/>
        <v>21</v>
      </c>
      <c r="C38" s="18"/>
      <c r="D38" s="18"/>
      <c r="E38" s="20"/>
      <c r="F38" s="18"/>
      <c r="G38" s="18"/>
      <c r="H38" s="18"/>
      <c r="I38" s="109"/>
      <c r="J38" s="135"/>
      <c r="K38" s="136"/>
      <c r="L38" s="116"/>
      <c r="M38" s="136"/>
      <c r="N38" s="129"/>
      <c r="O38" s="129"/>
      <c r="P38" s="129"/>
      <c r="Q38" s="117"/>
      <c r="R38" s="152" t="b">
        <f t="shared" si="4"/>
        <v>0</v>
      </c>
    </row>
    <row r="39" spans="1:23" s="19" customFormat="1" ht="15" hidden="1" customHeight="1">
      <c r="A39" s="80"/>
      <c r="B39" s="18">
        <f t="shared" si="9"/>
        <v>22</v>
      </c>
      <c r="C39" s="18"/>
      <c r="D39" s="18"/>
      <c r="E39" s="20"/>
      <c r="F39" s="18"/>
      <c r="G39" s="18"/>
      <c r="H39" s="18"/>
      <c r="I39" s="109"/>
      <c r="J39" s="135"/>
      <c r="K39" s="136"/>
      <c r="L39" s="116"/>
      <c r="M39" s="136"/>
      <c r="N39" s="129"/>
      <c r="O39" s="129"/>
      <c r="P39" s="129"/>
      <c r="Q39" s="117"/>
      <c r="R39" s="152" t="b">
        <f t="shared" si="4"/>
        <v>0</v>
      </c>
    </row>
    <row r="40" spans="1:23" s="4" customFormat="1" ht="15" customHeight="1">
      <c r="A40" s="64"/>
      <c r="B40" s="336" t="s">
        <v>22</v>
      </c>
      <c r="C40" s="337"/>
      <c r="D40" s="337"/>
      <c r="E40" s="338"/>
      <c r="F40" s="8">
        <f>+COUNTA(F18:F39)</f>
        <v>10</v>
      </c>
      <c r="G40" s="9"/>
      <c r="H40" s="7"/>
      <c r="I40" s="86"/>
      <c r="J40" s="86"/>
      <c r="K40" s="110"/>
      <c r="L40" s="110"/>
      <c r="M40" s="110"/>
      <c r="N40" s="129"/>
      <c r="O40" s="129"/>
      <c r="P40" s="129"/>
      <c r="Q40" s="117"/>
      <c r="R40" s="152" t="b">
        <f t="shared" si="4"/>
        <v>0</v>
      </c>
      <c r="U40" s="19"/>
      <c r="V40" s="19"/>
      <c r="W40" s="19"/>
    </row>
    <row r="41" spans="1:23" s="19" customFormat="1" ht="8.25" customHeight="1">
      <c r="A41" s="158"/>
      <c r="B41" s="159"/>
      <c r="C41" s="16"/>
      <c r="D41" s="16"/>
      <c r="E41" s="17"/>
      <c r="F41" s="17"/>
      <c r="G41" s="17"/>
      <c r="H41" s="16"/>
      <c r="I41" s="17"/>
      <c r="J41" s="17"/>
      <c r="K41" s="111"/>
      <c r="L41" s="108"/>
      <c r="M41" s="108"/>
      <c r="N41" s="108"/>
      <c r="O41" s="108"/>
      <c r="P41" s="108"/>
      <c r="Q41" s="112"/>
      <c r="R41" s="152" t="b">
        <f t="shared" si="4"/>
        <v>0</v>
      </c>
      <c r="V41" s="152"/>
      <c r="W41" s="4"/>
    </row>
    <row r="42" spans="1:23" s="152" customFormat="1" ht="15" customHeight="1">
      <c r="A42" s="65" t="s">
        <v>95</v>
      </c>
      <c r="B42" s="66" t="s">
        <v>96</v>
      </c>
      <c r="C42" s="4"/>
      <c r="D42" s="4"/>
      <c r="E42" s="4"/>
      <c r="F42" s="16"/>
      <c r="G42" s="4"/>
      <c r="H42" s="4"/>
      <c r="I42" s="4"/>
      <c r="J42" s="4"/>
      <c r="K42" s="108"/>
      <c r="L42" s="108"/>
      <c r="M42" s="108"/>
      <c r="N42" s="108"/>
      <c r="O42" s="108"/>
      <c r="P42" s="108"/>
      <c r="Q42" s="112"/>
      <c r="R42" s="152" t="b">
        <f t="shared" si="4"/>
        <v>0</v>
      </c>
      <c r="U42" s="19"/>
      <c r="W42" s="19"/>
    </row>
    <row r="43" spans="1:23" s="152" customFormat="1" ht="15" customHeight="1">
      <c r="A43" s="64"/>
      <c r="B43" s="6" t="s">
        <v>2</v>
      </c>
      <c r="C43" s="6" t="s">
        <v>3</v>
      </c>
      <c r="D43" s="6" t="s">
        <v>4</v>
      </c>
      <c r="E43" s="6" t="s">
        <v>5</v>
      </c>
      <c r="F43" s="6" t="s">
        <v>6</v>
      </c>
      <c r="G43" s="6" t="s">
        <v>7</v>
      </c>
      <c r="H43" s="6" t="s">
        <v>8</v>
      </c>
      <c r="I43" s="6" t="s">
        <v>9</v>
      </c>
      <c r="J43" s="83" t="s">
        <v>267</v>
      </c>
      <c r="K43" s="6" t="s">
        <v>262</v>
      </c>
      <c r="L43" s="6" t="s">
        <v>268</v>
      </c>
      <c r="M43" s="6" t="s">
        <v>269</v>
      </c>
      <c r="N43" s="6" t="s">
        <v>263</v>
      </c>
      <c r="O43" s="6" t="s">
        <v>264</v>
      </c>
      <c r="P43" s="6" t="s">
        <v>265</v>
      </c>
      <c r="Q43" s="67" t="s">
        <v>266</v>
      </c>
      <c r="R43" s="152" t="str">
        <f t="shared" si="4"/>
        <v>kmi</v>
      </c>
      <c r="U43" s="19"/>
    </row>
    <row r="44" spans="1:23" s="152" customFormat="1" ht="15" customHeight="1">
      <c r="A44" s="64"/>
      <c r="B44" s="18">
        <v>1</v>
      </c>
      <c r="C44" s="209" t="s">
        <v>436</v>
      </c>
      <c r="D44" s="209" t="s">
        <v>350</v>
      </c>
      <c r="E44" s="209" t="s">
        <v>1936</v>
      </c>
      <c r="F44" s="209" t="s">
        <v>1937</v>
      </c>
      <c r="G44" s="209">
        <v>2001</v>
      </c>
      <c r="H44" s="201" t="s">
        <v>114</v>
      </c>
      <c r="I44" s="209"/>
      <c r="J44" s="83">
        <v>0</v>
      </c>
      <c r="K44" s="136">
        <v>2</v>
      </c>
      <c r="L44" s="116">
        <v>148</v>
      </c>
      <c r="M44" s="136">
        <v>571</v>
      </c>
      <c r="N44" s="129">
        <f t="shared" ref="N44:N47" si="13">+K44/(K44+L44)</f>
        <v>1.3333333333333334E-2</v>
      </c>
      <c r="O44" s="129">
        <f t="shared" ref="O44:O52" si="14">+(K44+M44)/(K44+L44+M44)</f>
        <v>0.79472954230235782</v>
      </c>
      <c r="P44" s="129">
        <f t="shared" ref="P44:P52" si="15">+K44/(K44+M44)</f>
        <v>3.4904013961605585E-3</v>
      </c>
      <c r="Q44" s="117"/>
      <c r="R44" s="152" t="b">
        <f t="shared" si="4"/>
        <v>0</v>
      </c>
      <c r="U44" s="19"/>
    </row>
    <row r="45" spans="1:23" s="152" customFormat="1" ht="15" customHeight="1">
      <c r="A45" s="64"/>
      <c r="B45" s="18">
        <v>2</v>
      </c>
      <c r="C45" s="209" t="s">
        <v>436</v>
      </c>
      <c r="D45" s="209" t="s">
        <v>557</v>
      </c>
      <c r="E45" s="209" t="s">
        <v>1936</v>
      </c>
      <c r="F45" s="209" t="s">
        <v>1937</v>
      </c>
      <c r="G45" s="209">
        <v>2008</v>
      </c>
      <c r="H45" s="201" t="s">
        <v>114</v>
      </c>
      <c r="I45" s="209"/>
      <c r="J45" s="83">
        <v>0</v>
      </c>
      <c r="K45" s="136">
        <v>95</v>
      </c>
      <c r="L45" s="116">
        <v>76</v>
      </c>
      <c r="M45" s="136">
        <v>549</v>
      </c>
      <c r="N45" s="129">
        <f t="shared" si="13"/>
        <v>0.55555555555555558</v>
      </c>
      <c r="O45" s="129">
        <f t="shared" si="14"/>
        <v>0.89444444444444449</v>
      </c>
      <c r="P45" s="129">
        <f t="shared" si="15"/>
        <v>0.14751552795031056</v>
      </c>
      <c r="Q45" s="117"/>
      <c r="R45" s="152" t="b">
        <f t="shared" si="4"/>
        <v>0</v>
      </c>
      <c r="U45" s="19"/>
    </row>
    <row r="46" spans="1:23" s="152" customFormat="1" ht="15" customHeight="1">
      <c r="A46" s="64"/>
      <c r="B46" s="18">
        <v>3</v>
      </c>
      <c r="C46" s="209" t="s">
        <v>436</v>
      </c>
      <c r="D46" s="209" t="s">
        <v>351</v>
      </c>
      <c r="E46" s="209" t="s">
        <v>1938</v>
      </c>
      <c r="F46" s="209" t="s">
        <v>1939</v>
      </c>
      <c r="G46" s="209">
        <v>2011</v>
      </c>
      <c r="H46" s="201" t="s">
        <v>558</v>
      </c>
      <c r="I46" s="209"/>
      <c r="J46" s="83">
        <v>0</v>
      </c>
      <c r="K46" s="136">
        <v>0</v>
      </c>
      <c r="L46" s="116">
        <v>156</v>
      </c>
      <c r="M46" s="136">
        <v>564</v>
      </c>
      <c r="N46" s="129">
        <f t="shared" si="13"/>
        <v>0</v>
      </c>
      <c r="O46" s="129">
        <f t="shared" si="14"/>
        <v>0.78333333333333333</v>
      </c>
      <c r="P46" s="129">
        <f t="shared" si="15"/>
        <v>0</v>
      </c>
      <c r="Q46" s="117"/>
      <c r="R46" s="152" t="b">
        <f t="shared" si="4"/>
        <v>0</v>
      </c>
      <c r="U46" s="19"/>
    </row>
    <row r="47" spans="1:23" s="152" customFormat="1" ht="15" customHeight="1">
      <c r="A47" s="64"/>
      <c r="B47" s="18">
        <v>4</v>
      </c>
      <c r="C47" s="209" t="s">
        <v>436</v>
      </c>
      <c r="D47" s="209" t="s">
        <v>1763</v>
      </c>
      <c r="E47" s="209" t="s">
        <v>1940</v>
      </c>
      <c r="F47" s="209" t="s">
        <v>1760</v>
      </c>
      <c r="G47" s="209">
        <v>2017</v>
      </c>
      <c r="H47" s="201" t="s">
        <v>1941</v>
      </c>
      <c r="I47" s="209">
        <v>0.89</v>
      </c>
      <c r="J47" s="83">
        <v>0</v>
      </c>
      <c r="K47" s="136">
        <v>0</v>
      </c>
      <c r="L47" s="116">
        <v>216</v>
      </c>
      <c r="M47" s="136">
        <v>504</v>
      </c>
      <c r="N47" s="129">
        <f t="shared" si="13"/>
        <v>0</v>
      </c>
      <c r="O47" s="129">
        <f t="shared" si="14"/>
        <v>0.7</v>
      </c>
      <c r="P47" s="129">
        <f t="shared" si="15"/>
        <v>0</v>
      </c>
      <c r="Q47" s="117"/>
      <c r="R47" s="152" t="b">
        <f t="shared" si="4"/>
        <v>0</v>
      </c>
      <c r="U47" s="19"/>
    </row>
    <row r="48" spans="1:23" s="152" customFormat="1" ht="15" customHeight="1">
      <c r="A48" s="64"/>
      <c r="B48" s="18">
        <v>5</v>
      </c>
      <c r="C48" s="209" t="s">
        <v>436</v>
      </c>
      <c r="D48" s="209" t="s">
        <v>559</v>
      </c>
      <c r="E48" s="209" t="s">
        <v>1942</v>
      </c>
      <c r="F48" s="209" t="s">
        <v>1943</v>
      </c>
      <c r="G48" s="209">
        <v>2011</v>
      </c>
      <c r="H48" s="201" t="s">
        <v>1944</v>
      </c>
      <c r="I48" s="209"/>
      <c r="J48" s="83">
        <v>0</v>
      </c>
      <c r="K48" s="136">
        <v>0</v>
      </c>
      <c r="L48" s="116">
        <v>0</v>
      </c>
      <c r="M48" s="136">
        <v>720</v>
      </c>
      <c r="N48" s="129">
        <v>0</v>
      </c>
      <c r="O48" s="129">
        <f t="shared" ref="O48:O51" si="16">+(K48+M48)/(K48+L48+M48)</f>
        <v>1</v>
      </c>
      <c r="P48" s="129">
        <f t="shared" ref="P48:P51" si="17">+K48/(K48+M48)</f>
        <v>0</v>
      </c>
      <c r="Q48" s="117"/>
      <c r="R48" s="152" t="str">
        <f t="shared" si="4"/>
        <v>kmi</v>
      </c>
      <c r="U48" s="19"/>
    </row>
    <row r="49" spans="1:21" s="152" customFormat="1" ht="15" hidden="1" customHeight="1">
      <c r="A49" s="64"/>
      <c r="B49" s="18">
        <v>6</v>
      </c>
      <c r="C49" s="209" t="s">
        <v>436</v>
      </c>
      <c r="D49" s="209" t="s">
        <v>560</v>
      </c>
      <c r="E49" s="209" t="s">
        <v>1933</v>
      </c>
      <c r="F49" s="209" t="s">
        <v>1945</v>
      </c>
      <c r="G49" s="209">
        <v>2011</v>
      </c>
      <c r="H49" s="201" t="s">
        <v>561</v>
      </c>
      <c r="I49" s="209"/>
      <c r="J49" s="83">
        <v>0</v>
      </c>
      <c r="K49" s="136">
        <v>0</v>
      </c>
      <c r="L49" s="116">
        <v>0</v>
      </c>
      <c r="M49" s="136">
        <v>720</v>
      </c>
      <c r="N49" s="129"/>
      <c r="O49" s="129"/>
      <c r="P49" s="129"/>
      <c r="Q49" s="117"/>
      <c r="R49" s="152" t="b">
        <f t="shared" si="4"/>
        <v>0</v>
      </c>
      <c r="U49" s="19"/>
    </row>
    <row r="50" spans="1:21" s="152" customFormat="1" ht="15" customHeight="1">
      <c r="A50" s="64"/>
      <c r="B50" s="18">
        <v>6</v>
      </c>
      <c r="C50" s="209" t="s">
        <v>436</v>
      </c>
      <c r="D50" s="209" t="s">
        <v>562</v>
      </c>
      <c r="E50" s="227" t="s">
        <v>563</v>
      </c>
      <c r="F50" s="209" t="s">
        <v>353</v>
      </c>
      <c r="G50" s="209">
        <v>2012</v>
      </c>
      <c r="H50" s="201" t="s">
        <v>353</v>
      </c>
      <c r="I50" s="209"/>
      <c r="J50" s="83">
        <v>0</v>
      </c>
      <c r="K50" s="136">
        <v>0</v>
      </c>
      <c r="L50" s="116">
        <v>0</v>
      </c>
      <c r="M50" s="136">
        <v>720</v>
      </c>
      <c r="N50" s="129">
        <v>0</v>
      </c>
      <c r="O50" s="129">
        <f t="shared" si="16"/>
        <v>1</v>
      </c>
      <c r="P50" s="129">
        <f t="shared" si="17"/>
        <v>0</v>
      </c>
      <c r="Q50" s="117"/>
      <c r="R50" s="152" t="str">
        <f t="shared" si="4"/>
        <v>kmi</v>
      </c>
      <c r="U50" s="19"/>
    </row>
    <row r="51" spans="1:21" s="152" customFormat="1" ht="15" customHeight="1">
      <c r="A51" s="64"/>
      <c r="B51" s="18">
        <v>7</v>
      </c>
      <c r="C51" s="209" t="s">
        <v>436</v>
      </c>
      <c r="D51" s="209" t="s">
        <v>354</v>
      </c>
      <c r="E51" s="209" t="s">
        <v>563</v>
      </c>
      <c r="F51" s="209" t="s">
        <v>353</v>
      </c>
      <c r="G51" s="209">
        <v>2012</v>
      </c>
      <c r="H51" s="201" t="s">
        <v>353</v>
      </c>
      <c r="I51" s="209"/>
      <c r="J51" s="83">
        <v>0</v>
      </c>
      <c r="K51" s="136">
        <v>0</v>
      </c>
      <c r="L51" s="116">
        <v>24</v>
      </c>
      <c r="M51" s="136">
        <v>696</v>
      </c>
      <c r="N51" s="129">
        <v>0</v>
      </c>
      <c r="O51" s="129">
        <f t="shared" si="16"/>
        <v>0.96666666666666667</v>
      </c>
      <c r="P51" s="129">
        <f t="shared" si="17"/>
        <v>0</v>
      </c>
      <c r="Q51" s="117"/>
      <c r="R51" s="152" t="str">
        <f t="shared" si="4"/>
        <v>kmi</v>
      </c>
      <c r="U51" s="19"/>
    </row>
    <row r="52" spans="1:21" s="152" customFormat="1" ht="15" customHeight="1">
      <c r="A52" s="64"/>
      <c r="B52" s="18">
        <v>8</v>
      </c>
      <c r="C52" s="209" t="s">
        <v>436</v>
      </c>
      <c r="D52" s="209" t="s">
        <v>355</v>
      </c>
      <c r="E52" s="209" t="s">
        <v>563</v>
      </c>
      <c r="F52" s="209" t="s">
        <v>353</v>
      </c>
      <c r="G52" s="209">
        <v>2012</v>
      </c>
      <c r="H52" s="201" t="s">
        <v>353</v>
      </c>
      <c r="I52" s="209"/>
      <c r="J52" s="83">
        <v>0</v>
      </c>
      <c r="K52" s="136">
        <v>0</v>
      </c>
      <c r="L52" s="116">
        <v>0</v>
      </c>
      <c r="M52" s="136">
        <v>720</v>
      </c>
      <c r="N52" s="129">
        <v>0</v>
      </c>
      <c r="O52" s="129">
        <f t="shared" si="14"/>
        <v>1</v>
      </c>
      <c r="P52" s="129">
        <f t="shared" si="15"/>
        <v>0</v>
      </c>
      <c r="Q52" s="117"/>
      <c r="R52" s="152" t="str">
        <f t="shared" si="4"/>
        <v>kmi</v>
      </c>
      <c r="U52" s="19"/>
    </row>
    <row r="53" spans="1:21" s="152" customFormat="1" ht="15" customHeight="1">
      <c r="A53" s="64"/>
      <c r="B53" s="18">
        <v>9</v>
      </c>
      <c r="C53" s="209" t="s">
        <v>436</v>
      </c>
      <c r="D53" s="209" t="s">
        <v>2123</v>
      </c>
      <c r="E53" s="209" t="s">
        <v>2124</v>
      </c>
      <c r="F53" s="209" t="s">
        <v>2125</v>
      </c>
      <c r="G53" s="209">
        <v>2012</v>
      </c>
      <c r="H53" s="201" t="s">
        <v>353</v>
      </c>
      <c r="I53" s="209"/>
      <c r="J53" s="83">
        <v>0</v>
      </c>
      <c r="K53" s="136">
        <v>0</v>
      </c>
      <c r="L53" s="116">
        <v>0</v>
      </c>
      <c r="M53" s="136">
        <v>720</v>
      </c>
      <c r="N53" s="129">
        <v>0</v>
      </c>
      <c r="O53" s="129">
        <f t="shared" ref="O53" si="18">+(K53+M53)/(K53+L53+M53)</f>
        <v>1</v>
      </c>
      <c r="P53" s="129">
        <f t="shared" ref="P53" si="19">+K53/(K53+M53)</f>
        <v>0</v>
      </c>
      <c r="Q53" s="67"/>
      <c r="R53" s="152" t="str">
        <f t="shared" si="4"/>
        <v>kmi</v>
      </c>
      <c r="U53" s="19"/>
    </row>
    <row r="54" spans="1:21" s="152" customFormat="1" ht="15" hidden="1" customHeight="1">
      <c r="A54" s="64"/>
      <c r="B54" s="6"/>
      <c r="C54" s="6"/>
      <c r="D54" s="6"/>
      <c r="E54" s="6"/>
      <c r="F54" s="6"/>
      <c r="G54" s="6"/>
      <c r="H54" s="6"/>
      <c r="I54" s="6"/>
      <c r="J54" s="83"/>
      <c r="K54" s="6"/>
      <c r="L54" s="6"/>
      <c r="M54" s="6"/>
      <c r="N54" s="6"/>
      <c r="O54" s="6"/>
      <c r="P54" s="6"/>
      <c r="Q54" s="67"/>
      <c r="R54" s="152" t="b">
        <f t="shared" si="4"/>
        <v>0</v>
      </c>
      <c r="U54" s="19"/>
    </row>
    <row r="55" spans="1:21" s="152" customFormat="1" ht="15" hidden="1" customHeight="1">
      <c r="A55" s="64"/>
      <c r="B55" s="6"/>
      <c r="C55" s="6"/>
      <c r="D55" s="6"/>
      <c r="E55" s="6"/>
      <c r="F55" s="6"/>
      <c r="G55" s="6"/>
      <c r="H55" s="6"/>
      <c r="I55" s="6"/>
      <c r="J55" s="83"/>
      <c r="K55" s="6"/>
      <c r="L55" s="6"/>
      <c r="M55" s="6"/>
      <c r="N55" s="6"/>
      <c r="O55" s="6"/>
      <c r="P55" s="6"/>
      <c r="Q55" s="67"/>
      <c r="R55" s="152" t="b">
        <f t="shared" si="4"/>
        <v>0</v>
      </c>
      <c r="U55" s="19"/>
    </row>
    <row r="56" spans="1:21" s="152" customFormat="1" ht="15" hidden="1" customHeight="1">
      <c r="A56" s="64"/>
      <c r="B56" s="6"/>
      <c r="C56" s="6"/>
      <c r="D56" s="6"/>
      <c r="E56" s="6"/>
      <c r="F56" s="6"/>
      <c r="G56" s="6"/>
      <c r="H56" s="6"/>
      <c r="I56" s="6"/>
      <c r="J56" s="83"/>
      <c r="K56" s="6"/>
      <c r="L56" s="6"/>
      <c r="M56" s="6"/>
      <c r="N56" s="6"/>
      <c r="O56" s="6"/>
      <c r="P56" s="6"/>
      <c r="Q56" s="67"/>
      <c r="R56" s="152" t="b">
        <f t="shared" si="4"/>
        <v>0</v>
      </c>
      <c r="U56" s="19"/>
    </row>
    <row r="57" spans="1:21" s="152" customFormat="1" ht="15" hidden="1" customHeight="1">
      <c r="A57" s="153"/>
      <c r="B57" s="18"/>
      <c r="C57" s="18"/>
      <c r="D57" s="18"/>
      <c r="E57" s="18"/>
      <c r="F57" s="18"/>
      <c r="G57" s="18"/>
      <c r="H57" s="21"/>
      <c r="I57" s="18"/>
      <c r="J57" s="135"/>
      <c r="K57" s="136"/>
      <c r="L57" s="116"/>
      <c r="M57" s="136"/>
      <c r="N57" s="129"/>
      <c r="O57" s="129"/>
      <c r="P57" s="129"/>
      <c r="Q57" s="117"/>
      <c r="R57" s="152" t="b">
        <f t="shared" si="4"/>
        <v>0</v>
      </c>
    </row>
    <row r="58" spans="1:21" s="152" customFormat="1" ht="15" hidden="1" customHeight="1">
      <c r="A58" s="153"/>
      <c r="B58" s="18"/>
      <c r="C58" s="18"/>
      <c r="D58" s="18"/>
      <c r="E58" s="18"/>
      <c r="F58" s="18"/>
      <c r="G58" s="18"/>
      <c r="H58" s="21"/>
      <c r="I58" s="18"/>
      <c r="J58" s="135"/>
      <c r="K58" s="136"/>
      <c r="L58" s="116"/>
      <c r="M58" s="136"/>
      <c r="N58" s="129"/>
      <c r="O58" s="129"/>
      <c r="P58" s="129"/>
      <c r="Q58" s="117"/>
      <c r="R58" s="152" t="b">
        <f t="shared" si="4"/>
        <v>0</v>
      </c>
    </row>
    <row r="59" spans="1:21" s="152" customFormat="1" ht="15" hidden="1" customHeight="1">
      <c r="A59" s="153"/>
      <c r="B59" s="18"/>
      <c r="C59" s="18"/>
      <c r="D59" s="18"/>
      <c r="E59" s="18"/>
      <c r="F59" s="18"/>
      <c r="G59" s="18"/>
      <c r="H59" s="21"/>
      <c r="I59" s="18"/>
      <c r="J59" s="135"/>
      <c r="K59" s="136"/>
      <c r="L59" s="116"/>
      <c r="M59" s="136"/>
      <c r="N59" s="129"/>
      <c r="O59" s="129"/>
      <c r="P59" s="129"/>
      <c r="Q59" s="117"/>
      <c r="R59" s="152" t="b">
        <f t="shared" si="4"/>
        <v>0</v>
      </c>
    </row>
    <row r="60" spans="1:21" s="152" customFormat="1" ht="15" hidden="1" customHeight="1">
      <c r="A60" s="153"/>
      <c r="B60" s="18"/>
      <c r="C60" s="18"/>
      <c r="D60" s="18"/>
      <c r="E60" s="18"/>
      <c r="F60" s="18"/>
      <c r="G60" s="18"/>
      <c r="H60" s="21"/>
      <c r="I60" s="18"/>
      <c r="J60" s="135"/>
      <c r="K60" s="136"/>
      <c r="L60" s="116"/>
      <c r="M60" s="136"/>
      <c r="N60" s="129"/>
      <c r="O60" s="129"/>
      <c r="P60" s="129"/>
      <c r="Q60" s="117"/>
      <c r="R60" s="152" t="b">
        <f t="shared" si="4"/>
        <v>0</v>
      </c>
    </row>
    <row r="61" spans="1:21" s="152" customFormat="1" ht="15" hidden="1" customHeight="1">
      <c r="A61" s="153"/>
      <c r="B61" s="18"/>
      <c r="C61" s="18"/>
      <c r="D61" s="18"/>
      <c r="E61" s="18"/>
      <c r="F61" s="18"/>
      <c r="G61" s="18"/>
      <c r="H61" s="21"/>
      <c r="I61" s="18"/>
      <c r="J61" s="135"/>
      <c r="K61" s="136"/>
      <c r="L61" s="116"/>
      <c r="M61" s="136"/>
      <c r="N61" s="129"/>
      <c r="O61" s="129"/>
      <c r="P61" s="129"/>
      <c r="Q61" s="117"/>
      <c r="R61" s="152" t="b">
        <f t="shared" si="4"/>
        <v>0</v>
      </c>
    </row>
    <row r="62" spans="1:21" s="152" customFormat="1" ht="15" hidden="1" customHeight="1">
      <c r="A62" s="153"/>
      <c r="B62" s="18"/>
      <c r="C62" s="18"/>
      <c r="D62" s="18"/>
      <c r="E62" s="18"/>
      <c r="F62" s="18"/>
      <c r="G62" s="18"/>
      <c r="H62" s="21"/>
      <c r="I62" s="18"/>
      <c r="J62" s="135"/>
      <c r="K62" s="136"/>
      <c r="L62" s="116"/>
      <c r="M62" s="136"/>
      <c r="N62" s="129"/>
      <c r="O62" s="129"/>
      <c r="P62" s="129"/>
      <c r="Q62" s="117"/>
      <c r="R62" s="152" t="b">
        <f t="shared" si="4"/>
        <v>0</v>
      </c>
    </row>
    <row r="63" spans="1:21" s="152" customFormat="1" ht="15" hidden="1" customHeight="1">
      <c r="A63" s="153"/>
      <c r="B63" s="18"/>
      <c r="C63" s="18"/>
      <c r="D63" s="18"/>
      <c r="E63" s="18"/>
      <c r="F63" s="18"/>
      <c r="G63" s="18"/>
      <c r="H63" s="21"/>
      <c r="I63" s="18"/>
      <c r="J63" s="135"/>
      <c r="K63" s="136"/>
      <c r="L63" s="116"/>
      <c r="M63" s="136"/>
      <c r="N63" s="129"/>
      <c r="O63" s="129"/>
      <c r="P63" s="129"/>
      <c r="Q63" s="117"/>
      <c r="R63" s="152" t="b">
        <f t="shared" si="4"/>
        <v>0</v>
      </c>
    </row>
    <row r="64" spans="1:21" s="152" customFormat="1" ht="15" hidden="1" customHeight="1">
      <c r="A64" s="153"/>
      <c r="B64" s="18"/>
      <c r="C64" s="18"/>
      <c r="D64" s="18"/>
      <c r="E64" s="18"/>
      <c r="F64" s="18"/>
      <c r="G64" s="18"/>
      <c r="H64" s="21"/>
      <c r="I64" s="18"/>
      <c r="J64" s="135"/>
      <c r="K64" s="136"/>
      <c r="L64" s="116"/>
      <c r="M64" s="136"/>
      <c r="N64" s="129"/>
      <c r="O64" s="129"/>
      <c r="P64" s="129"/>
      <c r="Q64" s="117"/>
      <c r="R64" s="152" t="b">
        <f t="shared" si="4"/>
        <v>0</v>
      </c>
    </row>
    <row r="65" spans="1:23" s="152" customFormat="1" ht="15" hidden="1" customHeight="1">
      <c r="A65" s="153"/>
      <c r="B65" s="18"/>
      <c r="C65" s="18"/>
      <c r="D65" s="18"/>
      <c r="E65" s="18"/>
      <c r="F65" s="18"/>
      <c r="G65" s="18"/>
      <c r="H65" s="21"/>
      <c r="I65" s="18"/>
      <c r="J65" s="19"/>
      <c r="R65" s="152" t="b">
        <f t="shared" si="4"/>
        <v>0</v>
      </c>
    </row>
    <row r="66" spans="1:23" s="152" customFormat="1" ht="15" hidden="1" customHeight="1">
      <c r="A66" s="153"/>
      <c r="B66" s="18"/>
      <c r="C66" s="18"/>
      <c r="D66" s="18"/>
      <c r="E66" s="18"/>
      <c r="F66" s="18"/>
      <c r="G66" s="18"/>
      <c r="H66" s="21"/>
      <c r="I66" s="18"/>
      <c r="J66" s="19"/>
      <c r="R66" s="152" t="b">
        <f t="shared" si="4"/>
        <v>0</v>
      </c>
    </row>
    <row r="67" spans="1:23" s="152" customFormat="1" ht="15" hidden="1" customHeight="1">
      <c r="A67" s="153"/>
      <c r="B67" s="18"/>
      <c r="C67" s="18"/>
      <c r="D67" s="18"/>
      <c r="E67" s="18"/>
      <c r="F67" s="18"/>
      <c r="G67" s="18"/>
      <c r="H67" s="21"/>
      <c r="I67" s="18"/>
      <c r="J67" s="19"/>
      <c r="R67" s="152" t="b">
        <f t="shared" si="4"/>
        <v>0</v>
      </c>
    </row>
    <row r="68" spans="1:23" s="152" customFormat="1" ht="15" hidden="1" customHeight="1">
      <c r="A68" s="153"/>
      <c r="B68" s="18"/>
      <c r="C68" s="18"/>
      <c r="D68" s="18"/>
      <c r="E68" s="18"/>
      <c r="F68" s="18"/>
      <c r="G68" s="18"/>
      <c r="H68" s="21"/>
      <c r="I68" s="18"/>
      <c r="J68" s="19"/>
      <c r="R68" s="152" t="b">
        <f t="shared" si="4"/>
        <v>0</v>
      </c>
    </row>
    <row r="69" spans="1:23" s="15" customFormat="1" ht="15" hidden="1" customHeight="1">
      <c r="A69" s="79"/>
      <c r="B69" s="18"/>
      <c r="C69" s="18"/>
      <c r="D69" s="18"/>
      <c r="E69" s="18"/>
      <c r="F69" s="18"/>
      <c r="G69" s="18"/>
      <c r="H69" s="21"/>
      <c r="I69" s="18"/>
      <c r="J69" s="19"/>
      <c r="R69" s="152" t="b">
        <f t="shared" si="4"/>
        <v>0</v>
      </c>
      <c r="U69" s="152"/>
      <c r="W69" s="152"/>
    </row>
    <row r="70" spans="1:23" s="152" customFormat="1" ht="15" hidden="1" customHeight="1">
      <c r="A70" s="153"/>
      <c r="B70" s="18"/>
      <c r="C70" s="18"/>
      <c r="D70" s="18"/>
      <c r="E70" s="18"/>
      <c r="F70" s="18"/>
      <c r="G70" s="18"/>
      <c r="H70" s="21"/>
      <c r="I70" s="18"/>
      <c r="J70" s="19"/>
      <c r="R70" s="152" t="b">
        <f t="shared" si="4"/>
        <v>0</v>
      </c>
      <c r="W70" s="15"/>
    </row>
    <row r="71" spans="1:23" s="152" customFormat="1" ht="15" hidden="1" customHeight="1">
      <c r="A71" s="153"/>
      <c r="B71" s="18"/>
      <c r="C71" s="18"/>
      <c r="D71" s="18"/>
      <c r="E71" s="18"/>
      <c r="F71" s="18"/>
      <c r="G71" s="18"/>
      <c r="H71" s="21"/>
      <c r="I71" s="18"/>
      <c r="J71" s="19"/>
      <c r="R71" s="152" t="b">
        <f t="shared" si="4"/>
        <v>0</v>
      </c>
    </row>
    <row r="72" spans="1:23" s="152" customFormat="1" ht="15" hidden="1" customHeight="1">
      <c r="A72" s="153"/>
      <c r="B72" s="18"/>
      <c r="C72" s="18"/>
      <c r="D72" s="18"/>
      <c r="E72" s="18"/>
      <c r="F72" s="18"/>
      <c r="G72" s="18"/>
      <c r="H72" s="21"/>
      <c r="I72" s="18"/>
      <c r="J72" s="19"/>
      <c r="R72" s="152" t="b">
        <f t="shared" si="4"/>
        <v>0</v>
      </c>
      <c r="U72" s="15"/>
    </row>
    <row r="73" spans="1:23" s="4" customFormat="1" ht="15" customHeight="1" thickBot="1">
      <c r="A73" s="78"/>
      <c r="B73" s="324" t="s">
        <v>22</v>
      </c>
      <c r="C73" s="325"/>
      <c r="D73" s="325"/>
      <c r="E73" s="326"/>
      <c r="F73" s="70">
        <f>+COUNTA(E44:E53)</f>
        <v>10</v>
      </c>
      <c r="G73" s="71"/>
      <c r="H73" s="72"/>
      <c r="I73" s="72"/>
      <c r="J73" s="113"/>
      <c r="M73" s="152"/>
      <c r="N73" s="152"/>
      <c r="R73" s="152" t="b">
        <f t="shared" si="4"/>
        <v>0</v>
      </c>
      <c r="U73" s="152"/>
      <c r="W73" s="152"/>
    </row>
    <row r="74" spans="1:23" s="152" customFormat="1" ht="15" customHeight="1">
      <c r="K74" s="144"/>
      <c r="L74" s="144"/>
      <c r="M74" s="144"/>
      <c r="N74" s="144"/>
      <c r="O74" s="144"/>
      <c r="P74" s="144"/>
      <c r="Q74" s="144"/>
      <c r="W74" s="4"/>
    </row>
    <row r="75" spans="1:23" s="152" customFormat="1" ht="15" customHeight="1">
      <c r="K75" s="144"/>
      <c r="L75" s="144"/>
      <c r="M75" s="144"/>
      <c r="N75" s="144"/>
      <c r="O75" s="144"/>
      <c r="P75" s="144"/>
      <c r="Q75" s="144"/>
    </row>
    <row r="76" spans="1:23" ht="15" customHeight="1">
      <c r="A76" s="160"/>
      <c r="B76" s="160"/>
      <c r="C76" s="160"/>
      <c r="D76" s="160"/>
      <c r="E76" s="160"/>
      <c r="F76" s="160"/>
      <c r="G76" s="160"/>
      <c r="H76" s="160"/>
      <c r="I76" s="160"/>
      <c r="J76" s="160"/>
      <c r="K76" s="144"/>
      <c r="L76" s="144"/>
      <c r="M76" s="144"/>
      <c r="N76" s="144"/>
      <c r="O76" s="144"/>
      <c r="P76" s="144"/>
      <c r="Q76" s="144"/>
      <c r="R76" s="152"/>
      <c r="U76" s="4"/>
      <c r="W76" s="152"/>
    </row>
    <row r="77" spans="1:23" ht="15" customHeight="1">
      <c r="A77" s="160"/>
      <c r="B77" s="160"/>
      <c r="C77" s="160"/>
      <c r="D77" s="160"/>
      <c r="E77" s="160"/>
      <c r="F77" s="160"/>
      <c r="G77" s="160"/>
      <c r="H77" s="160"/>
      <c r="I77" s="160"/>
      <c r="J77" s="160"/>
      <c r="K77" s="144"/>
      <c r="L77" s="144"/>
      <c r="M77" s="144"/>
      <c r="N77" s="144"/>
      <c r="O77" s="144"/>
      <c r="P77" s="144"/>
      <c r="Q77" s="144"/>
      <c r="U77" s="152"/>
    </row>
    <row r="78" spans="1:23" ht="15" customHeight="1">
      <c r="A78" s="160"/>
      <c r="B78" s="160"/>
      <c r="C78" s="160"/>
      <c r="D78" s="160"/>
      <c r="E78" s="160"/>
      <c r="F78" s="160"/>
      <c r="G78" s="160"/>
      <c r="H78" s="160"/>
      <c r="I78" s="160"/>
      <c r="J78" s="160"/>
      <c r="K78" s="144"/>
      <c r="L78" s="144"/>
      <c r="M78" s="144"/>
      <c r="N78" s="144"/>
      <c r="O78" s="144"/>
      <c r="P78" s="144"/>
      <c r="Q78" s="144"/>
      <c r="U78" s="152"/>
    </row>
    <row r="79" spans="1:23" ht="15" customHeight="1">
      <c r="A79" s="160"/>
      <c r="B79" s="160"/>
      <c r="C79" s="160"/>
      <c r="D79" s="160"/>
      <c r="E79" s="160"/>
      <c r="F79" s="160"/>
      <c r="G79" s="160"/>
      <c r="H79" s="160"/>
      <c r="I79" s="160"/>
      <c r="J79" s="160"/>
      <c r="K79" s="144"/>
      <c r="L79" s="144"/>
      <c r="M79" s="144"/>
      <c r="N79" s="144"/>
      <c r="O79" s="144"/>
      <c r="P79" s="144"/>
      <c r="Q79" s="144"/>
    </row>
    <row r="80" spans="1:23" ht="12.75" customHeight="1">
      <c r="A80" s="160"/>
      <c r="B80" s="160"/>
      <c r="C80" s="160"/>
      <c r="D80" s="160"/>
      <c r="E80" s="160"/>
      <c r="F80" s="160"/>
      <c r="G80" s="160"/>
      <c r="H80" s="160"/>
      <c r="I80" s="160"/>
      <c r="J80" s="160"/>
      <c r="K80" s="144"/>
      <c r="L80" s="144"/>
      <c r="M80" s="144"/>
      <c r="N80" s="144"/>
      <c r="O80" s="144"/>
      <c r="P80" s="144"/>
      <c r="Q80" s="144"/>
    </row>
    <row r="81" spans="1:17" ht="12.75" customHeight="1">
      <c r="A81" s="160"/>
      <c r="B81" s="160"/>
      <c r="C81" s="160"/>
      <c r="D81" s="160"/>
      <c r="E81" s="160"/>
      <c r="F81" s="160"/>
      <c r="G81" s="160"/>
      <c r="H81" s="160"/>
      <c r="I81" s="160"/>
      <c r="J81" s="160"/>
      <c r="K81" s="144"/>
      <c r="L81" s="144"/>
      <c r="M81" s="144"/>
      <c r="N81" s="144"/>
      <c r="O81" s="144"/>
      <c r="P81" s="144"/>
      <c r="Q81" s="144"/>
    </row>
    <row r="82" spans="1:17" ht="12.75" customHeight="1">
      <c r="A82" s="160"/>
      <c r="B82" s="160"/>
      <c r="C82" s="160"/>
      <c r="D82" s="160"/>
      <c r="E82" s="160"/>
      <c r="F82" s="160"/>
      <c r="G82" s="160"/>
      <c r="H82" s="160"/>
      <c r="I82" s="160"/>
      <c r="J82" s="160"/>
      <c r="K82" s="144"/>
      <c r="L82" s="144"/>
      <c r="M82" s="144"/>
      <c r="N82" s="144"/>
      <c r="O82" s="144"/>
      <c r="P82" s="144"/>
      <c r="Q82" s="144"/>
    </row>
    <row r="83" spans="1:17" ht="12.75" customHeight="1">
      <c r="A83" s="160"/>
      <c r="B83" s="160"/>
      <c r="C83" s="160"/>
      <c r="D83" s="160"/>
      <c r="E83" s="160"/>
      <c r="F83" s="160"/>
      <c r="G83" s="160"/>
      <c r="H83" s="160"/>
      <c r="I83" s="160"/>
      <c r="J83" s="160"/>
      <c r="K83" s="144"/>
      <c r="L83" s="144"/>
      <c r="M83" s="144"/>
      <c r="N83" s="144"/>
      <c r="O83" s="144"/>
      <c r="P83" s="144"/>
      <c r="Q83" s="144"/>
    </row>
    <row r="84" spans="1:17" ht="12.75" customHeight="1">
      <c r="A84" s="160"/>
      <c r="B84" s="160"/>
      <c r="C84" s="160"/>
      <c r="D84" s="160"/>
      <c r="E84" s="160"/>
      <c r="F84" s="160"/>
      <c r="G84" s="160"/>
      <c r="H84" s="160"/>
      <c r="I84" s="160"/>
      <c r="J84" s="160"/>
      <c r="K84" s="144"/>
      <c r="L84" s="144"/>
      <c r="M84" s="144"/>
      <c r="N84" s="144"/>
      <c r="O84" s="144"/>
      <c r="P84" s="144"/>
      <c r="Q84" s="144"/>
    </row>
    <row r="85" spans="1:17" ht="12.75" customHeight="1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44"/>
      <c r="L85" s="144"/>
      <c r="M85" s="144"/>
      <c r="N85" s="144"/>
      <c r="O85" s="144"/>
      <c r="P85" s="144"/>
      <c r="Q85" s="144"/>
    </row>
    <row r="86" spans="1:17" ht="12.75" customHeight="1">
      <c r="K86" s="144"/>
      <c r="L86" s="144"/>
      <c r="M86" s="144"/>
      <c r="N86" s="144"/>
      <c r="O86" s="144"/>
      <c r="P86" s="144"/>
      <c r="Q86" s="144"/>
    </row>
    <row r="87" spans="1:17" ht="12.75" customHeight="1">
      <c r="K87" s="144"/>
      <c r="L87" s="144"/>
      <c r="M87" s="144"/>
      <c r="N87" s="144"/>
      <c r="O87" s="144"/>
      <c r="P87" s="144"/>
      <c r="Q87" s="144"/>
    </row>
    <row r="88" spans="1:17" ht="12.75" customHeight="1">
      <c r="K88" s="144"/>
      <c r="L88" s="144"/>
      <c r="M88" s="144"/>
      <c r="N88" s="144"/>
      <c r="O88" s="144"/>
      <c r="P88" s="144"/>
      <c r="Q88" s="144"/>
    </row>
    <row r="89" spans="1:17" ht="12.75" customHeight="1">
      <c r="K89" s="144"/>
      <c r="L89" s="144"/>
      <c r="M89" s="144"/>
      <c r="N89" s="144"/>
      <c r="O89" s="144"/>
      <c r="P89" s="144"/>
      <c r="Q89" s="144"/>
    </row>
    <row r="90" spans="1:17" ht="12.75" customHeight="1">
      <c r="K90" s="144"/>
      <c r="L90" s="144"/>
      <c r="M90" s="144"/>
      <c r="N90" s="144"/>
      <c r="O90" s="144"/>
      <c r="P90" s="144"/>
      <c r="Q90" s="144"/>
    </row>
    <row r="91" spans="1:17" ht="12.75" customHeight="1">
      <c r="K91" s="144"/>
      <c r="L91" s="144"/>
      <c r="M91" s="144"/>
      <c r="N91" s="144"/>
      <c r="O91" s="144"/>
      <c r="P91" s="144"/>
      <c r="Q91" s="144"/>
    </row>
    <row r="92" spans="1:17" ht="12.75" customHeight="1">
      <c r="K92" s="144"/>
      <c r="L92" s="144"/>
      <c r="M92" s="144"/>
      <c r="N92" s="144"/>
      <c r="O92" s="144"/>
      <c r="P92" s="144"/>
      <c r="Q92" s="144"/>
    </row>
    <row r="93" spans="1:17" ht="12.75" customHeight="1">
      <c r="K93" s="144"/>
      <c r="L93" s="144"/>
      <c r="M93" s="144"/>
      <c r="N93" s="144"/>
      <c r="O93" s="144"/>
      <c r="P93" s="144"/>
      <c r="Q93" s="144"/>
    </row>
    <row r="94" spans="1:17" ht="12.75" customHeight="1">
      <c r="K94" s="144"/>
      <c r="L94" s="144"/>
      <c r="M94" s="144"/>
      <c r="N94" s="144"/>
      <c r="O94" s="144"/>
      <c r="P94" s="144"/>
      <c r="Q94" s="144"/>
    </row>
    <row r="95" spans="1:17">
      <c r="K95" s="144"/>
      <c r="L95" s="144"/>
      <c r="M95" s="144"/>
      <c r="N95" s="144"/>
      <c r="O95" s="144"/>
      <c r="P95" s="144"/>
      <c r="Q95" s="144"/>
    </row>
    <row r="96" spans="1:17">
      <c r="K96" s="144"/>
      <c r="L96" s="144"/>
      <c r="M96" s="144"/>
      <c r="N96" s="144"/>
      <c r="O96" s="144"/>
      <c r="P96" s="144"/>
      <c r="Q96" s="144"/>
    </row>
    <row r="97" spans="11:17">
      <c r="K97" s="144"/>
      <c r="L97" s="144"/>
      <c r="M97" s="144"/>
      <c r="N97" s="144"/>
      <c r="O97" s="144"/>
      <c r="P97" s="144"/>
      <c r="Q97" s="144"/>
    </row>
    <row r="98" spans="11:17">
      <c r="K98" s="144"/>
      <c r="L98" s="144"/>
      <c r="M98" s="144"/>
      <c r="N98" s="144"/>
      <c r="O98" s="144"/>
      <c r="P98" s="144"/>
      <c r="Q98" s="144"/>
    </row>
    <row r="99" spans="11:17">
      <c r="K99" s="144"/>
      <c r="L99" s="144"/>
      <c r="M99" s="144"/>
      <c r="N99" s="144"/>
      <c r="O99" s="144"/>
      <c r="P99" s="144"/>
      <c r="Q99" s="144"/>
    </row>
    <row r="100" spans="11:17">
      <c r="K100" s="144"/>
      <c r="L100" s="144"/>
      <c r="M100" s="144"/>
      <c r="N100" s="144"/>
      <c r="O100" s="144"/>
      <c r="P100" s="144"/>
      <c r="Q100" s="144"/>
    </row>
    <row r="101" spans="11:17">
      <c r="K101" s="144"/>
      <c r="L101" s="144"/>
      <c r="M101" s="144"/>
      <c r="N101" s="144"/>
      <c r="O101" s="144"/>
      <c r="P101" s="144"/>
      <c r="Q101" s="144"/>
    </row>
    <row r="102" spans="11:17">
      <c r="K102" s="144"/>
      <c r="L102" s="144"/>
      <c r="M102" s="144"/>
      <c r="N102" s="144"/>
      <c r="O102" s="144"/>
      <c r="P102" s="144"/>
      <c r="Q102" s="144"/>
    </row>
    <row r="103" spans="11:17">
      <c r="K103" s="144"/>
      <c r="L103" s="144"/>
      <c r="M103" s="144"/>
      <c r="N103" s="144"/>
      <c r="O103" s="144"/>
      <c r="P103" s="144"/>
      <c r="Q103" s="144"/>
    </row>
    <row r="104" spans="11:17">
      <c r="K104" s="144"/>
      <c r="L104" s="144"/>
      <c r="M104" s="144"/>
      <c r="N104" s="144"/>
      <c r="O104" s="144"/>
      <c r="P104" s="144"/>
      <c r="Q104" s="144"/>
    </row>
    <row r="105" spans="11:17">
      <c r="K105" s="144"/>
      <c r="L105" s="144"/>
      <c r="M105" s="144"/>
      <c r="N105" s="144"/>
      <c r="O105" s="144"/>
      <c r="P105" s="144"/>
      <c r="Q105" s="144"/>
    </row>
    <row r="106" spans="11:17">
      <c r="K106" s="144"/>
      <c r="L106" s="144"/>
      <c r="M106" s="144"/>
      <c r="N106" s="144"/>
      <c r="O106" s="144"/>
      <c r="P106" s="144"/>
      <c r="Q106" s="144"/>
    </row>
    <row r="107" spans="11:17">
      <c r="K107" s="144"/>
      <c r="L107" s="144"/>
      <c r="M107" s="144"/>
      <c r="N107" s="144"/>
      <c r="O107" s="144"/>
      <c r="P107" s="144"/>
      <c r="Q107" s="144"/>
    </row>
    <row r="108" spans="11:17">
      <c r="K108" s="144"/>
      <c r="L108" s="144"/>
      <c r="M108" s="144"/>
      <c r="N108" s="144"/>
      <c r="O108" s="144"/>
      <c r="P108" s="144"/>
      <c r="Q108" s="144"/>
    </row>
    <row r="109" spans="11:17">
      <c r="K109" s="144"/>
      <c r="L109" s="144"/>
      <c r="M109" s="144"/>
      <c r="N109" s="144"/>
      <c r="O109" s="144"/>
      <c r="P109" s="144"/>
      <c r="Q109" s="144"/>
    </row>
    <row r="110" spans="11:17">
      <c r="K110" s="144"/>
      <c r="L110" s="144"/>
      <c r="M110" s="144"/>
      <c r="N110" s="144"/>
      <c r="O110" s="144"/>
      <c r="P110" s="144"/>
      <c r="Q110" s="144"/>
    </row>
    <row r="111" spans="11:17">
      <c r="K111" s="144"/>
      <c r="L111" s="144"/>
      <c r="M111" s="144"/>
      <c r="N111" s="144"/>
      <c r="O111" s="144"/>
      <c r="P111" s="144"/>
      <c r="Q111" s="144"/>
    </row>
    <row r="112" spans="11:17">
      <c r="K112" s="144"/>
      <c r="L112" s="144"/>
      <c r="M112" s="144"/>
      <c r="N112" s="144"/>
      <c r="O112" s="144"/>
      <c r="P112" s="144"/>
      <c r="Q112" s="144"/>
    </row>
    <row r="113" spans="11:17">
      <c r="K113" s="144"/>
      <c r="L113" s="144"/>
      <c r="M113" s="144"/>
      <c r="N113" s="144"/>
      <c r="O113" s="144"/>
      <c r="P113" s="144"/>
      <c r="Q113" s="144"/>
    </row>
    <row r="114" spans="11:17">
      <c r="K114" s="144"/>
      <c r="L114" s="144"/>
      <c r="M114" s="144"/>
      <c r="N114" s="144"/>
      <c r="O114" s="144"/>
      <c r="P114" s="144"/>
      <c r="Q114" s="144"/>
    </row>
    <row r="115" spans="11:17">
      <c r="K115" s="144"/>
      <c r="L115" s="144"/>
      <c r="M115" s="144"/>
      <c r="N115" s="144"/>
      <c r="O115" s="144"/>
      <c r="P115" s="144"/>
      <c r="Q115" s="144"/>
    </row>
    <row r="116" spans="11:17">
      <c r="K116" s="144"/>
      <c r="L116" s="144"/>
      <c r="M116" s="144"/>
      <c r="N116" s="144"/>
      <c r="O116" s="144"/>
      <c r="P116" s="144"/>
      <c r="Q116" s="144"/>
    </row>
    <row r="117" spans="11:17">
      <c r="K117" s="144"/>
      <c r="L117" s="144"/>
      <c r="M117" s="144"/>
      <c r="N117" s="144"/>
      <c r="O117" s="144"/>
      <c r="P117" s="144"/>
      <c r="Q117" s="144"/>
    </row>
  </sheetData>
  <mergeCells count="9">
    <mergeCell ref="B14:E14"/>
    <mergeCell ref="B40:E40"/>
    <mergeCell ref="B73:E73"/>
    <mergeCell ref="A1:Q1"/>
    <mergeCell ref="A2:Q2"/>
    <mergeCell ref="A3:C3"/>
    <mergeCell ref="A6:C6"/>
    <mergeCell ref="A7:C7"/>
    <mergeCell ref="D7:E7"/>
  </mergeCells>
  <phoneticPr fontId="113" type="noConversion"/>
  <dataValidations count="2">
    <dataValidation type="list" allowBlank="1" showInputMessage="1" showErrorMessage="1" sqref="D3" xr:uid="{00000000-0002-0000-0900-000001000000}">
      <formula1>$U$4:$U$16</formula1>
    </dataValidation>
    <dataValidation type="list" allowBlank="1" showInputMessage="1" showErrorMessage="1" sqref="D6" xr:uid="{00000000-0002-0000-0900-000000000000}">
      <formula1>$V$4:$V$13</formula1>
    </dataValidation>
  </dataValidations>
  <printOptions horizontalCentered="1"/>
  <pageMargins left="0.4" right="0.4" top="0.7" bottom="0.7" header="0" footer="0.3"/>
  <pageSetup paperSize="9" scale="48" fitToHeight="0" orientation="portrait" horizontalDpi="4294967294" verticalDpi="4294967294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AE331"/>
  <sheetViews>
    <sheetView showGridLines="0" view="pageBreakPreview" zoomScale="85" zoomScaleNormal="100" zoomScaleSheetLayoutView="85" workbookViewId="0">
      <selection sqref="A1:Q1"/>
    </sheetView>
  </sheetViews>
  <sheetFormatPr defaultColWidth="10.28515625" defaultRowHeight="15"/>
  <cols>
    <col min="1" max="1" width="4.28515625" style="144" bestFit="1" customWidth="1"/>
    <col min="2" max="2" width="4.42578125" style="144" customWidth="1"/>
    <col min="3" max="3" width="12" style="149" customWidth="1"/>
    <col min="4" max="4" width="17.85546875" style="149" customWidth="1"/>
    <col min="5" max="5" width="16.140625" style="149" customWidth="1"/>
    <col min="6" max="6" width="14.28515625" style="144" customWidth="1"/>
    <col min="7" max="7" width="11" style="144" customWidth="1"/>
    <col min="8" max="8" width="14.85546875" style="144" customWidth="1"/>
    <col min="9" max="9" width="16.85546875" style="144" customWidth="1"/>
    <col min="10" max="10" width="14.28515625" style="144" customWidth="1"/>
    <col min="11" max="16" width="8.85546875" style="1" customWidth="1"/>
    <col min="17" max="17" width="15.42578125" style="1" customWidth="1"/>
    <col min="18" max="18" width="18.140625" style="144" customWidth="1"/>
    <col min="19" max="20" width="10.28515625" style="144"/>
    <col min="21" max="22" width="16.42578125" style="144" hidden="1" customWidth="1"/>
    <col min="23" max="23" width="10.28515625" style="144"/>
    <col min="24" max="26" width="9.7109375" style="144" customWidth="1"/>
    <col min="27" max="28" width="10.28515625" style="144"/>
    <col min="29" max="31" width="5.42578125" style="144" customWidth="1"/>
    <col min="32" max="16384" width="10.28515625" style="144"/>
  </cols>
  <sheetData>
    <row r="1" spans="1:23" s="52" customFormat="1" ht="24" customHeight="1">
      <c r="A1" s="339" t="s">
        <v>249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1"/>
    </row>
    <row r="2" spans="1:23" s="52" customFormat="1" ht="15" customHeight="1" thickBot="1">
      <c r="A2" s="342" t="s">
        <v>260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4"/>
    </row>
    <row r="3" spans="1:23" s="52" customFormat="1" ht="15" customHeight="1" thickTop="1">
      <c r="A3" s="345" t="s">
        <v>250</v>
      </c>
      <c r="B3" s="346"/>
      <c r="C3" s="346"/>
      <c r="D3" s="53" t="s">
        <v>187</v>
      </c>
      <c r="E3" s="54"/>
      <c r="F3" s="54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  <c r="U3" s="52" t="s">
        <v>250</v>
      </c>
      <c r="V3" s="52" t="s">
        <v>251</v>
      </c>
    </row>
    <row r="4" spans="1:23" s="52" customFormat="1" ht="15" customHeight="1">
      <c r="A4" s="81"/>
      <c r="B4" s="82"/>
      <c r="C4" s="82"/>
      <c r="D4" s="57" t="s">
        <v>252</v>
      </c>
      <c r="E4" s="58"/>
      <c r="F4" s="58"/>
      <c r="G4" s="4"/>
      <c r="H4" s="4"/>
      <c r="I4" s="4"/>
      <c r="J4" s="4"/>
      <c r="K4" s="4"/>
      <c r="L4" s="4"/>
      <c r="M4" s="4"/>
      <c r="N4" s="4"/>
      <c r="O4" s="4"/>
      <c r="P4" s="4"/>
      <c r="Q4" s="59"/>
      <c r="U4" s="52" t="s">
        <v>185</v>
      </c>
      <c r="V4" s="63" t="s">
        <v>467</v>
      </c>
    </row>
    <row r="5" spans="1:23" s="52" customFormat="1" ht="15" customHeight="1">
      <c r="A5" s="81"/>
      <c r="B5" s="82"/>
      <c r="C5" s="82"/>
      <c r="D5" s="57" t="s">
        <v>253</v>
      </c>
      <c r="E5" s="58"/>
      <c r="F5" s="58"/>
      <c r="G5" s="4"/>
      <c r="H5" s="4"/>
      <c r="I5" s="4"/>
      <c r="J5" s="4"/>
      <c r="K5" s="4"/>
      <c r="L5" s="4"/>
      <c r="M5" s="4"/>
      <c r="N5" s="4"/>
      <c r="O5" s="4"/>
      <c r="P5" s="4"/>
      <c r="Q5" s="59"/>
      <c r="U5" s="52" t="s">
        <v>261</v>
      </c>
      <c r="V5" s="63" t="s">
        <v>465</v>
      </c>
    </row>
    <row r="6" spans="1:23" s="52" customFormat="1" ht="15" customHeight="1">
      <c r="A6" s="347" t="s">
        <v>254</v>
      </c>
      <c r="B6" s="348"/>
      <c r="C6" s="348"/>
      <c r="D6" s="58" t="s">
        <v>465</v>
      </c>
      <c r="E6" s="58"/>
      <c r="F6" s="58"/>
      <c r="G6" s="4"/>
      <c r="H6" s="4"/>
      <c r="I6" s="4"/>
      <c r="J6" s="4"/>
      <c r="K6" s="4"/>
      <c r="L6" s="4"/>
      <c r="M6" s="4"/>
      <c r="N6" s="4"/>
      <c r="O6" s="4"/>
      <c r="P6" s="4"/>
      <c r="Q6" s="59"/>
      <c r="U6" s="52" t="s">
        <v>187</v>
      </c>
      <c r="V6" s="63" t="s">
        <v>466</v>
      </c>
    </row>
    <row r="7" spans="1:23" s="1" customFormat="1" ht="15" customHeight="1" thickBot="1">
      <c r="A7" s="349" t="s">
        <v>255</v>
      </c>
      <c r="B7" s="350"/>
      <c r="C7" s="350"/>
      <c r="D7" s="351">
        <f>+Pama!D7</f>
        <v>44652</v>
      </c>
      <c r="E7" s="351"/>
      <c r="F7" s="60"/>
      <c r="G7" s="61"/>
      <c r="H7" s="61"/>
      <c r="I7" s="84"/>
      <c r="J7" s="84"/>
      <c r="K7" s="84"/>
      <c r="L7" s="84"/>
      <c r="M7" s="84"/>
      <c r="N7" s="84"/>
      <c r="O7" s="84"/>
      <c r="P7" s="84"/>
      <c r="Q7" s="62" t="s">
        <v>284</v>
      </c>
      <c r="S7" s="52"/>
      <c r="T7" s="52"/>
      <c r="U7" s="52" t="s">
        <v>256</v>
      </c>
      <c r="V7" s="63" t="s">
        <v>340</v>
      </c>
      <c r="W7" s="52"/>
    </row>
    <row r="8" spans="1:23" s="4" customFormat="1" ht="15" customHeight="1" thickTop="1">
      <c r="A8" s="64"/>
      <c r="F8" s="16"/>
      <c r="Q8" s="59"/>
      <c r="U8" s="52" t="s">
        <v>191</v>
      </c>
      <c r="V8" s="63" t="s">
        <v>468</v>
      </c>
      <c r="W8" s="1"/>
    </row>
    <row r="9" spans="1:23" s="4" customFormat="1" ht="15" customHeight="1">
      <c r="A9" s="65" t="s">
        <v>0</v>
      </c>
      <c r="B9" s="66" t="s">
        <v>1</v>
      </c>
      <c r="F9" s="16"/>
      <c r="K9" s="93"/>
      <c r="Q9" s="59"/>
      <c r="U9" s="52" t="s">
        <v>434</v>
      </c>
      <c r="V9" s="52" t="s">
        <v>259</v>
      </c>
    </row>
    <row r="10" spans="1:23" s="4" customFormat="1" ht="15" customHeight="1">
      <c r="A10" s="64"/>
      <c r="B10" s="6" t="s">
        <v>2</v>
      </c>
      <c r="C10" s="6" t="s">
        <v>3</v>
      </c>
      <c r="D10" s="6" t="s">
        <v>4</v>
      </c>
      <c r="E10" s="6" t="s">
        <v>5</v>
      </c>
      <c r="F10" s="6" t="s">
        <v>6</v>
      </c>
      <c r="G10" s="6" t="s">
        <v>7</v>
      </c>
      <c r="H10" s="6" t="s">
        <v>8</v>
      </c>
      <c r="I10" s="83" t="s">
        <v>9</v>
      </c>
      <c r="J10" s="83" t="s">
        <v>267</v>
      </c>
      <c r="K10" s="6" t="s">
        <v>262</v>
      </c>
      <c r="L10" s="6" t="s">
        <v>268</v>
      </c>
      <c r="M10" s="6" t="s">
        <v>269</v>
      </c>
      <c r="N10" s="6" t="s">
        <v>263</v>
      </c>
      <c r="O10" s="6" t="s">
        <v>264</v>
      </c>
      <c r="P10" s="6" t="s">
        <v>265</v>
      </c>
      <c r="Q10" s="67" t="s">
        <v>266</v>
      </c>
      <c r="U10" s="52" t="s">
        <v>257</v>
      </c>
      <c r="V10" s="52"/>
    </row>
    <row r="11" spans="1:23" s="4" customFormat="1" ht="15" customHeight="1">
      <c r="A11" s="64"/>
      <c r="B11" s="7">
        <v>1</v>
      </c>
      <c r="C11" s="7" t="s">
        <v>193</v>
      </c>
      <c r="D11" s="34" t="s">
        <v>404</v>
      </c>
      <c r="E11" s="7" t="s">
        <v>134</v>
      </c>
      <c r="F11" s="34" t="s">
        <v>406</v>
      </c>
      <c r="G11" s="137">
        <v>2018</v>
      </c>
      <c r="H11" s="7" t="s">
        <v>13</v>
      </c>
      <c r="I11" s="138" t="s">
        <v>409</v>
      </c>
      <c r="J11" s="134"/>
      <c r="K11" s="131"/>
      <c r="L11" s="131"/>
      <c r="M11" s="131"/>
      <c r="N11" s="129" t="e">
        <f>+K11/(K11+L11)</f>
        <v>#DIV/0!</v>
      </c>
      <c r="O11" s="129" t="e">
        <f>+(K11+M11)/(K11+L11+M11)</f>
        <v>#DIV/0!</v>
      </c>
      <c r="P11" s="129" t="e">
        <f>+K11/(K11+M11)</f>
        <v>#DIV/0!</v>
      </c>
      <c r="Q11" s="114" t="e">
        <f>+J11/K11</f>
        <v>#DIV/0!</v>
      </c>
      <c r="U11" s="52" t="s">
        <v>339</v>
      </c>
      <c r="V11" s="52"/>
    </row>
    <row r="12" spans="1:23" s="4" customFormat="1" ht="15" customHeight="1">
      <c r="A12" s="64"/>
      <c r="B12" s="7">
        <f>+B11+1</f>
        <v>2</v>
      </c>
      <c r="C12" s="7" t="s">
        <v>193</v>
      </c>
      <c r="D12" s="137" t="s">
        <v>408</v>
      </c>
      <c r="E12" s="7" t="s">
        <v>134</v>
      </c>
      <c r="F12" s="34" t="s">
        <v>406</v>
      </c>
      <c r="G12" s="137">
        <v>2018</v>
      </c>
      <c r="H12" s="7" t="s">
        <v>13</v>
      </c>
      <c r="I12" s="138" t="s">
        <v>409</v>
      </c>
      <c r="J12" s="134"/>
      <c r="K12" s="131"/>
      <c r="L12" s="131"/>
      <c r="M12" s="131"/>
      <c r="N12" s="129" t="e">
        <f>+K12/(K12+L12)</f>
        <v>#DIV/0!</v>
      </c>
      <c r="O12" s="129" t="e">
        <f>+(K12+M12)/(K12+L12+M12)</f>
        <v>#DIV/0!</v>
      </c>
      <c r="P12" s="129" t="e">
        <f>+K12/(K12+M12)</f>
        <v>#DIV/0!</v>
      </c>
      <c r="Q12" s="114" t="e">
        <f>+J12/K12</f>
        <v>#DIV/0!</v>
      </c>
      <c r="U12" s="52" t="s">
        <v>437</v>
      </c>
      <c r="V12" s="52"/>
    </row>
    <row r="13" spans="1:23" s="4" customFormat="1" ht="15" customHeight="1">
      <c r="A13" s="64"/>
      <c r="B13" s="7">
        <f t="shared" ref="B13:B18" si="0">+B12+1</f>
        <v>3</v>
      </c>
      <c r="C13" s="7" t="s">
        <v>193</v>
      </c>
      <c r="D13" s="34" t="s">
        <v>407</v>
      </c>
      <c r="E13" s="7" t="s">
        <v>134</v>
      </c>
      <c r="F13" s="34" t="s">
        <v>406</v>
      </c>
      <c r="G13" s="137">
        <v>2018</v>
      </c>
      <c r="H13" s="7" t="s">
        <v>13</v>
      </c>
      <c r="I13" s="138" t="s">
        <v>409</v>
      </c>
      <c r="J13" s="134"/>
      <c r="K13" s="131"/>
      <c r="L13" s="131"/>
      <c r="M13" s="131"/>
      <c r="N13" s="129" t="e">
        <f t="shared" ref="N13:N14" si="1">+K13/(K13+L13)</f>
        <v>#DIV/0!</v>
      </c>
      <c r="O13" s="129" t="e">
        <f t="shared" ref="O13:O14" si="2">+(K13+M13)/(K13+L13+M13)</f>
        <v>#DIV/0!</v>
      </c>
      <c r="P13" s="129" t="e">
        <f t="shared" ref="P13:P14" si="3">+K13/(K13+M13)</f>
        <v>#DIV/0!</v>
      </c>
      <c r="Q13" s="114" t="e">
        <f t="shared" ref="Q13:Q14" si="4">+J13/K13</f>
        <v>#DIV/0!</v>
      </c>
      <c r="U13" s="63"/>
    </row>
    <row r="14" spans="1:23" s="4" customFormat="1" ht="15" customHeight="1">
      <c r="A14" s="64"/>
      <c r="B14" s="7">
        <f t="shared" si="0"/>
        <v>4</v>
      </c>
      <c r="C14" s="7" t="s">
        <v>193</v>
      </c>
      <c r="D14" s="137" t="s">
        <v>412</v>
      </c>
      <c r="E14" s="7" t="s">
        <v>134</v>
      </c>
      <c r="F14" s="34" t="s">
        <v>406</v>
      </c>
      <c r="G14" s="137">
        <v>2018</v>
      </c>
      <c r="H14" s="7" t="s">
        <v>13</v>
      </c>
      <c r="I14" s="138" t="s">
        <v>409</v>
      </c>
      <c r="J14" s="134"/>
      <c r="K14" s="131"/>
      <c r="L14" s="131"/>
      <c r="M14" s="131"/>
      <c r="N14" s="129" t="e">
        <f t="shared" si="1"/>
        <v>#DIV/0!</v>
      </c>
      <c r="O14" s="129" t="e">
        <f t="shared" si="2"/>
        <v>#DIV/0!</v>
      </c>
      <c r="P14" s="129" t="e">
        <f t="shared" si="3"/>
        <v>#DIV/0!</v>
      </c>
      <c r="Q14" s="114" t="e">
        <f t="shared" si="4"/>
        <v>#DIV/0!</v>
      </c>
      <c r="U14" s="63" t="s">
        <v>258</v>
      </c>
      <c r="V14" s="52"/>
    </row>
    <row r="15" spans="1:23" s="4" customFormat="1" ht="15" customHeight="1">
      <c r="A15" s="64"/>
      <c r="B15" s="7">
        <f t="shared" si="0"/>
        <v>5</v>
      </c>
      <c r="C15" s="7" t="s">
        <v>193</v>
      </c>
      <c r="D15" s="173" t="s">
        <v>270</v>
      </c>
      <c r="E15" s="171" t="s">
        <v>15</v>
      </c>
      <c r="F15" s="174" t="s">
        <v>18</v>
      </c>
      <c r="G15" s="174">
        <v>2009</v>
      </c>
      <c r="H15" s="171" t="s">
        <v>13</v>
      </c>
      <c r="I15" s="138" t="s">
        <v>409</v>
      </c>
      <c r="J15" s="134"/>
      <c r="K15" s="131"/>
      <c r="L15" s="131"/>
      <c r="M15" s="131"/>
      <c r="N15" s="129" t="e">
        <f>+K15/(K15+L15)</f>
        <v>#DIV/0!</v>
      </c>
      <c r="O15" s="129" t="e">
        <f>+(K15+M15)/(K15+L15+M15)</f>
        <v>#DIV/0!</v>
      </c>
      <c r="P15" s="129" t="e">
        <f>+K15/(K15+M15)</f>
        <v>#DIV/0!</v>
      </c>
      <c r="Q15" s="114" t="e">
        <f>+J15/K15</f>
        <v>#DIV/0!</v>
      </c>
      <c r="U15" s="52"/>
      <c r="V15" s="52"/>
    </row>
    <row r="16" spans="1:23" s="4" customFormat="1" ht="15" customHeight="1">
      <c r="A16" s="64"/>
      <c r="B16" s="7">
        <f t="shared" si="0"/>
        <v>6</v>
      </c>
      <c r="C16" s="7" t="s">
        <v>193</v>
      </c>
      <c r="D16" s="137" t="s">
        <v>320</v>
      </c>
      <c r="E16" s="7" t="s">
        <v>134</v>
      </c>
      <c r="F16" s="137" t="s">
        <v>321</v>
      </c>
      <c r="G16" s="137">
        <v>2017</v>
      </c>
      <c r="H16" s="7" t="s">
        <v>13</v>
      </c>
      <c r="I16" s="137" t="s">
        <v>410</v>
      </c>
      <c r="J16" s="134"/>
      <c r="K16" s="131"/>
      <c r="L16" s="131"/>
      <c r="M16" s="131"/>
      <c r="N16" s="129" t="e">
        <f t="shared" ref="N16" si="5">+K16/(K16+L16)</f>
        <v>#DIV/0!</v>
      </c>
      <c r="O16" s="129" t="e">
        <f t="shared" ref="O16" si="6">+(K16+M16)/(K16+L16+M16)</f>
        <v>#DIV/0!</v>
      </c>
      <c r="P16" s="129" t="e">
        <f t="shared" ref="P16" si="7">+K16/(K16+M16)</f>
        <v>#DIV/0!</v>
      </c>
      <c r="Q16" s="114" t="e">
        <f t="shared" ref="Q16" si="8">+J16/K16</f>
        <v>#DIV/0!</v>
      </c>
    </row>
    <row r="17" spans="1:31" s="4" customFormat="1" ht="15" customHeight="1">
      <c r="A17" s="64"/>
      <c r="B17" s="7">
        <f t="shared" si="0"/>
        <v>7</v>
      </c>
      <c r="C17" s="7" t="s">
        <v>193</v>
      </c>
      <c r="D17" s="34" t="s">
        <v>322</v>
      </c>
      <c r="E17" s="7" t="s">
        <v>134</v>
      </c>
      <c r="F17" s="34" t="s">
        <v>321</v>
      </c>
      <c r="G17" s="137">
        <v>2017</v>
      </c>
      <c r="H17" s="7" t="s">
        <v>13</v>
      </c>
      <c r="I17" s="137" t="s">
        <v>410</v>
      </c>
      <c r="J17" s="134"/>
      <c r="K17" s="131"/>
      <c r="L17" s="131"/>
      <c r="M17" s="131"/>
      <c r="N17" s="129" t="e">
        <f>+K17/(K17+L17)</f>
        <v>#DIV/0!</v>
      </c>
      <c r="O17" s="129" t="e">
        <f>+(K17+M17)/(K17+L17+M17)</f>
        <v>#DIV/0!</v>
      </c>
      <c r="P17" s="129" t="e">
        <f>+K17/(K17+M17)</f>
        <v>#DIV/0!</v>
      </c>
      <c r="Q17" s="114" t="e">
        <f>+J17/K17</f>
        <v>#DIV/0!</v>
      </c>
      <c r="U17" s="52"/>
    </row>
    <row r="18" spans="1:31" s="4" customFormat="1" ht="15" customHeight="1">
      <c r="A18" s="64"/>
      <c r="B18" s="7">
        <f t="shared" si="0"/>
        <v>8</v>
      </c>
      <c r="C18" s="7" t="s">
        <v>193</v>
      </c>
      <c r="D18" s="137" t="s">
        <v>328</v>
      </c>
      <c r="E18" s="7" t="s">
        <v>134</v>
      </c>
      <c r="F18" s="137" t="s">
        <v>321</v>
      </c>
      <c r="G18" s="137">
        <v>2017</v>
      </c>
      <c r="H18" s="7" t="s">
        <v>13</v>
      </c>
      <c r="I18" s="137" t="s">
        <v>410</v>
      </c>
      <c r="J18" s="134"/>
      <c r="K18" s="131"/>
      <c r="L18" s="131"/>
      <c r="M18" s="131"/>
      <c r="N18" s="129" t="e">
        <f t="shared" ref="N18" si="9">+K18/(K18+L18)</f>
        <v>#DIV/0!</v>
      </c>
      <c r="O18" s="129" t="e">
        <f t="shared" ref="O18" si="10">+(K18+M18)/(K18+L18+M18)</f>
        <v>#DIV/0!</v>
      </c>
      <c r="P18" s="129" t="e">
        <f t="shared" ref="P18" si="11">+K18/(K18+M18)</f>
        <v>#DIV/0!</v>
      </c>
      <c r="Q18" s="114" t="e">
        <f t="shared" ref="Q18" si="12">+J18/K18</f>
        <v>#DIV/0!</v>
      </c>
      <c r="U18" s="52"/>
      <c r="V18" s="159"/>
    </row>
    <row r="19" spans="1:31" s="4" customFormat="1" ht="15" customHeight="1">
      <c r="A19" s="64"/>
      <c r="B19" s="336" t="s">
        <v>22</v>
      </c>
      <c r="C19" s="337"/>
      <c r="D19" s="337"/>
      <c r="E19" s="338"/>
      <c r="F19" s="8">
        <f>+COUNTA(F11:F18)</f>
        <v>8</v>
      </c>
      <c r="G19" s="9"/>
      <c r="H19" s="7"/>
      <c r="I19" s="86"/>
      <c r="J19" s="86"/>
      <c r="K19" s="7"/>
      <c r="L19" s="7"/>
      <c r="M19" s="7"/>
      <c r="N19" s="7"/>
      <c r="O19" s="7"/>
      <c r="P19" s="7"/>
      <c r="Q19" s="114"/>
    </row>
    <row r="20" spans="1:31" s="4" customFormat="1" ht="15" customHeight="1">
      <c r="A20" s="64"/>
      <c r="B20" s="10"/>
      <c r="C20" s="10"/>
      <c r="D20" s="10"/>
      <c r="E20" s="10"/>
      <c r="F20" s="10"/>
      <c r="G20" s="10"/>
      <c r="H20" s="10"/>
      <c r="I20" s="10"/>
      <c r="J20" s="10"/>
      <c r="K20" s="87"/>
      <c r="L20" s="87"/>
      <c r="M20" s="87"/>
      <c r="N20" s="87"/>
      <c r="O20" s="87"/>
      <c r="P20" s="87"/>
      <c r="Q20" s="88"/>
    </row>
    <row r="21" spans="1:31" s="4" customFormat="1" ht="15" customHeight="1">
      <c r="A21" s="64"/>
      <c r="B21" s="66" t="s">
        <v>166</v>
      </c>
      <c r="F21" s="16"/>
      <c r="K21" s="89"/>
      <c r="L21" s="89"/>
      <c r="M21" s="89"/>
      <c r="N21" s="89"/>
      <c r="O21" s="89"/>
      <c r="P21" s="89"/>
      <c r="Q21" s="90"/>
    </row>
    <row r="22" spans="1:31" s="4" customFormat="1" ht="15" customHeight="1">
      <c r="A22" s="65" t="s">
        <v>23</v>
      </c>
      <c r="B22" s="6" t="s">
        <v>2</v>
      </c>
      <c r="C22" s="6" t="s">
        <v>3</v>
      </c>
      <c r="D22" s="6" t="s">
        <v>4</v>
      </c>
      <c r="E22" s="6" t="s">
        <v>5</v>
      </c>
      <c r="F22" s="6" t="s">
        <v>6</v>
      </c>
      <c r="G22" s="6" t="s">
        <v>7</v>
      </c>
      <c r="H22" s="6" t="s">
        <v>8</v>
      </c>
      <c r="I22" s="83" t="s">
        <v>9</v>
      </c>
      <c r="J22" s="83" t="s">
        <v>267</v>
      </c>
      <c r="K22" s="6" t="s">
        <v>262</v>
      </c>
      <c r="L22" s="6" t="s">
        <v>268</v>
      </c>
      <c r="M22" s="6" t="s">
        <v>269</v>
      </c>
      <c r="N22" s="6" t="s">
        <v>263</v>
      </c>
      <c r="O22" s="6" t="s">
        <v>264</v>
      </c>
      <c r="P22" s="6" t="s">
        <v>265</v>
      </c>
      <c r="Q22" s="67" t="s">
        <v>266</v>
      </c>
    </row>
    <row r="23" spans="1:31" s="4" customFormat="1" ht="15" customHeight="1">
      <c r="A23" s="64"/>
      <c r="B23" s="7">
        <v>1</v>
      </c>
      <c r="C23" s="7" t="s">
        <v>193</v>
      </c>
      <c r="D23" s="7" t="s">
        <v>357</v>
      </c>
      <c r="E23" s="7" t="s">
        <v>134</v>
      </c>
      <c r="F23" s="137" t="s">
        <v>358</v>
      </c>
      <c r="G23" s="150">
        <v>43243</v>
      </c>
      <c r="H23" s="7" t="s">
        <v>25</v>
      </c>
      <c r="I23" s="138" t="s">
        <v>521</v>
      </c>
      <c r="J23" s="151"/>
      <c r="K23" s="131"/>
      <c r="L23" s="131"/>
      <c r="M23" s="131"/>
      <c r="N23" s="129" t="e">
        <f t="shared" ref="N23:N58" si="13">+K23/(K23+L23)</f>
        <v>#DIV/0!</v>
      </c>
      <c r="O23" s="129" t="e">
        <f t="shared" ref="O23:O58" si="14">+(K23+M23)/(K23+L23+M23)</f>
        <v>#DIV/0!</v>
      </c>
      <c r="P23" s="129" t="e">
        <f t="shared" ref="P23:P58" si="15">+K23/(K23+M23)</f>
        <v>#DIV/0!</v>
      </c>
      <c r="Q23" s="114" t="e">
        <f t="shared" ref="Q23:Q58" si="16">+J23/K23</f>
        <v>#DIV/0!</v>
      </c>
      <c r="AA23" s="140"/>
    </row>
    <row r="24" spans="1:31" s="4" customFormat="1" ht="15" customHeight="1">
      <c r="A24" s="64"/>
      <c r="B24" s="7">
        <f>+B23+1</f>
        <v>2</v>
      </c>
      <c r="C24" s="7" t="s">
        <v>193</v>
      </c>
      <c r="D24" s="7" t="s">
        <v>366</v>
      </c>
      <c r="E24" s="7" t="s">
        <v>134</v>
      </c>
      <c r="F24" s="7" t="s">
        <v>358</v>
      </c>
      <c r="G24" s="150">
        <v>43243</v>
      </c>
      <c r="H24" s="7" t="s">
        <v>25</v>
      </c>
      <c r="I24" s="138" t="s">
        <v>521</v>
      </c>
      <c r="J24" s="151"/>
      <c r="K24" s="131"/>
      <c r="L24" s="131"/>
      <c r="M24" s="131"/>
      <c r="N24" s="129" t="e">
        <f t="shared" si="13"/>
        <v>#DIV/0!</v>
      </c>
      <c r="O24" s="129" t="e">
        <f t="shared" si="14"/>
        <v>#DIV/0!</v>
      </c>
      <c r="P24" s="129" t="e">
        <f t="shared" si="15"/>
        <v>#DIV/0!</v>
      </c>
      <c r="Q24" s="114" t="e">
        <f t="shared" si="16"/>
        <v>#DIV/0!</v>
      </c>
      <c r="V24" s="52"/>
      <c r="AA24" s="140"/>
    </row>
    <row r="25" spans="1:31" s="4" customFormat="1" ht="15" customHeight="1">
      <c r="A25" s="64"/>
      <c r="B25" s="7">
        <f t="shared" ref="B25:B75" si="17">+B24+1</f>
        <v>3</v>
      </c>
      <c r="C25" s="7" t="s">
        <v>193</v>
      </c>
      <c r="D25" s="7" t="s">
        <v>359</v>
      </c>
      <c r="E25" s="7" t="s">
        <v>134</v>
      </c>
      <c r="F25" s="7" t="s">
        <v>358</v>
      </c>
      <c r="G25" s="150">
        <v>43243</v>
      </c>
      <c r="H25" s="7" t="s">
        <v>25</v>
      </c>
      <c r="I25" s="138" t="s">
        <v>521</v>
      </c>
      <c r="J25" s="151"/>
      <c r="K25" s="131"/>
      <c r="L25" s="131"/>
      <c r="M25" s="131"/>
      <c r="N25" s="129" t="e">
        <f t="shared" si="13"/>
        <v>#DIV/0!</v>
      </c>
      <c r="O25" s="129" t="e">
        <f t="shared" si="14"/>
        <v>#DIV/0!</v>
      </c>
      <c r="P25" s="129" t="e">
        <f t="shared" si="15"/>
        <v>#DIV/0!</v>
      </c>
      <c r="Q25" s="114" t="e">
        <f t="shared" si="16"/>
        <v>#DIV/0!</v>
      </c>
      <c r="AA25" s="140"/>
    </row>
    <row r="26" spans="1:31" s="4" customFormat="1" ht="15" customHeight="1">
      <c r="A26" s="139"/>
      <c r="B26" s="7">
        <f t="shared" si="17"/>
        <v>4</v>
      </c>
      <c r="C26" s="7" t="s">
        <v>193</v>
      </c>
      <c r="D26" s="7" t="s">
        <v>360</v>
      </c>
      <c r="E26" s="7" t="s">
        <v>134</v>
      </c>
      <c r="F26" s="7" t="s">
        <v>358</v>
      </c>
      <c r="G26" s="150">
        <v>43243</v>
      </c>
      <c r="H26" s="7" t="s">
        <v>25</v>
      </c>
      <c r="I26" s="138" t="s">
        <v>521</v>
      </c>
      <c r="J26" s="151"/>
      <c r="K26" s="131"/>
      <c r="L26" s="131"/>
      <c r="M26" s="131"/>
      <c r="N26" s="129" t="e">
        <f t="shared" si="13"/>
        <v>#DIV/0!</v>
      </c>
      <c r="O26" s="129" t="e">
        <f t="shared" si="14"/>
        <v>#DIV/0!</v>
      </c>
      <c r="P26" s="129" t="e">
        <f t="shared" si="15"/>
        <v>#DIV/0!</v>
      </c>
      <c r="Q26" s="114" t="e">
        <f t="shared" si="16"/>
        <v>#DIV/0!</v>
      </c>
      <c r="AA26" s="140"/>
    </row>
    <row r="27" spans="1:31" s="4" customFormat="1" ht="15" customHeight="1">
      <c r="A27" s="139"/>
      <c r="B27" s="7">
        <f t="shared" si="17"/>
        <v>5</v>
      </c>
      <c r="C27" s="171" t="s">
        <v>193</v>
      </c>
      <c r="D27" s="175" t="s">
        <v>361</v>
      </c>
      <c r="E27" s="171" t="s">
        <v>134</v>
      </c>
      <c r="F27" s="175" t="s">
        <v>358</v>
      </c>
      <c r="G27" s="176">
        <v>43243</v>
      </c>
      <c r="H27" s="171" t="s">
        <v>25</v>
      </c>
      <c r="I27" s="172" t="s">
        <v>521</v>
      </c>
      <c r="J27" s="151"/>
      <c r="K27" s="131"/>
      <c r="L27" s="131"/>
      <c r="M27" s="131"/>
      <c r="N27" s="129" t="e">
        <f t="shared" ref="N27:N40" si="18">+K27/(K27+L27)</f>
        <v>#DIV/0!</v>
      </c>
      <c r="O27" s="129" t="e">
        <f t="shared" ref="O27:O40" si="19">+(K27+M27)/(K27+L27+M27)</f>
        <v>#DIV/0!</v>
      </c>
      <c r="P27" s="129" t="e">
        <f t="shared" ref="P27:P39" si="20">+K27/(K27+M27)</f>
        <v>#DIV/0!</v>
      </c>
      <c r="Q27" s="114" t="e">
        <f t="shared" si="16"/>
        <v>#DIV/0!</v>
      </c>
      <c r="U27" s="63"/>
      <c r="AA27" s="140"/>
    </row>
    <row r="28" spans="1:31" s="140" customFormat="1" ht="15" customHeight="1">
      <c r="A28" s="139"/>
      <c r="B28" s="7">
        <f t="shared" si="17"/>
        <v>6</v>
      </c>
      <c r="C28" s="171" t="s">
        <v>193</v>
      </c>
      <c r="D28" s="175" t="s">
        <v>362</v>
      </c>
      <c r="E28" s="171" t="s">
        <v>134</v>
      </c>
      <c r="F28" s="175" t="s">
        <v>358</v>
      </c>
      <c r="G28" s="176">
        <v>43243</v>
      </c>
      <c r="H28" s="171" t="s">
        <v>25</v>
      </c>
      <c r="I28" s="172" t="s">
        <v>521</v>
      </c>
      <c r="J28" s="151"/>
      <c r="K28" s="131"/>
      <c r="L28" s="131"/>
      <c r="M28" s="131"/>
      <c r="N28" s="129" t="e">
        <f t="shared" si="18"/>
        <v>#DIV/0!</v>
      </c>
      <c r="O28" s="129" t="e">
        <f t="shared" si="19"/>
        <v>#DIV/0!</v>
      </c>
      <c r="P28" s="129" t="e">
        <f t="shared" si="20"/>
        <v>#DIV/0!</v>
      </c>
      <c r="Q28" s="114" t="e">
        <f t="shared" si="16"/>
        <v>#DIV/0!</v>
      </c>
      <c r="U28" s="4"/>
      <c r="W28" s="4"/>
      <c r="X28" s="4"/>
      <c r="Y28" s="4"/>
      <c r="Z28" s="4"/>
      <c r="AC28" s="4"/>
      <c r="AD28" s="4"/>
      <c r="AE28" s="4"/>
    </row>
    <row r="29" spans="1:31" s="140" customFormat="1" ht="15" customHeight="1">
      <c r="A29" s="139"/>
      <c r="B29" s="7">
        <f t="shared" si="17"/>
        <v>7</v>
      </c>
      <c r="C29" s="171" t="s">
        <v>193</v>
      </c>
      <c r="D29" s="175" t="s">
        <v>363</v>
      </c>
      <c r="E29" s="171" t="s">
        <v>134</v>
      </c>
      <c r="F29" s="175" t="s">
        <v>358</v>
      </c>
      <c r="G29" s="176">
        <v>43243</v>
      </c>
      <c r="H29" s="171" t="s">
        <v>25</v>
      </c>
      <c r="I29" s="172" t="s">
        <v>521</v>
      </c>
      <c r="J29" s="151"/>
      <c r="K29" s="131"/>
      <c r="L29" s="131"/>
      <c r="M29" s="131"/>
      <c r="N29" s="129" t="e">
        <f t="shared" si="18"/>
        <v>#DIV/0!</v>
      </c>
      <c r="O29" s="129" t="e">
        <f t="shared" si="19"/>
        <v>#DIV/0!</v>
      </c>
      <c r="P29" s="129" t="e">
        <f t="shared" si="20"/>
        <v>#DIV/0!</v>
      </c>
      <c r="Q29" s="114" t="e">
        <f t="shared" si="16"/>
        <v>#DIV/0!</v>
      </c>
      <c r="U29" s="4"/>
      <c r="W29" s="4"/>
      <c r="X29" s="4"/>
      <c r="Y29" s="4"/>
      <c r="Z29" s="4"/>
      <c r="AC29" s="4"/>
      <c r="AD29" s="4"/>
      <c r="AE29" s="4"/>
    </row>
    <row r="30" spans="1:31" s="140" customFormat="1" ht="15" customHeight="1">
      <c r="A30" s="139"/>
      <c r="B30" s="7">
        <f t="shared" si="17"/>
        <v>8</v>
      </c>
      <c r="C30" s="171" t="s">
        <v>193</v>
      </c>
      <c r="D30" s="175" t="s">
        <v>364</v>
      </c>
      <c r="E30" s="171" t="s">
        <v>134</v>
      </c>
      <c r="F30" s="175" t="s">
        <v>358</v>
      </c>
      <c r="G30" s="176">
        <v>43243</v>
      </c>
      <c r="H30" s="171" t="s">
        <v>25</v>
      </c>
      <c r="I30" s="172" t="s">
        <v>521</v>
      </c>
      <c r="J30" s="151"/>
      <c r="K30" s="131"/>
      <c r="L30" s="131"/>
      <c r="M30" s="131"/>
      <c r="N30" s="129" t="e">
        <f t="shared" si="18"/>
        <v>#DIV/0!</v>
      </c>
      <c r="O30" s="129" t="e">
        <f t="shared" si="19"/>
        <v>#DIV/0!</v>
      </c>
      <c r="P30" s="129" t="e">
        <f t="shared" si="20"/>
        <v>#DIV/0!</v>
      </c>
      <c r="Q30" s="114" t="e">
        <f t="shared" si="16"/>
        <v>#DIV/0!</v>
      </c>
      <c r="U30" s="4"/>
      <c r="W30" s="4"/>
      <c r="X30" s="4"/>
      <c r="Y30" s="4"/>
      <c r="Z30" s="4"/>
      <c r="AC30" s="4"/>
      <c r="AD30" s="4"/>
      <c r="AE30" s="4"/>
    </row>
    <row r="31" spans="1:31" s="140" customFormat="1" ht="15" customHeight="1">
      <c r="A31" s="139"/>
      <c r="B31" s="7">
        <f t="shared" si="17"/>
        <v>9</v>
      </c>
      <c r="C31" s="7" t="s">
        <v>193</v>
      </c>
      <c r="D31" s="7" t="s">
        <v>365</v>
      </c>
      <c r="E31" s="7" t="s">
        <v>134</v>
      </c>
      <c r="F31" s="7" t="s">
        <v>358</v>
      </c>
      <c r="G31" s="150">
        <v>43243</v>
      </c>
      <c r="H31" s="7" t="s">
        <v>25</v>
      </c>
      <c r="I31" s="138" t="s">
        <v>521</v>
      </c>
      <c r="J31" s="151"/>
      <c r="K31" s="131"/>
      <c r="L31" s="131"/>
      <c r="M31" s="131"/>
      <c r="N31" s="129" t="e">
        <f t="shared" si="18"/>
        <v>#DIV/0!</v>
      </c>
      <c r="O31" s="129" t="e">
        <f t="shared" si="19"/>
        <v>#DIV/0!</v>
      </c>
      <c r="P31" s="129" t="e">
        <f t="shared" si="20"/>
        <v>#DIV/0!</v>
      </c>
      <c r="Q31" s="114" t="e">
        <f t="shared" si="16"/>
        <v>#DIV/0!</v>
      </c>
      <c r="W31" s="4"/>
      <c r="X31" s="4"/>
      <c r="Y31" s="4"/>
      <c r="Z31" s="4"/>
      <c r="AC31" s="4"/>
      <c r="AD31" s="4"/>
      <c r="AE31" s="4"/>
    </row>
    <row r="32" spans="1:31" s="140" customFormat="1" ht="15" customHeight="1">
      <c r="A32" s="139"/>
      <c r="B32" s="7">
        <f t="shared" si="17"/>
        <v>10</v>
      </c>
      <c r="C32" s="7" t="s">
        <v>193</v>
      </c>
      <c r="D32" s="7" t="s">
        <v>367</v>
      </c>
      <c r="E32" s="7" t="s">
        <v>134</v>
      </c>
      <c r="F32" s="7" t="s">
        <v>358</v>
      </c>
      <c r="G32" s="150">
        <v>43243</v>
      </c>
      <c r="H32" s="7" t="s">
        <v>25</v>
      </c>
      <c r="I32" s="138" t="s">
        <v>521</v>
      </c>
      <c r="J32" s="151"/>
      <c r="K32" s="131"/>
      <c r="L32" s="131"/>
      <c r="M32" s="131"/>
      <c r="N32" s="129" t="e">
        <f t="shared" si="18"/>
        <v>#DIV/0!</v>
      </c>
      <c r="O32" s="129" t="e">
        <f t="shared" si="19"/>
        <v>#DIV/0!</v>
      </c>
      <c r="P32" s="129" t="e">
        <f t="shared" si="20"/>
        <v>#DIV/0!</v>
      </c>
      <c r="Q32" s="114" t="e">
        <f t="shared" si="16"/>
        <v>#DIV/0!</v>
      </c>
      <c r="W32" s="4"/>
      <c r="X32" s="4"/>
      <c r="Y32" s="4"/>
      <c r="Z32" s="4"/>
      <c r="AC32" s="4"/>
      <c r="AD32" s="4"/>
      <c r="AE32" s="4"/>
    </row>
    <row r="33" spans="1:31" s="140" customFormat="1" ht="15" customHeight="1">
      <c r="A33" s="139"/>
      <c r="B33" s="7">
        <f t="shared" si="17"/>
        <v>11</v>
      </c>
      <c r="C33" s="171" t="s">
        <v>193</v>
      </c>
      <c r="D33" s="175" t="s">
        <v>368</v>
      </c>
      <c r="E33" s="171" t="s">
        <v>134</v>
      </c>
      <c r="F33" s="175" t="s">
        <v>358</v>
      </c>
      <c r="G33" s="176">
        <v>43243</v>
      </c>
      <c r="H33" s="171" t="s">
        <v>25</v>
      </c>
      <c r="I33" s="172" t="s">
        <v>521</v>
      </c>
      <c r="J33" s="151"/>
      <c r="K33" s="131"/>
      <c r="L33" s="131"/>
      <c r="M33" s="131"/>
      <c r="N33" s="129" t="e">
        <f t="shared" si="18"/>
        <v>#DIV/0!</v>
      </c>
      <c r="O33" s="129" t="e">
        <f t="shared" si="19"/>
        <v>#DIV/0!</v>
      </c>
      <c r="P33" s="129" t="e">
        <f t="shared" si="20"/>
        <v>#DIV/0!</v>
      </c>
      <c r="Q33" s="114" t="e">
        <f t="shared" si="16"/>
        <v>#DIV/0!</v>
      </c>
      <c r="W33" s="4"/>
      <c r="X33" s="4"/>
      <c r="Y33" s="4"/>
      <c r="Z33" s="4"/>
      <c r="AC33" s="4"/>
      <c r="AD33" s="4"/>
      <c r="AE33" s="4"/>
    </row>
    <row r="34" spans="1:31" s="140" customFormat="1" ht="15" customHeight="1">
      <c r="A34" s="139"/>
      <c r="B34" s="7">
        <f t="shared" si="17"/>
        <v>12</v>
      </c>
      <c r="C34" s="171" t="s">
        <v>193</v>
      </c>
      <c r="D34" s="175" t="s">
        <v>369</v>
      </c>
      <c r="E34" s="171" t="s">
        <v>134</v>
      </c>
      <c r="F34" s="175" t="s">
        <v>358</v>
      </c>
      <c r="G34" s="176">
        <v>43243</v>
      </c>
      <c r="H34" s="171" t="s">
        <v>25</v>
      </c>
      <c r="I34" s="172" t="s">
        <v>521</v>
      </c>
      <c r="J34" s="151"/>
      <c r="K34" s="131"/>
      <c r="L34" s="131"/>
      <c r="M34" s="131"/>
      <c r="N34" s="129" t="e">
        <f t="shared" si="18"/>
        <v>#DIV/0!</v>
      </c>
      <c r="O34" s="129" t="e">
        <f t="shared" si="19"/>
        <v>#DIV/0!</v>
      </c>
      <c r="P34" s="129" t="e">
        <f t="shared" si="20"/>
        <v>#DIV/0!</v>
      </c>
      <c r="Q34" s="114" t="e">
        <f t="shared" si="16"/>
        <v>#DIV/0!</v>
      </c>
      <c r="W34" s="4"/>
      <c r="X34" s="4"/>
      <c r="Y34" s="4"/>
      <c r="Z34" s="4"/>
      <c r="AC34" s="4"/>
      <c r="AD34" s="4"/>
      <c r="AE34" s="4"/>
    </row>
    <row r="35" spans="1:31" s="140" customFormat="1" ht="15" customHeight="1">
      <c r="A35" s="139"/>
      <c r="B35" s="7">
        <f t="shared" si="17"/>
        <v>13</v>
      </c>
      <c r="C35" s="171" t="s">
        <v>193</v>
      </c>
      <c r="D35" s="175" t="s">
        <v>370</v>
      </c>
      <c r="E35" s="171" t="s">
        <v>134</v>
      </c>
      <c r="F35" s="175" t="s">
        <v>358</v>
      </c>
      <c r="G35" s="176">
        <v>43243</v>
      </c>
      <c r="H35" s="171" t="s">
        <v>25</v>
      </c>
      <c r="I35" s="172" t="s">
        <v>521</v>
      </c>
      <c r="J35" s="151"/>
      <c r="K35" s="131"/>
      <c r="L35" s="131"/>
      <c r="M35" s="131"/>
      <c r="N35" s="129" t="e">
        <f t="shared" si="18"/>
        <v>#DIV/0!</v>
      </c>
      <c r="O35" s="129" t="e">
        <f t="shared" si="19"/>
        <v>#DIV/0!</v>
      </c>
      <c r="P35" s="129" t="e">
        <f t="shared" si="20"/>
        <v>#DIV/0!</v>
      </c>
      <c r="Q35" s="114" t="e">
        <f t="shared" si="16"/>
        <v>#DIV/0!</v>
      </c>
      <c r="W35" s="4"/>
      <c r="X35" s="4"/>
      <c r="Y35" s="4"/>
      <c r="Z35" s="4"/>
      <c r="AC35" s="4"/>
      <c r="AD35" s="4"/>
      <c r="AE35" s="4"/>
    </row>
    <row r="36" spans="1:31" s="140" customFormat="1" ht="15" customHeight="1">
      <c r="A36" s="139"/>
      <c r="B36" s="7">
        <f t="shared" si="17"/>
        <v>14</v>
      </c>
      <c r="C36" s="7" t="s">
        <v>193</v>
      </c>
      <c r="D36" s="7" t="s">
        <v>377</v>
      </c>
      <c r="E36" s="7" t="s">
        <v>134</v>
      </c>
      <c r="F36" s="7" t="s">
        <v>358</v>
      </c>
      <c r="G36" s="150">
        <v>43248</v>
      </c>
      <c r="H36" s="7" t="s">
        <v>25</v>
      </c>
      <c r="I36" s="138" t="s">
        <v>521</v>
      </c>
      <c r="J36" s="151"/>
      <c r="K36" s="131"/>
      <c r="L36" s="131"/>
      <c r="M36" s="131"/>
      <c r="N36" s="129" t="e">
        <f t="shared" si="18"/>
        <v>#DIV/0!</v>
      </c>
      <c r="O36" s="129" t="e">
        <f t="shared" si="19"/>
        <v>#DIV/0!</v>
      </c>
      <c r="P36" s="129" t="e">
        <f t="shared" si="20"/>
        <v>#DIV/0!</v>
      </c>
      <c r="Q36" s="114" t="e">
        <f t="shared" si="16"/>
        <v>#DIV/0!</v>
      </c>
      <c r="W36" s="4"/>
      <c r="X36" s="4"/>
      <c r="Y36" s="4"/>
      <c r="Z36" s="4"/>
      <c r="AC36" s="4"/>
      <c r="AD36" s="4"/>
      <c r="AE36" s="4"/>
    </row>
    <row r="37" spans="1:31" s="140" customFormat="1" ht="15" customHeight="1">
      <c r="A37" s="139"/>
      <c r="B37" s="7">
        <f t="shared" si="17"/>
        <v>15</v>
      </c>
      <c r="C37" s="7" t="s">
        <v>193</v>
      </c>
      <c r="D37" s="7" t="s">
        <v>371</v>
      </c>
      <c r="E37" s="7" t="s">
        <v>134</v>
      </c>
      <c r="F37" s="7" t="s">
        <v>358</v>
      </c>
      <c r="G37" s="150">
        <v>43248</v>
      </c>
      <c r="H37" s="7" t="s">
        <v>25</v>
      </c>
      <c r="I37" s="138" t="s">
        <v>521</v>
      </c>
      <c r="J37" s="151"/>
      <c r="K37" s="131"/>
      <c r="L37" s="131"/>
      <c r="M37" s="131"/>
      <c r="N37" s="129" t="e">
        <f t="shared" si="18"/>
        <v>#DIV/0!</v>
      </c>
      <c r="O37" s="129" t="e">
        <f t="shared" si="19"/>
        <v>#DIV/0!</v>
      </c>
      <c r="P37" s="129" t="e">
        <f t="shared" si="20"/>
        <v>#DIV/0!</v>
      </c>
      <c r="Q37" s="114" t="e">
        <f t="shared" ref="Q37:Q39" si="21">+J37/K37</f>
        <v>#DIV/0!</v>
      </c>
      <c r="W37" s="4"/>
      <c r="X37" s="4"/>
      <c r="Y37" s="4"/>
      <c r="Z37" s="4"/>
      <c r="AC37" s="4"/>
      <c r="AD37" s="4"/>
      <c r="AE37" s="4"/>
    </row>
    <row r="38" spans="1:31" s="140" customFormat="1" ht="15" customHeight="1">
      <c r="A38" s="139"/>
      <c r="B38" s="7">
        <f t="shared" si="17"/>
        <v>16</v>
      </c>
      <c r="C38" s="7" t="s">
        <v>193</v>
      </c>
      <c r="D38" s="7" t="s">
        <v>386</v>
      </c>
      <c r="E38" s="7" t="s">
        <v>134</v>
      </c>
      <c r="F38" s="7" t="s">
        <v>358</v>
      </c>
      <c r="G38" s="150">
        <v>43248</v>
      </c>
      <c r="H38" s="7" t="s">
        <v>25</v>
      </c>
      <c r="I38" s="138" t="s">
        <v>521</v>
      </c>
      <c r="J38" s="151"/>
      <c r="K38" s="131"/>
      <c r="L38" s="131"/>
      <c r="M38" s="131"/>
      <c r="N38" s="129" t="e">
        <f t="shared" si="18"/>
        <v>#DIV/0!</v>
      </c>
      <c r="O38" s="129" t="e">
        <f t="shared" si="19"/>
        <v>#DIV/0!</v>
      </c>
      <c r="P38" s="129" t="e">
        <f t="shared" si="20"/>
        <v>#DIV/0!</v>
      </c>
      <c r="Q38" s="114" t="e">
        <f t="shared" si="21"/>
        <v>#DIV/0!</v>
      </c>
      <c r="W38" s="4"/>
      <c r="X38" s="4"/>
      <c r="Y38" s="4"/>
      <c r="Z38" s="4"/>
      <c r="AC38" s="4"/>
      <c r="AD38" s="4"/>
      <c r="AE38" s="4"/>
    </row>
    <row r="39" spans="1:31" s="140" customFormat="1" ht="15" customHeight="1">
      <c r="A39" s="139"/>
      <c r="B39" s="7">
        <f t="shared" si="17"/>
        <v>17</v>
      </c>
      <c r="C39" s="7" t="s">
        <v>193</v>
      </c>
      <c r="D39" s="7" t="s">
        <v>387</v>
      </c>
      <c r="E39" s="7" t="s">
        <v>134</v>
      </c>
      <c r="F39" s="7" t="s">
        <v>358</v>
      </c>
      <c r="G39" s="150">
        <v>43248</v>
      </c>
      <c r="H39" s="7" t="s">
        <v>25</v>
      </c>
      <c r="I39" s="138" t="s">
        <v>521</v>
      </c>
      <c r="J39" s="151"/>
      <c r="K39" s="131"/>
      <c r="L39" s="131"/>
      <c r="M39" s="131"/>
      <c r="N39" s="129" t="e">
        <f t="shared" si="18"/>
        <v>#DIV/0!</v>
      </c>
      <c r="O39" s="129" t="e">
        <f t="shared" si="19"/>
        <v>#DIV/0!</v>
      </c>
      <c r="P39" s="129" t="e">
        <f t="shared" si="20"/>
        <v>#DIV/0!</v>
      </c>
      <c r="Q39" s="114" t="e">
        <f t="shared" si="21"/>
        <v>#DIV/0!</v>
      </c>
      <c r="W39" s="4"/>
      <c r="X39" s="4"/>
      <c r="Y39" s="4"/>
      <c r="Z39" s="4"/>
      <c r="AC39" s="4"/>
      <c r="AD39" s="4"/>
      <c r="AE39" s="4"/>
    </row>
    <row r="40" spans="1:31" s="140" customFormat="1" ht="15" customHeight="1">
      <c r="A40" s="139"/>
      <c r="B40" s="7">
        <f t="shared" si="17"/>
        <v>18</v>
      </c>
      <c r="C40" s="7" t="s">
        <v>193</v>
      </c>
      <c r="D40" s="7" t="s">
        <v>389</v>
      </c>
      <c r="E40" s="7" t="s">
        <v>134</v>
      </c>
      <c r="F40" s="7" t="s">
        <v>358</v>
      </c>
      <c r="G40" s="150">
        <v>43281</v>
      </c>
      <c r="H40" s="7" t="s">
        <v>25</v>
      </c>
      <c r="I40" s="138" t="s">
        <v>521</v>
      </c>
      <c r="J40" s="151"/>
      <c r="K40" s="131"/>
      <c r="L40" s="131"/>
      <c r="M40" s="131"/>
      <c r="N40" s="129" t="e">
        <f t="shared" si="18"/>
        <v>#DIV/0!</v>
      </c>
      <c r="O40" s="129" t="e">
        <f t="shared" si="19"/>
        <v>#DIV/0!</v>
      </c>
      <c r="P40" s="129" t="e">
        <f t="shared" ref="P40" si="22">+K40/(K40+M40)</f>
        <v>#DIV/0!</v>
      </c>
      <c r="Q40" s="114" t="e">
        <f t="shared" ref="Q40" si="23">+J40/K40</f>
        <v>#DIV/0!</v>
      </c>
      <c r="W40" s="4"/>
      <c r="X40" s="4"/>
      <c r="Y40" s="4"/>
      <c r="Z40" s="4"/>
      <c r="AC40" s="4"/>
      <c r="AD40" s="4"/>
      <c r="AE40" s="4"/>
    </row>
    <row r="41" spans="1:31" s="140" customFormat="1" ht="15" customHeight="1">
      <c r="A41" s="139"/>
      <c r="B41" s="7">
        <f t="shared" si="17"/>
        <v>19</v>
      </c>
      <c r="C41" s="7" t="s">
        <v>193</v>
      </c>
      <c r="D41" s="7" t="s">
        <v>390</v>
      </c>
      <c r="E41" s="7" t="s">
        <v>134</v>
      </c>
      <c r="F41" s="7" t="s">
        <v>358</v>
      </c>
      <c r="G41" s="150">
        <v>43281</v>
      </c>
      <c r="H41" s="7" t="s">
        <v>25</v>
      </c>
      <c r="I41" s="138" t="s">
        <v>521</v>
      </c>
      <c r="J41" s="151"/>
      <c r="K41" s="131"/>
      <c r="L41" s="131"/>
      <c r="M41" s="131"/>
      <c r="N41" s="129" t="e">
        <f t="shared" si="13"/>
        <v>#DIV/0!</v>
      </c>
      <c r="O41" s="129" t="e">
        <f t="shared" si="14"/>
        <v>#DIV/0!</v>
      </c>
      <c r="P41" s="129" t="e">
        <f t="shared" si="15"/>
        <v>#DIV/0!</v>
      </c>
      <c r="Q41" s="114" t="e">
        <f t="shared" si="16"/>
        <v>#DIV/0!</v>
      </c>
      <c r="W41" s="4"/>
      <c r="X41" s="4"/>
      <c r="Y41" s="4"/>
      <c r="Z41" s="4"/>
      <c r="AC41" s="4"/>
      <c r="AD41" s="4"/>
      <c r="AE41" s="4"/>
    </row>
    <row r="42" spans="1:31" s="140" customFormat="1" ht="15" customHeight="1">
      <c r="A42" s="139"/>
      <c r="B42" s="7">
        <f t="shared" si="17"/>
        <v>20</v>
      </c>
      <c r="C42" s="7" t="s">
        <v>193</v>
      </c>
      <c r="D42" s="7" t="s">
        <v>392</v>
      </c>
      <c r="E42" s="7" t="s">
        <v>134</v>
      </c>
      <c r="F42" s="7" t="s">
        <v>358</v>
      </c>
      <c r="G42" s="150">
        <v>43281</v>
      </c>
      <c r="H42" s="7" t="s">
        <v>25</v>
      </c>
      <c r="I42" s="138" t="s">
        <v>521</v>
      </c>
      <c r="J42" s="151"/>
      <c r="K42" s="131"/>
      <c r="L42" s="131"/>
      <c r="M42" s="131"/>
      <c r="N42" s="129" t="e">
        <f t="shared" si="13"/>
        <v>#DIV/0!</v>
      </c>
      <c r="O42" s="129" t="e">
        <f t="shared" si="14"/>
        <v>#DIV/0!</v>
      </c>
      <c r="P42" s="129" t="e">
        <f t="shared" si="15"/>
        <v>#DIV/0!</v>
      </c>
      <c r="Q42" s="114" t="e">
        <f t="shared" si="16"/>
        <v>#DIV/0!</v>
      </c>
      <c r="W42" s="4"/>
      <c r="X42" s="4"/>
      <c r="Y42" s="4"/>
      <c r="Z42" s="4"/>
      <c r="AC42" s="4"/>
      <c r="AD42" s="4"/>
      <c r="AE42" s="4"/>
    </row>
    <row r="43" spans="1:31" s="140" customFormat="1" ht="15" customHeight="1">
      <c r="A43" s="139"/>
      <c r="B43" s="7">
        <f t="shared" si="17"/>
        <v>21</v>
      </c>
      <c r="C43" s="7" t="s">
        <v>193</v>
      </c>
      <c r="D43" s="7" t="s">
        <v>393</v>
      </c>
      <c r="E43" s="7" t="s">
        <v>134</v>
      </c>
      <c r="F43" s="7" t="s">
        <v>358</v>
      </c>
      <c r="G43" s="150">
        <v>43281</v>
      </c>
      <c r="H43" s="7" t="s">
        <v>25</v>
      </c>
      <c r="I43" s="138" t="s">
        <v>521</v>
      </c>
      <c r="J43" s="151"/>
      <c r="K43" s="131"/>
      <c r="L43" s="131"/>
      <c r="M43" s="131"/>
      <c r="N43" s="129" t="e">
        <f t="shared" si="13"/>
        <v>#DIV/0!</v>
      </c>
      <c r="O43" s="129" t="e">
        <f t="shared" si="14"/>
        <v>#DIV/0!</v>
      </c>
      <c r="P43" s="129" t="e">
        <f t="shared" si="15"/>
        <v>#DIV/0!</v>
      </c>
      <c r="Q43" s="114" t="e">
        <f>+J43/K43</f>
        <v>#DIV/0!</v>
      </c>
      <c r="W43" s="4"/>
      <c r="X43" s="4"/>
      <c r="Y43" s="4"/>
      <c r="Z43" s="4"/>
      <c r="AC43" s="4"/>
      <c r="AD43" s="4"/>
      <c r="AE43" s="4"/>
    </row>
    <row r="44" spans="1:31" s="140" customFormat="1" ht="15" customHeight="1">
      <c r="A44" s="139"/>
      <c r="B44" s="7">
        <f t="shared" si="17"/>
        <v>22</v>
      </c>
      <c r="C44" s="7" t="s">
        <v>193</v>
      </c>
      <c r="D44" s="7" t="s">
        <v>394</v>
      </c>
      <c r="E44" s="7" t="s">
        <v>134</v>
      </c>
      <c r="F44" s="7" t="s">
        <v>358</v>
      </c>
      <c r="G44" s="150">
        <v>43281</v>
      </c>
      <c r="H44" s="7" t="s">
        <v>25</v>
      </c>
      <c r="I44" s="138" t="s">
        <v>521</v>
      </c>
      <c r="J44" s="151"/>
      <c r="K44" s="131"/>
      <c r="L44" s="131"/>
      <c r="M44" s="131"/>
      <c r="N44" s="129" t="e">
        <f t="shared" si="13"/>
        <v>#DIV/0!</v>
      </c>
      <c r="O44" s="129" t="e">
        <f t="shared" si="14"/>
        <v>#DIV/0!</v>
      </c>
      <c r="P44" s="129" t="e">
        <f t="shared" si="15"/>
        <v>#DIV/0!</v>
      </c>
      <c r="Q44" s="114" t="e">
        <f t="shared" si="16"/>
        <v>#DIV/0!</v>
      </c>
      <c r="W44" s="4"/>
      <c r="X44" s="4"/>
      <c r="Y44" s="4"/>
      <c r="Z44" s="4"/>
      <c r="AC44" s="4"/>
      <c r="AD44" s="4"/>
      <c r="AE44" s="4"/>
    </row>
    <row r="45" spans="1:31" s="140" customFormat="1" ht="15" customHeight="1">
      <c r="A45" s="139"/>
      <c r="B45" s="7">
        <f t="shared" si="17"/>
        <v>23</v>
      </c>
      <c r="C45" s="7" t="s">
        <v>193</v>
      </c>
      <c r="D45" s="7" t="s">
        <v>395</v>
      </c>
      <c r="E45" s="7" t="s">
        <v>134</v>
      </c>
      <c r="F45" s="7" t="s">
        <v>358</v>
      </c>
      <c r="G45" s="150">
        <v>43281</v>
      </c>
      <c r="H45" s="7" t="s">
        <v>25</v>
      </c>
      <c r="I45" s="138" t="s">
        <v>521</v>
      </c>
      <c r="J45" s="151"/>
      <c r="K45" s="131"/>
      <c r="L45" s="131"/>
      <c r="M45" s="131"/>
      <c r="N45" s="129" t="e">
        <f t="shared" si="13"/>
        <v>#DIV/0!</v>
      </c>
      <c r="O45" s="129" t="e">
        <f t="shared" si="14"/>
        <v>#DIV/0!</v>
      </c>
      <c r="P45" s="129" t="e">
        <f t="shared" si="15"/>
        <v>#DIV/0!</v>
      </c>
      <c r="Q45" s="114" t="e">
        <f t="shared" si="16"/>
        <v>#DIV/0!</v>
      </c>
      <c r="W45" s="4"/>
      <c r="X45" s="4"/>
      <c r="Y45" s="4"/>
      <c r="Z45" s="4"/>
      <c r="AC45" s="4"/>
      <c r="AD45" s="4"/>
      <c r="AE45" s="4"/>
    </row>
    <row r="46" spans="1:31" s="140" customFormat="1" ht="15" customHeight="1">
      <c r="A46" s="139"/>
      <c r="B46" s="7">
        <f t="shared" si="17"/>
        <v>24</v>
      </c>
      <c r="C46" s="7" t="s">
        <v>193</v>
      </c>
      <c r="D46" s="7" t="s">
        <v>198</v>
      </c>
      <c r="E46" s="7" t="s">
        <v>15</v>
      </c>
      <c r="F46" s="7" t="s">
        <v>30</v>
      </c>
      <c r="G46" s="150">
        <v>39694</v>
      </c>
      <c r="H46" s="7" t="s">
        <v>25</v>
      </c>
      <c r="I46" s="138" t="s">
        <v>521</v>
      </c>
      <c r="J46" s="151"/>
      <c r="K46" s="131"/>
      <c r="L46" s="131"/>
      <c r="M46" s="131"/>
      <c r="N46" s="129" t="e">
        <f t="shared" si="13"/>
        <v>#DIV/0!</v>
      </c>
      <c r="O46" s="129" t="e">
        <f t="shared" si="14"/>
        <v>#DIV/0!</v>
      </c>
      <c r="P46" s="129" t="e">
        <f t="shared" si="15"/>
        <v>#DIV/0!</v>
      </c>
      <c r="Q46" s="114" t="e">
        <f t="shared" si="16"/>
        <v>#DIV/0!</v>
      </c>
      <c r="W46" s="4"/>
      <c r="X46" s="4"/>
      <c r="Y46" s="4"/>
      <c r="Z46" s="4"/>
      <c r="AC46" s="4"/>
      <c r="AD46" s="4"/>
      <c r="AE46" s="4"/>
    </row>
    <row r="47" spans="1:31" s="140" customFormat="1" ht="15" customHeight="1">
      <c r="A47" s="139"/>
      <c r="B47" s="7">
        <f t="shared" si="17"/>
        <v>25</v>
      </c>
      <c r="C47" s="7" t="s">
        <v>193</v>
      </c>
      <c r="D47" s="7" t="s">
        <v>462</v>
      </c>
      <c r="E47" s="7" t="s">
        <v>15</v>
      </c>
      <c r="F47" s="7" t="s">
        <v>30</v>
      </c>
      <c r="G47" s="150">
        <v>39694</v>
      </c>
      <c r="H47" s="7" t="s">
        <v>25</v>
      </c>
      <c r="I47" s="138" t="s">
        <v>521</v>
      </c>
      <c r="J47" s="151"/>
      <c r="K47" s="131"/>
      <c r="L47" s="131"/>
      <c r="M47" s="131"/>
      <c r="N47" s="129" t="e">
        <f t="shared" si="13"/>
        <v>#DIV/0!</v>
      </c>
      <c r="O47" s="129" t="e">
        <f t="shared" si="14"/>
        <v>#DIV/0!</v>
      </c>
      <c r="P47" s="129" t="e">
        <f t="shared" si="15"/>
        <v>#DIV/0!</v>
      </c>
      <c r="Q47" s="114" t="e">
        <f t="shared" si="16"/>
        <v>#DIV/0!</v>
      </c>
      <c r="W47" s="4"/>
      <c r="X47" s="4"/>
      <c r="Y47" s="4"/>
      <c r="Z47" s="4"/>
      <c r="AC47" s="4"/>
      <c r="AD47" s="4"/>
      <c r="AE47" s="4"/>
    </row>
    <row r="48" spans="1:31" s="140" customFormat="1" ht="15" customHeight="1">
      <c r="A48" s="139"/>
      <c r="B48" s="7">
        <f t="shared" si="17"/>
        <v>26</v>
      </c>
      <c r="C48" s="7" t="s">
        <v>193</v>
      </c>
      <c r="D48" s="7" t="s">
        <v>463</v>
      </c>
      <c r="E48" s="7" t="s">
        <v>15</v>
      </c>
      <c r="F48" s="7" t="s">
        <v>30</v>
      </c>
      <c r="G48" s="150">
        <v>40137</v>
      </c>
      <c r="H48" s="7" t="s">
        <v>25</v>
      </c>
      <c r="I48" s="138" t="s">
        <v>521</v>
      </c>
      <c r="J48" s="151"/>
      <c r="K48" s="131"/>
      <c r="L48" s="131"/>
      <c r="M48" s="131"/>
      <c r="N48" s="129" t="e">
        <f t="shared" si="13"/>
        <v>#DIV/0!</v>
      </c>
      <c r="O48" s="129" t="e">
        <f t="shared" si="14"/>
        <v>#DIV/0!</v>
      </c>
      <c r="P48" s="129" t="e">
        <f t="shared" si="15"/>
        <v>#DIV/0!</v>
      </c>
      <c r="Q48" s="114" t="e">
        <f t="shared" si="16"/>
        <v>#DIV/0!</v>
      </c>
      <c r="W48" s="4"/>
      <c r="X48" s="4"/>
      <c r="Y48" s="4"/>
      <c r="Z48" s="4"/>
      <c r="AC48" s="4"/>
      <c r="AD48" s="4"/>
      <c r="AE48" s="4"/>
    </row>
    <row r="49" spans="1:31" s="140" customFormat="1" ht="15" customHeight="1">
      <c r="A49" s="139"/>
      <c r="B49" s="7">
        <f t="shared" si="17"/>
        <v>27</v>
      </c>
      <c r="C49" s="7" t="s">
        <v>193</v>
      </c>
      <c r="D49" s="147" t="s">
        <v>469</v>
      </c>
      <c r="E49" s="7" t="s">
        <v>15</v>
      </c>
      <c r="F49" s="137" t="s">
        <v>30</v>
      </c>
      <c r="G49" s="150">
        <v>39041</v>
      </c>
      <c r="H49" s="7" t="s">
        <v>25</v>
      </c>
      <c r="I49" s="138" t="s">
        <v>521</v>
      </c>
      <c r="J49" s="151"/>
      <c r="K49" s="131"/>
      <c r="L49" s="131"/>
      <c r="M49" s="131"/>
      <c r="N49" s="129" t="e">
        <f t="shared" si="13"/>
        <v>#DIV/0!</v>
      </c>
      <c r="O49" s="129" t="e">
        <f t="shared" si="14"/>
        <v>#DIV/0!</v>
      </c>
      <c r="P49" s="129" t="e">
        <f t="shared" si="15"/>
        <v>#DIV/0!</v>
      </c>
      <c r="Q49" s="114" t="e">
        <f t="shared" si="16"/>
        <v>#DIV/0!</v>
      </c>
      <c r="W49" s="4"/>
      <c r="X49" s="4"/>
      <c r="Y49" s="4"/>
      <c r="Z49" s="4"/>
      <c r="AC49" s="4"/>
      <c r="AD49" s="4"/>
      <c r="AE49" s="4"/>
    </row>
    <row r="50" spans="1:31" s="140" customFormat="1" ht="15" customHeight="1">
      <c r="A50" s="139"/>
      <c r="B50" s="7">
        <f t="shared" si="17"/>
        <v>28</v>
      </c>
      <c r="C50" s="7" t="s">
        <v>193</v>
      </c>
      <c r="D50" s="147" t="s">
        <v>194</v>
      </c>
      <c r="E50" s="7" t="s">
        <v>15</v>
      </c>
      <c r="F50" s="137" t="s">
        <v>30</v>
      </c>
      <c r="G50" s="150">
        <v>40137</v>
      </c>
      <c r="H50" s="7" t="s">
        <v>25</v>
      </c>
      <c r="I50" s="138" t="s">
        <v>521</v>
      </c>
      <c r="J50" s="151"/>
      <c r="K50" s="131"/>
      <c r="L50" s="131"/>
      <c r="M50" s="131"/>
      <c r="N50" s="129" t="e">
        <f t="shared" si="13"/>
        <v>#DIV/0!</v>
      </c>
      <c r="O50" s="129" t="e">
        <f t="shared" si="14"/>
        <v>#DIV/0!</v>
      </c>
      <c r="P50" s="129" t="e">
        <f t="shared" si="15"/>
        <v>#DIV/0!</v>
      </c>
      <c r="Q50" s="114" t="e">
        <f t="shared" si="16"/>
        <v>#DIV/0!</v>
      </c>
      <c r="W50" s="4"/>
      <c r="X50" s="4"/>
      <c r="Y50" s="4"/>
      <c r="Z50" s="4"/>
      <c r="AC50" s="4"/>
      <c r="AD50" s="4"/>
      <c r="AE50" s="4"/>
    </row>
    <row r="51" spans="1:31" s="140" customFormat="1" ht="15" customHeight="1">
      <c r="A51" s="139"/>
      <c r="B51" s="7">
        <f t="shared" si="17"/>
        <v>29</v>
      </c>
      <c r="C51" s="7" t="s">
        <v>193</v>
      </c>
      <c r="D51" s="147" t="s">
        <v>470</v>
      </c>
      <c r="E51" s="7" t="s">
        <v>15</v>
      </c>
      <c r="F51" s="137" t="s">
        <v>30</v>
      </c>
      <c r="G51" s="150">
        <v>40137</v>
      </c>
      <c r="H51" s="7" t="s">
        <v>25</v>
      </c>
      <c r="I51" s="138" t="s">
        <v>521</v>
      </c>
      <c r="J51" s="151"/>
      <c r="K51" s="131"/>
      <c r="L51" s="131"/>
      <c r="M51" s="131"/>
      <c r="N51" s="129" t="e">
        <f t="shared" si="13"/>
        <v>#DIV/0!</v>
      </c>
      <c r="O51" s="129" t="e">
        <f t="shared" si="14"/>
        <v>#DIV/0!</v>
      </c>
      <c r="P51" s="129" t="e">
        <f t="shared" si="15"/>
        <v>#DIV/0!</v>
      </c>
      <c r="Q51" s="114" t="e">
        <f t="shared" si="16"/>
        <v>#DIV/0!</v>
      </c>
      <c r="W51" s="4"/>
      <c r="X51" s="4"/>
      <c r="Y51" s="4"/>
      <c r="Z51" s="4"/>
      <c r="AC51" s="4"/>
      <c r="AD51" s="4"/>
      <c r="AE51" s="4"/>
    </row>
    <row r="52" spans="1:31" s="140" customFormat="1" ht="15" customHeight="1">
      <c r="A52" s="139"/>
      <c r="B52" s="7">
        <f t="shared" si="17"/>
        <v>30</v>
      </c>
      <c r="C52" s="7" t="s">
        <v>193</v>
      </c>
      <c r="D52" s="147" t="s">
        <v>471</v>
      </c>
      <c r="E52" s="7" t="s">
        <v>15</v>
      </c>
      <c r="F52" s="137" t="s">
        <v>30</v>
      </c>
      <c r="G52" s="150">
        <v>39472</v>
      </c>
      <c r="H52" s="7" t="s">
        <v>25</v>
      </c>
      <c r="I52" s="138" t="s">
        <v>521</v>
      </c>
      <c r="J52" s="151"/>
      <c r="K52" s="131"/>
      <c r="L52" s="131"/>
      <c r="M52" s="131"/>
      <c r="N52" s="129" t="e">
        <f t="shared" si="13"/>
        <v>#DIV/0!</v>
      </c>
      <c r="O52" s="129" t="e">
        <f t="shared" si="14"/>
        <v>#DIV/0!</v>
      </c>
      <c r="P52" s="129" t="e">
        <f t="shared" si="15"/>
        <v>#DIV/0!</v>
      </c>
      <c r="Q52" s="114" t="e">
        <f t="shared" si="16"/>
        <v>#DIV/0!</v>
      </c>
      <c r="W52" s="4"/>
      <c r="X52" s="4"/>
      <c r="Y52" s="4"/>
      <c r="Z52" s="4"/>
      <c r="AC52" s="4"/>
      <c r="AD52" s="4"/>
      <c r="AE52" s="4"/>
    </row>
    <row r="53" spans="1:31" s="140" customFormat="1" ht="15" customHeight="1">
      <c r="A53" s="139"/>
      <c r="B53" s="7">
        <f t="shared" si="17"/>
        <v>31</v>
      </c>
      <c r="C53" s="7" t="s">
        <v>193</v>
      </c>
      <c r="D53" s="147" t="s">
        <v>201</v>
      </c>
      <c r="E53" s="7" t="s">
        <v>15</v>
      </c>
      <c r="F53" s="137" t="s">
        <v>30</v>
      </c>
      <c r="G53" s="150">
        <v>40203</v>
      </c>
      <c r="H53" s="7" t="s">
        <v>25</v>
      </c>
      <c r="I53" s="138" t="s">
        <v>521</v>
      </c>
      <c r="J53" s="151"/>
      <c r="K53" s="131"/>
      <c r="L53" s="131"/>
      <c r="M53" s="131"/>
      <c r="N53" s="129" t="e">
        <f t="shared" si="13"/>
        <v>#DIV/0!</v>
      </c>
      <c r="O53" s="129" t="e">
        <f t="shared" si="14"/>
        <v>#DIV/0!</v>
      </c>
      <c r="P53" s="129" t="e">
        <f t="shared" si="15"/>
        <v>#DIV/0!</v>
      </c>
      <c r="Q53" s="114" t="e">
        <f t="shared" si="16"/>
        <v>#DIV/0!</v>
      </c>
      <c r="W53" s="4"/>
      <c r="X53" s="4"/>
      <c r="Y53" s="4"/>
      <c r="Z53" s="4"/>
      <c r="AC53" s="4"/>
      <c r="AD53" s="4"/>
      <c r="AE53" s="4"/>
    </row>
    <row r="54" spans="1:31" s="140" customFormat="1" ht="15" customHeight="1">
      <c r="A54" s="139"/>
      <c r="B54" s="7">
        <f t="shared" si="17"/>
        <v>32</v>
      </c>
      <c r="C54" s="7" t="s">
        <v>193</v>
      </c>
      <c r="D54" s="7" t="s">
        <v>248</v>
      </c>
      <c r="E54" s="7" t="s">
        <v>15</v>
      </c>
      <c r="F54" s="7" t="s">
        <v>30</v>
      </c>
      <c r="G54" s="150">
        <v>40336</v>
      </c>
      <c r="H54" s="7" t="s">
        <v>25</v>
      </c>
      <c r="I54" s="138" t="s">
        <v>521</v>
      </c>
      <c r="J54" s="151"/>
      <c r="K54" s="131"/>
      <c r="L54" s="131"/>
      <c r="M54" s="131"/>
      <c r="N54" s="129" t="e">
        <f t="shared" si="13"/>
        <v>#DIV/0!</v>
      </c>
      <c r="O54" s="129" t="e">
        <f t="shared" si="14"/>
        <v>#DIV/0!</v>
      </c>
      <c r="P54" s="129" t="e">
        <f t="shared" si="15"/>
        <v>#DIV/0!</v>
      </c>
      <c r="Q54" s="114" t="e">
        <f t="shared" si="16"/>
        <v>#DIV/0!</v>
      </c>
      <c r="W54" s="4"/>
      <c r="X54" s="4"/>
      <c r="Y54" s="4"/>
      <c r="Z54" s="4"/>
      <c r="AC54" s="4"/>
      <c r="AD54" s="4"/>
      <c r="AE54" s="4"/>
    </row>
    <row r="55" spans="1:31" s="140" customFormat="1" ht="15" customHeight="1">
      <c r="A55" s="139"/>
      <c r="B55" s="7">
        <f t="shared" si="17"/>
        <v>33</v>
      </c>
      <c r="C55" s="7" t="s">
        <v>193</v>
      </c>
      <c r="D55" s="147" t="s">
        <v>464</v>
      </c>
      <c r="E55" s="7" t="s">
        <v>15</v>
      </c>
      <c r="F55" s="137" t="s">
        <v>30</v>
      </c>
      <c r="G55" s="150">
        <v>40463</v>
      </c>
      <c r="H55" s="7" t="s">
        <v>25</v>
      </c>
      <c r="I55" s="138" t="s">
        <v>521</v>
      </c>
      <c r="J55" s="151"/>
      <c r="K55" s="131"/>
      <c r="L55" s="131"/>
      <c r="M55" s="131"/>
      <c r="N55" s="129" t="e">
        <f t="shared" si="13"/>
        <v>#DIV/0!</v>
      </c>
      <c r="O55" s="129" t="e">
        <f t="shared" si="14"/>
        <v>#DIV/0!</v>
      </c>
      <c r="P55" s="129" t="e">
        <f t="shared" si="15"/>
        <v>#DIV/0!</v>
      </c>
      <c r="Q55" s="114" t="e">
        <f t="shared" si="16"/>
        <v>#DIV/0!</v>
      </c>
      <c r="W55" s="4"/>
      <c r="X55" s="4"/>
      <c r="Y55" s="4"/>
      <c r="Z55" s="4"/>
      <c r="AC55" s="4"/>
      <c r="AD55" s="4"/>
      <c r="AE55" s="4"/>
    </row>
    <row r="56" spans="1:31" s="140" customFormat="1" ht="15" customHeight="1">
      <c r="A56" s="139"/>
      <c r="B56" s="7">
        <f t="shared" si="17"/>
        <v>34</v>
      </c>
      <c r="C56" s="7" t="s">
        <v>193</v>
      </c>
      <c r="D56" s="147" t="s">
        <v>202</v>
      </c>
      <c r="E56" s="7" t="s">
        <v>15</v>
      </c>
      <c r="F56" s="137" t="s">
        <v>30</v>
      </c>
      <c r="G56" s="150">
        <v>40463</v>
      </c>
      <c r="H56" s="7" t="s">
        <v>25</v>
      </c>
      <c r="I56" s="138" t="s">
        <v>521</v>
      </c>
      <c r="J56" s="151"/>
      <c r="K56" s="131"/>
      <c r="L56" s="131"/>
      <c r="M56" s="131"/>
      <c r="N56" s="129" t="e">
        <f t="shared" si="13"/>
        <v>#DIV/0!</v>
      </c>
      <c r="O56" s="129" t="e">
        <f t="shared" si="14"/>
        <v>#DIV/0!</v>
      </c>
      <c r="P56" s="129" t="e">
        <f t="shared" si="15"/>
        <v>#DIV/0!</v>
      </c>
      <c r="Q56" s="114" t="e">
        <f t="shared" si="16"/>
        <v>#DIV/0!</v>
      </c>
      <c r="W56" s="4"/>
      <c r="X56" s="4"/>
      <c r="Y56" s="4"/>
      <c r="Z56" s="4"/>
      <c r="AC56" s="4"/>
      <c r="AD56" s="4"/>
      <c r="AE56" s="4"/>
    </row>
    <row r="57" spans="1:31" s="140" customFormat="1" ht="15" customHeight="1">
      <c r="A57" s="139"/>
      <c r="B57" s="7">
        <f t="shared" si="17"/>
        <v>35</v>
      </c>
      <c r="C57" s="7" t="s">
        <v>193</v>
      </c>
      <c r="D57" s="7" t="s">
        <v>196</v>
      </c>
      <c r="E57" s="7" t="s">
        <v>15</v>
      </c>
      <c r="F57" s="7" t="s">
        <v>30</v>
      </c>
      <c r="G57" s="150">
        <v>40463</v>
      </c>
      <c r="H57" s="7" t="s">
        <v>25</v>
      </c>
      <c r="I57" s="138" t="s">
        <v>521</v>
      </c>
      <c r="J57" s="151"/>
      <c r="K57" s="131"/>
      <c r="L57" s="131"/>
      <c r="M57" s="131"/>
      <c r="N57" s="129" t="e">
        <f t="shared" si="13"/>
        <v>#DIV/0!</v>
      </c>
      <c r="O57" s="129" t="e">
        <f t="shared" si="14"/>
        <v>#DIV/0!</v>
      </c>
      <c r="P57" s="129" t="e">
        <f t="shared" si="15"/>
        <v>#DIV/0!</v>
      </c>
      <c r="Q57" s="114" t="e">
        <f t="shared" si="16"/>
        <v>#DIV/0!</v>
      </c>
      <c r="W57" s="4"/>
      <c r="X57" s="4"/>
      <c r="Y57" s="4"/>
      <c r="Z57" s="4"/>
      <c r="AC57" s="4"/>
      <c r="AD57" s="4"/>
      <c r="AE57" s="4"/>
    </row>
    <row r="58" spans="1:31" s="140" customFormat="1" ht="15" customHeight="1">
      <c r="A58" s="139"/>
      <c r="B58" s="7">
        <f t="shared" si="17"/>
        <v>36</v>
      </c>
      <c r="C58" s="7" t="s">
        <v>193</v>
      </c>
      <c r="D58" s="147" t="s">
        <v>197</v>
      </c>
      <c r="E58" s="7" t="s">
        <v>15</v>
      </c>
      <c r="F58" s="137" t="s">
        <v>30</v>
      </c>
      <c r="G58" s="150">
        <v>40543</v>
      </c>
      <c r="H58" s="7" t="s">
        <v>25</v>
      </c>
      <c r="I58" s="138" t="s">
        <v>521</v>
      </c>
      <c r="J58" s="151"/>
      <c r="K58" s="131"/>
      <c r="L58" s="131"/>
      <c r="M58" s="131"/>
      <c r="N58" s="129" t="e">
        <f t="shared" si="13"/>
        <v>#DIV/0!</v>
      </c>
      <c r="O58" s="129" t="e">
        <f t="shared" si="14"/>
        <v>#DIV/0!</v>
      </c>
      <c r="P58" s="129" t="e">
        <f t="shared" si="15"/>
        <v>#DIV/0!</v>
      </c>
      <c r="Q58" s="114" t="e">
        <f t="shared" si="16"/>
        <v>#DIV/0!</v>
      </c>
      <c r="W58" s="4"/>
      <c r="X58" s="4"/>
      <c r="Y58" s="4"/>
      <c r="Z58" s="4"/>
      <c r="AC58" s="4"/>
      <c r="AD58" s="4"/>
      <c r="AE58" s="4"/>
    </row>
    <row r="59" spans="1:31" s="140" customFormat="1" ht="15" customHeight="1">
      <c r="A59" s="139"/>
      <c r="B59" s="7">
        <f t="shared" si="17"/>
        <v>37</v>
      </c>
      <c r="C59" s="7" t="s">
        <v>193</v>
      </c>
      <c r="D59" s="147" t="s">
        <v>203</v>
      </c>
      <c r="E59" s="7" t="s">
        <v>15</v>
      </c>
      <c r="F59" s="137" t="s">
        <v>30</v>
      </c>
      <c r="G59" s="150">
        <v>40543</v>
      </c>
      <c r="H59" s="7" t="s">
        <v>25</v>
      </c>
      <c r="I59" s="138" t="s">
        <v>521</v>
      </c>
      <c r="J59" s="151"/>
      <c r="K59" s="131"/>
      <c r="L59" s="131"/>
      <c r="M59" s="131"/>
      <c r="N59" s="129" t="e">
        <f t="shared" ref="N59:N64" si="24">+K59/(K59+L59)</f>
        <v>#DIV/0!</v>
      </c>
      <c r="O59" s="129" t="e">
        <f t="shared" ref="O59:O64" si="25">+(K59+M59)/(K59+L59+M59)</f>
        <v>#DIV/0!</v>
      </c>
      <c r="P59" s="129" t="e">
        <f t="shared" ref="P59:P64" si="26">+K59/(K59+M59)</f>
        <v>#DIV/0!</v>
      </c>
      <c r="Q59" s="114" t="e">
        <f t="shared" ref="Q59:Q64" si="27">+J59/K59</f>
        <v>#DIV/0!</v>
      </c>
      <c r="W59" s="4"/>
      <c r="X59" s="4"/>
      <c r="Y59" s="4"/>
      <c r="Z59" s="4"/>
      <c r="AC59" s="4"/>
      <c r="AD59" s="4"/>
      <c r="AE59" s="4"/>
    </row>
    <row r="60" spans="1:31" s="140" customFormat="1" ht="15" customHeight="1">
      <c r="A60" s="139"/>
      <c r="B60" s="7">
        <f t="shared" si="17"/>
        <v>38</v>
      </c>
      <c r="C60" s="7" t="s">
        <v>193</v>
      </c>
      <c r="D60" s="147" t="s">
        <v>286</v>
      </c>
      <c r="E60" s="7" t="s">
        <v>15</v>
      </c>
      <c r="F60" s="137" t="s">
        <v>30</v>
      </c>
      <c r="G60" s="150">
        <v>40543</v>
      </c>
      <c r="H60" s="7" t="s">
        <v>25</v>
      </c>
      <c r="I60" s="138" t="s">
        <v>521</v>
      </c>
      <c r="J60" s="151"/>
      <c r="K60" s="131"/>
      <c r="L60" s="131"/>
      <c r="M60" s="131"/>
      <c r="N60" s="129" t="e">
        <f t="shared" si="24"/>
        <v>#DIV/0!</v>
      </c>
      <c r="O60" s="129" t="e">
        <f t="shared" si="25"/>
        <v>#DIV/0!</v>
      </c>
      <c r="P60" s="129" t="e">
        <f t="shared" si="26"/>
        <v>#DIV/0!</v>
      </c>
      <c r="Q60" s="114" t="e">
        <f t="shared" si="27"/>
        <v>#DIV/0!</v>
      </c>
      <c r="W60" s="4"/>
      <c r="X60" s="4"/>
      <c r="Y60" s="4"/>
      <c r="Z60" s="4"/>
      <c r="AC60" s="4"/>
      <c r="AD60" s="4"/>
      <c r="AE60" s="4"/>
    </row>
    <row r="61" spans="1:31" s="140" customFormat="1" ht="15" customHeight="1">
      <c r="A61" s="139"/>
      <c r="B61" s="7">
        <f t="shared" si="17"/>
        <v>39</v>
      </c>
      <c r="C61" s="7" t="s">
        <v>193</v>
      </c>
      <c r="D61" s="147" t="s">
        <v>204</v>
      </c>
      <c r="E61" s="7" t="s">
        <v>15</v>
      </c>
      <c r="F61" s="137" t="s">
        <v>30</v>
      </c>
      <c r="G61" s="150">
        <v>40543</v>
      </c>
      <c r="H61" s="7" t="s">
        <v>25</v>
      </c>
      <c r="I61" s="138" t="s">
        <v>521</v>
      </c>
      <c r="J61" s="151"/>
      <c r="K61" s="131"/>
      <c r="L61" s="131"/>
      <c r="M61" s="131"/>
      <c r="N61" s="129" t="e">
        <f t="shared" si="24"/>
        <v>#DIV/0!</v>
      </c>
      <c r="O61" s="129" t="e">
        <f t="shared" si="25"/>
        <v>#DIV/0!</v>
      </c>
      <c r="P61" s="129" t="e">
        <f t="shared" si="26"/>
        <v>#DIV/0!</v>
      </c>
      <c r="Q61" s="114" t="e">
        <f t="shared" si="27"/>
        <v>#DIV/0!</v>
      </c>
      <c r="W61" s="4"/>
      <c r="X61" s="4"/>
      <c r="Y61" s="4"/>
      <c r="Z61" s="4"/>
      <c r="AC61" s="4"/>
      <c r="AD61" s="4"/>
      <c r="AE61" s="4"/>
    </row>
    <row r="62" spans="1:31" s="140" customFormat="1" ht="15" customHeight="1">
      <c r="A62" s="139"/>
      <c r="B62" s="7">
        <f t="shared" si="17"/>
        <v>40</v>
      </c>
      <c r="C62" s="7" t="s">
        <v>193</v>
      </c>
      <c r="D62" s="147" t="s">
        <v>372</v>
      </c>
      <c r="E62" s="7" t="s">
        <v>134</v>
      </c>
      <c r="F62" s="137" t="s">
        <v>358</v>
      </c>
      <c r="G62" s="150">
        <v>43248</v>
      </c>
      <c r="H62" s="7" t="s">
        <v>25</v>
      </c>
      <c r="I62" s="138" t="s">
        <v>521</v>
      </c>
      <c r="J62" s="151"/>
      <c r="K62" s="131"/>
      <c r="L62" s="131"/>
      <c r="M62" s="131"/>
      <c r="N62" s="129" t="e">
        <f t="shared" si="24"/>
        <v>#DIV/0!</v>
      </c>
      <c r="O62" s="129" t="e">
        <f t="shared" si="25"/>
        <v>#DIV/0!</v>
      </c>
      <c r="P62" s="129" t="e">
        <f t="shared" si="26"/>
        <v>#DIV/0!</v>
      </c>
      <c r="Q62" s="114" t="e">
        <f t="shared" si="27"/>
        <v>#DIV/0!</v>
      </c>
      <c r="W62" s="4"/>
      <c r="X62" s="4"/>
      <c r="Y62" s="4"/>
      <c r="Z62" s="4"/>
      <c r="AC62" s="4"/>
      <c r="AD62" s="4"/>
      <c r="AE62" s="4"/>
    </row>
    <row r="63" spans="1:31" s="140" customFormat="1" ht="15" customHeight="1">
      <c r="A63" s="139"/>
      <c r="B63" s="7">
        <f t="shared" si="17"/>
        <v>41</v>
      </c>
      <c r="C63" s="7" t="s">
        <v>193</v>
      </c>
      <c r="D63" s="147" t="s">
        <v>378</v>
      </c>
      <c r="E63" s="7" t="s">
        <v>134</v>
      </c>
      <c r="F63" s="137" t="s">
        <v>358</v>
      </c>
      <c r="G63" s="150">
        <v>43248</v>
      </c>
      <c r="H63" s="7" t="s">
        <v>25</v>
      </c>
      <c r="I63" s="138" t="s">
        <v>521</v>
      </c>
      <c r="J63" s="151"/>
      <c r="K63" s="131"/>
      <c r="L63" s="131"/>
      <c r="M63" s="131"/>
      <c r="N63" s="129" t="e">
        <f t="shared" si="24"/>
        <v>#DIV/0!</v>
      </c>
      <c r="O63" s="129" t="e">
        <f t="shared" si="25"/>
        <v>#DIV/0!</v>
      </c>
      <c r="P63" s="129" t="e">
        <f t="shared" si="26"/>
        <v>#DIV/0!</v>
      </c>
      <c r="Q63" s="114" t="e">
        <f t="shared" si="27"/>
        <v>#DIV/0!</v>
      </c>
      <c r="W63" s="4"/>
      <c r="X63" s="4"/>
      <c r="Y63" s="4"/>
      <c r="Z63" s="4"/>
      <c r="AC63" s="4"/>
      <c r="AD63" s="4"/>
      <c r="AE63" s="4"/>
    </row>
    <row r="64" spans="1:31" s="140" customFormat="1" ht="15" customHeight="1">
      <c r="A64" s="139"/>
      <c r="B64" s="7">
        <f t="shared" si="17"/>
        <v>42</v>
      </c>
      <c r="C64" s="7" t="s">
        <v>193</v>
      </c>
      <c r="D64" s="147" t="s">
        <v>379</v>
      </c>
      <c r="E64" s="7" t="s">
        <v>134</v>
      </c>
      <c r="F64" s="137" t="s">
        <v>358</v>
      </c>
      <c r="G64" s="150">
        <v>43248</v>
      </c>
      <c r="H64" s="7" t="s">
        <v>25</v>
      </c>
      <c r="I64" s="138" t="s">
        <v>521</v>
      </c>
      <c r="J64" s="151"/>
      <c r="K64" s="131"/>
      <c r="L64" s="131"/>
      <c r="M64" s="131"/>
      <c r="N64" s="129" t="e">
        <f t="shared" si="24"/>
        <v>#DIV/0!</v>
      </c>
      <c r="O64" s="129" t="e">
        <f t="shared" si="25"/>
        <v>#DIV/0!</v>
      </c>
      <c r="P64" s="129" t="e">
        <f t="shared" si="26"/>
        <v>#DIV/0!</v>
      </c>
      <c r="Q64" s="114" t="e">
        <f t="shared" si="27"/>
        <v>#DIV/0!</v>
      </c>
      <c r="W64" s="4"/>
      <c r="X64" s="4"/>
      <c r="Y64" s="4"/>
      <c r="Z64" s="4"/>
      <c r="AC64" s="4"/>
      <c r="AD64" s="4"/>
      <c r="AE64" s="4"/>
    </row>
    <row r="65" spans="1:31" s="140" customFormat="1" ht="15" customHeight="1">
      <c r="A65" s="139"/>
      <c r="B65" s="7">
        <f t="shared" si="17"/>
        <v>43</v>
      </c>
      <c r="C65" s="7" t="s">
        <v>193</v>
      </c>
      <c r="D65" s="147" t="s">
        <v>380</v>
      </c>
      <c r="E65" s="7" t="s">
        <v>134</v>
      </c>
      <c r="F65" s="137" t="s">
        <v>358</v>
      </c>
      <c r="G65" s="150">
        <v>43248</v>
      </c>
      <c r="H65" s="7" t="s">
        <v>25</v>
      </c>
      <c r="I65" s="138" t="s">
        <v>521</v>
      </c>
      <c r="J65" s="151"/>
      <c r="K65" s="131"/>
      <c r="L65" s="131"/>
      <c r="M65" s="131"/>
      <c r="N65" s="129" t="e">
        <f t="shared" ref="N65:N72" si="28">+K65/(K65+L65)</f>
        <v>#DIV/0!</v>
      </c>
      <c r="O65" s="129" t="e">
        <f t="shared" ref="O65:O72" si="29">+(K65+M65)/(K65+L65+M65)</f>
        <v>#DIV/0!</v>
      </c>
      <c r="P65" s="129" t="e">
        <f t="shared" ref="P65:P72" si="30">+K65/(K65+M65)</f>
        <v>#DIV/0!</v>
      </c>
      <c r="Q65" s="114" t="e">
        <f t="shared" ref="Q65:Q71" si="31">+J65/K65</f>
        <v>#DIV/0!</v>
      </c>
      <c r="W65" s="4"/>
      <c r="X65" s="4"/>
      <c r="Y65" s="4"/>
      <c r="Z65" s="4"/>
      <c r="AC65" s="4"/>
      <c r="AD65" s="4"/>
      <c r="AE65" s="4"/>
    </row>
    <row r="66" spans="1:31" s="140" customFormat="1" ht="15" customHeight="1">
      <c r="A66" s="139"/>
      <c r="B66" s="7">
        <f t="shared" si="17"/>
        <v>44</v>
      </c>
      <c r="C66" s="7" t="s">
        <v>193</v>
      </c>
      <c r="D66" s="147" t="s">
        <v>381</v>
      </c>
      <c r="E66" s="7" t="s">
        <v>134</v>
      </c>
      <c r="F66" s="137" t="s">
        <v>358</v>
      </c>
      <c r="G66" s="150">
        <v>43248</v>
      </c>
      <c r="H66" s="7" t="s">
        <v>25</v>
      </c>
      <c r="I66" s="138" t="s">
        <v>521</v>
      </c>
      <c r="J66" s="151"/>
      <c r="K66" s="131"/>
      <c r="L66" s="131"/>
      <c r="M66" s="131"/>
      <c r="N66" s="129" t="e">
        <f t="shared" si="28"/>
        <v>#DIV/0!</v>
      </c>
      <c r="O66" s="129" t="e">
        <f t="shared" si="29"/>
        <v>#DIV/0!</v>
      </c>
      <c r="P66" s="129" t="e">
        <f t="shared" si="30"/>
        <v>#DIV/0!</v>
      </c>
      <c r="Q66" s="114" t="e">
        <f t="shared" si="31"/>
        <v>#DIV/0!</v>
      </c>
      <c r="W66" s="4"/>
      <c r="X66" s="4"/>
      <c r="Y66" s="4"/>
      <c r="Z66" s="4"/>
      <c r="AC66" s="4"/>
      <c r="AD66" s="4"/>
      <c r="AE66" s="4"/>
    </row>
    <row r="67" spans="1:31" s="140" customFormat="1" ht="15" customHeight="1">
      <c r="A67" s="139"/>
      <c r="B67" s="7">
        <f t="shared" si="17"/>
        <v>45</v>
      </c>
      <c r="C67" s="7" t="s">
        <v>193</v>
      </c>
      <c r="D67" s="147" t="s">
        <v>382</v>
      </c>
      <c r="E67" s="7" t="s">
        <v>134</v>
      </c>
      <c r="F67" s="137" t="s">
        <v>358</v>
      </c>
      <c r="G67" s="150">
        <v>43248</v>
      </c>
      <c r="H67" s="7" t="s">
        <v>25</v>
      </c>
      <c r="I67" s="138" t="s">
        <v>521</v>
      </c>
      <c r="J67" s="151"/>
      <c r="K67" s="131"/>
      <c r="L67" s="131"/>
      <c r="M67" s="131"/>
      <c r="N67" s="129" t="e">
        <f t="shared" si="28"/>
        <v>#DIV/0!</v>
      </c>
      <c r="O67" s="129" t="e">
        <f t="shared" si="29"/>
        <v>#DIV/0!</v>
      </c>
      <c r="P67" s="129" t="e">
        <f t="shared" si="30"/>
        <v>#DIV/0!</v>
      </c>
      <c r="Q67" s="114" t="e">
        <f t="shared" si="31"/>
        <v>#DIV/0!</v>
      </c>
      <c r="W67" s="4"/>
      <c r="X67" s="4"/>
      <c r="Y67" s="4"/>
      <c r="Z67" s="4"/>
      <c r="AC67" s="4"/>
      <c r="AD67" s="4"/>
      <c r="AE67" s="4"/>
    </row>
    <row r="68" spans="1:31" s="140" customFormat="1" ht="15" customHeight="1">
      <c r="A68" s="139"/>
      <c r="B68" s="7">
        <f t="shared" si="17"/>
        <v>46</v>
      </c>
      <c r="C68" s="7" t="s">
        <v>193</v>
      </c>
      <c r="D68" s="147" t="s">
        <v>388</v>
      </c>
      <c r="E68" s="7" t="s">
        <v>134</v>
      </c>
      <c r="F68" s="137" t="s">
        <v>358</v>
      </c>
      <c r="G68" s="150">
        <v>43248</v>
      </c>
      <c r="H68" s="7" t="s">
        <v>25</v>
      </c>
      <c r="I68" s="138" t="s">
        <v>521</v>
      </c>
      <c r="J68" s="151"/>
      <c r="K68" s="131"/>
      <c r="L68" s="131"/>
      <c r="M68" s="131"/>
      <c r="N68" s="129" t="e">
        <f t="shared" si="28"/>
        <v>#DIV/0!</v>
      </c>
      <c r="O68" s="129" t="e">
        <f t="shared" si="29"/>
        <v>#DIV/0!</v>
      </c>
      <c r="P68" s="129" t="e">
        <f t="shared" si="30"/>
        <v>#DIV/0!</v>
      </c>
      <c r="Q68" s="114" t="e">
        <f t="shared" si="31"/>
        <v>#DIV/0!</v>
      </c>
      <c r="W68" s="4"/>
      <c r="X68" s="4"/>
      <c r="Y68" s="4"/>
      <c r="Z68" s="4"/>
      <c r="AC68" s="4"/>
      <c r="AD68" s="4"/>
      <c r="AE68" s="4"/>
    </row>
    <row r="69" spans="1:31" s="140" customFormat="1" ht="15" customHeight="1">
      <c r="A69" s="139"/>
      <c r="B69" s="7">
        <f t="shared" si="17"/>
        <v>47</v>
      </c>
      <c r="C69" s="7" t="s">
        <v>193</v>
      </c>
      <c r="D69" s="147" t="s">
        <v>383</v>
      </c>
      <c r="E69" s="7" t="s">
        <v>134</v>
      </c>
      <c r="F69" s="137" t="s">
        <v>358</v>
      </c>
      <c r="G69" s="150">
        <v>43248</v>
      </c>
      <c r="H69" s="7" t="s">
        <v>25</v>
      </c>
      <c r="I69" s="138" t="s">
        <v>521</v>
      </c>
      <c r="J69" s="151"/>
      <c r="K69" s="131"/>
      <c r="L69" s="131"/>
      <c r="M69" s="131"/>
      <c r="N69" s="129" t="e">
        <f t="shared" si="28"/>
        <v>#DIV/0!</v>
      </c>
      <c r="O69" s="129" t="e">
        <f t="shared" si="29"/>
        <v>#DIV/0!</v>
      </c>
      <c r="P69" s="129" t="e">
        <f t="shared" si="30"/>
        <v>#DIV/0!</v>
      </c>
      <c r="Q69" s="114" t="e">
        <f t="shared" si="31"/>
        <v>#DIV/0!</v>
      </c>
      <c r="W69" s="4"/>
      <c r="X69" s="4"/>
      <c r="Y69" s="4"/>
      <c r="Z69" s="4"/>
      <c r="AC69" s="4"/>
      <c r="AD69" s="4"/>
      <c r="AE69" s="4"/>
    </row>
    <row r="70" spans="1:31" s="140" customFormat="1" ht="15" customHeight="1">
      <c r="A70" s="139"/>
      <c r="B70" s="7">
        <f t="shared" si="17"/>
        <v>48</v>
      </c>
      <c r="C70" s="7" t="s">
        <v>193</v>
      </c>
      <c r="D70" s="147" t="s">
        <v>384</v>
      </c>
      <c r="E70" s="7" t="s">
        <v>134</v>
      </c>
      <c r="F70" s="137" t="s">
        <v>358</v>
      </c>
      <c r="G70" s="150">
        <v>43248</v>
      </c>
      <c r="H70" s="7" t="s">
        <v>25</v>
      </c>
      <c r="I70" s="138" t="s">
        <v>521</v>
      </c>
      <c r="J70" s="151"/>
      <c r="K70" s="131"/>
      <c r="L70" s="131"/>
      <c r="M70" s="131"/>
      <c r="N70" s="129" t="e">
        <f t="shared" si="28"/>
        <v>#DIV/0!</v>
      </c>
      <c r="O70" s="129" t="e">
        <f t="shared" si="29"/>
        <v>#DIV/0!</v>
      </c>
      <c r="P70" s="129" t="e">
        <f t="shared" si="30"/>
        <v>#DIV/0!</v>
      </c>
      <c r="Q70" s="114" t="e">
        <f t="shared" si="31"/>
        <v>#DIV/0!</v>
      </c>
      <c r="W70" s="4"/>
      <c r="X70" s="4"/>
      <c r="Y70" s="4"/>
      <c r="Z70" s="4"/>
      <c r="AC70" s="4"/>
      <c r="AD70" s="4"/>
      <c r="AE70" s="4"/>
    </row>
    <row r="71" spans="1:31" s="140" customFormat="1" ht="15" customHeight="1">
      <c r="A71" s="139"/>
      <c r="B71" s="7">
        <f t="shared" si="17"/>
        <v>49</v>
      </c>
      <c r="C71" s="7" t="s">
        <v>193</v>
      </c>
      <c r="D71" s="147" t="s">
        <v>385</v>
      </c>
      <c r="E71" s="7" t="s">
        <v>134</v>
      </c>
      <c r="F71" s="137" t="s">
        <v>358</v>
      </c>
      <c r="G71" s="150">
        <v>43248</v>
      </c>
      <c r="H71" s="7" t="s">
        <v>25</v>
      </c>
      <c r="I71" s="138" t="s">
        <v>521</v>
      </c>
      <c r="J71" s="151"/>
      <c r="K71" s="131"/>
      <c r="L71" s="131"/>
      <c r="M71" s="131"/>
      <c r="N71" s="129" t="e">
        <f t="shared" si="28"/>
        <v>#DIV/0!</v>
      </c>
      <c r="O71" s="129" t="e">
        <f t="shared" si="29"/>
        <v>#DIV/0!</v>
      </c>
      <c r="P71" s="129" t="e">
        <f t="shared" si="30"/>
        <v>#DIV/0!</v>
      </c>
      <c r="Q71" s="114" t="e">
        <f t="shared" si="31"/>
        <v>#DIV/0!</v>
      </c>
      <c r="W71" s="4"/>
      <c r="X71" s="4"/>
      <c r="Y71" s="4"/>
      <c r="Z71" s="4"/>
      <c r="AC71" s="4"/>
      <c r="AD71" s="4"/>
      <c r="AE71" s="4"/>
    </row>
    <row r="72" spans="1:31" s="140" customFormat="1" ht="15" customHeight="1">
      <c r="A72" s="139"/>
      <c r="B72" s="7">
        <f t="shared" si="17"/>
        <v>50</v>
      </c>
      <c r="C72" s="7" t="s">
        <v>193</v>
      </c>
      <c r="D72" s="147" t="s">
        <v>391</v>
      </c>
      <c r="E72" s="7" t="s">
        <v>134</v>
      </c>
      <c r="F72" s="137" t="s">
        <v>358</v>
      </c>
      <c r="G72" s="150">
        <v>43281</v>
      </c>
      <c r="H72" s="7" t="s">
        <v>25</v>
      </c>
      <c r="I72" s="138" t="s">
        <v>521</v>
      </c>
      <c r="J72" s="151"/>
      <c r="K72" s="131"/>
      <c r="L72" s="131"/>
      <c r="M72" s="131"/>
      <c r="N72" s="129" t="e">
        <f t="shared" si="28"/>
        <v>#DIV/0!</v>
      </c>
      <c r="O72" s="129" t="e">
        <f t="shared" si="29"/>
        <v>#DIV/0!</v>
      </c>
      <c r="P72" s="129" t="e">
        <f t="shared" si="30"/>
        <v>#DIV/0!</v>
      </c>
      <c r="Q72" s="114"/>
      <c r="W72" s="4"/>
      <c r="X72" s="4"/>
      <c r="Y72" s="4"/>
      <c r="Z72" s="4"/>
      <c r="AC72" s="4"/>
      <c r="AD72" s="4"/>
      <c r="AE72" s="4"/>
    </row>
    <row r="73" spans="1:31" s="140" customFormat="1" ht="15" customHeight="1">
      <c r="A73" s="64"/>
      <c r="B73" s="7">
        <f t="shared" si="17"/>
        <v>51</v>
      </c>
      <c r="C73" s="7" t="s">
        <v>193</v>
      </c>
      <c r="D73" s="7" t="s">
        <v>195</v>
      </c>
      <c r="E73" s="7" t="s">
        <v>15</v>
      </c>
      <c r="F73" s="137" t="s">
        <v>30</v>
      </c>
      <c r="G73" s="150">
        <v>40137</v>
      </c>
      <c r="H73" s="7" t="s">
        <v>25</v>
      </c>
      <c r="I73" s="138" t="s">
        <v>521</v>
      </c>
      <c r="J73" s="151"/>
      <c r="K73" s="131"/>
      <c r="L73" s="131"/>
      <c r="M73" s="131"/>
      <c r="N73" s="129" t="e">
        <f t="shared" ref="N73:N75" si="32">+K73/(K73+L73)</f>
        <v>#DIV/0!</v>
      </c>
      <c r="O73" s="129" t="e">
        <f t="shared" ref="O73:O75" si="33">+(K73+M73)/(K73+L73+M73)</f>
        <v>#DIV/0!</v>
      </c>
      <c r="P73" s="129" t="e">
        <f t="shared" ref="P73:P75" si="34">+K73/(K73+M73)</f>
        <v>#DIV/0!</v>
      </c>
      <c r="Q73" s="114" t="e">
        <f t="shared" ref="Q73:Q75" si="35">+J73/K73</f>
        <v>#DIV/0!</v>
      </c>
      <c r="W73" s="4"/>
      <c r="X73" s="4"/>
      <c r="Y73" s="4"/>
      <c r="Z73" s="4"/>
      <c r="AC73" s="4"/>
      <c r="AD73" s="4"/>
      <c r="AE73" s="4"/>
    </row>
    <row r="74" spans="1:31" s="140" customFormat="1" ht="15" customHeight="1">
      <c r="A74" s="64"/>
      <c r="B74" s="7">
        <f t="shared" si="17"/>
        <v>52</v>
      </c>
      <c r="C74" s="7" t="s">
        <v>193</v>
      </c>
      <c r="D74" s="7" t="s">
        <v>199</v>
      </c>
      <c r="E74" s="7" t="s">
        <v>15</v>
      </c>
      <c r="F74" s="7" t="s">
        <v>30</v>
      </c>
      <c r="G74" s="150">
        <v>40203</v>
      </c>
      <c r="H74" s="7" t="s">
        <v>25</v>
      </c>
      <c r="I74" s="138" t="s">
        <v>521</v>
      </c>
      <c r="J74" s="151"/>
      <c r="K74" s="131"/>
      <c r="L74" s="131"/>
      <c r="M74" s="131"/>
      <c r="N74" s="129" t="e">
        <f t="shared" si="32"/>
        <v>#DIV/0!</v>
      </c>
      <c r="O74" s="129" t="e">
        <f t="shared" si="33"/>
        <v>#DIV/0!</v>
      </c>
      <c r="P74" s="129" t="e">
        <f t="shared" si="34"/>
        <v>#DIV/0!</v>
      </c>
      <c r="Q74" s="114" t="e">
        <f t="shared" si="35"/>
        <v>#DIV/0!</v>
      </c>
      <c r="W74" s="4"/>
      <c r="X74" s="4"/>
      <c r="Y74" s="4"/>
      <c r="Z74" s="4"/>
      <c r="AC74" s="4"/>
      <c r="AD74" s="4"/>
      <c r="AE74" s="4"/>
    </row>
    <row r="75" spans="1:31" s="140" customFormat="1" ht="15" customHeight="1">
      <c r="A75" s="64"/>
      <c r="B75" s="7">
        <f t="shared" si="17"/>
        <v>53</v>
      </c>
      <c r="C75" s="7" t="s">
        <v>193</v>
      </c>
      <c r="D75" s="7" t="s">
        <v>200</v>
      </c>
      <c r="E75" s="7" t="s">
        <v>15</v>
      </c>
      <c r="F75" s="7" t="s">
        <v>30</v>
      </c>
      <c r="G75" s="150">
        <v>40203</v>
      </c>
      <c r="H75" s="7" t="s">
        <v>25</v>
      </c>
      <c r="I75" s="138" t="s">
        <v>521</v>
      </c>
      <c r="J75" s="151"/>
      <c r="K75" s="131"/>
      <c r="L75" s="131"/>
      <c r="M75" s="131"/>
      <c r="N75" s="129" t="e">
        <f t="shared" si="32"/>
        <v>#DIV/0!</v>
      </c>
      <c r="O75" s="129" t="e">
        <f t="shared" si="33"/>
        <v>#DIV/0!</v>
      </c>
      <c r="P75" s="129" t="e">
        <f t="shared" si="34"/>
        <v>#DIV/0!</v>
      </c>
      <c r="Q75" s="114" t="e">
        <f t="shared" si="35"/>
        <v>#DIV/0!</v>
      </c>
      <c r="W75" s="4"/>
      <c r="X75" s="4"/>
      <c r="Y75" s="4"/>
      <c r="Z75" s="4"/>
      <c r="AC75" s="4"/>
      <c r="AD75" s="4"/>
      <c r="AE75" s="4"/>
    </row>
    <row r="76" spans="1:31" s="140" customFormat="1" ht="15" customHeight="1">
      <c r="A76" s="139"/>
      <c r="B76" s="336" t="s">
        <v>22</v>
      </c>
      <c r="C76" s="337"/>
      <c r="D76" s="337"/>
      <c r="E76" s="338"/>
      <c r="F76" s="8">
        <f>+COUNTA(F23:F75)</f>
        <v>53</v>
      </c>
      <c r="G76" s="9"/>
      <c r="H76" s="7"/>
      <c r="I76" s="138"/>
      <c r="J76" s="138"/>
      <c r="K76" s="141"/>
      <c r="L76" s="141"/>
      <c r="M76" s="141"/>
      <c r="N76" s="141"/>
      <c r="O76" s="141"/>
      <c r="P76" s="141"/>
      <c r="Q76" s="142"/>
      <c r="W76" s="4"/>
      <c r="X76" s="4"/>
      <c r="Y76" s="4"/>
      <c r="Z76" s="4"/>
      <c r="AC76" s="4"/>
      <c r="AD76" s="4"/>
      <c r="AE76" s="4"/>
    </row>
    <row r="77" spans="1:31" s="140" customFormat="1" ht="15" customHeight="1">
      <c r="A77" s="139"/>
      <c r="K77" s="143"/>
      <c r="L77" s="144"/>
      <c r="M77" s="144"/>
      <c r="N77" s="144"/>
      <c r="O77" s="144"/>
      <c r="P77" s="144"/>
      <c r="Q77" s="145"/>
      <c r="W77" s="4"/>
      <c r="X77" s="4"/>
      <c r="Y77" s="4"/>
      <c r="Z77" s="4"/>
      <c r="AC77" s="4"/>
      <c r="AD77" s="4"/>
      <c r="AE77" s="4"/>
    </row>
    <row r="78" spans="1:31" s="140" customFormat="1" ht="15" customHeight="1">
      <c r="A78" s="146" t="s">
        <v>95</v>
      </c>
      <c r="B78" s="66" t="s">
        <v>205</v>
      </c>
      <c r="C78" s="4"/>
      <c r="D78" s="4"/>
      <c r="E78" s="4"/>
      <c r="F78" s="16"/>
      <c r="G78" s="4"/>
      <c r="H78" s="4"/>
      <c r="I78" s="4"/>
      <c r="J78" s="4"/>
      <c r="K78" s="144"/>
      <c r="L78" s="144"/>
      <c r="M78" s="144"/>
      <c r="N78" s="144"/>
      <c r="O78" s="144"/>
      <c r="P78" s="144"/>
      <c r="Q78" s="145"/>
      <c r="W78" s="4"/>
      <c r="X78" s="4"/>
      <c r="Y78" s="4"/>
      <c r="Z78" s="4"/>
      <c r="AC78" s="4"/>
      <c r="AD78" s="4"/>
      <c r="AE78" s="4"/>
    </row>
    <row r="79" spans="1:31" s="140" customFormat="1" ht="15" customHeight="1">
      <c r="A79" s="139"/>
      <c r="B79" s="6" t="s">
        <v>2</v>
      </c>
      <c r="C79" s="6" t="s">
        <v>3</v>
      </c>
      <c r="D79" s="6" t="s">
        <v>4</v>
      </c>
      <c r="E79" s="6" t="s">
        <v>5</v>
      </c>
      <c r="F79" s="6" t="s">
        <v>6</v>
      </c>
      <c r="G79" s="6" t="s">
        <v>7</v>
      </c>
      <c r="H79" s="6" t="s">
        <v>8</v>
      </c>
      <c r="I79" s="6" t="s">
        <v>9</v>
      </c>
      <c r="J79" s="83" t="s">
        <v>267</v>
      </c>
      <c r="K79" s="6" t="s">
        <v>262</v>
      </c>
      <c r="L79" s="6" t="s">
        <v>268</v>
      </c>
      <c r="M79" s="6" t="s">
        <v>269</v>
      </c>
      <c r="N79" s="6" t="s">
        <v>263</v>
      </c>
      <c r="O79" s="6" t="s">
        <v>264</v>
      </c>
      <c r="P79" s="6" t="s">
        <v>265</v>
      </c>
      <c r="Q79" s="67" t="s">
        <v>266</v>
      </c>
      <c r="W79" s="4"/>
      <c r="X79" s="4"/>
      <c r="Y79" s="4"/>
      <c r="Z79" s="4"/>
      <c r="AC79" s="4"/>
      <c r="AD79" s="4"/>
      <c r="AE79" s="4"/>
    </row>
    <row r="80" spans="1:31" s="140" customFormat="1" ht="15" customHeight="1">
      <c r="A80" s="65"/>
      <c r="B80" s="137">
        <v>1</v>
      </c>
      <c r="C80" s="7" t="s">
        <v>193</v>
      </c>
      <c r="D80" s="147"/>
      <c r="E80" s="137"/>
      <c r="F80" s="137"/>
      <c r="G80" s="137"/>
      <c r="H80" s="7"/>
      <c r="I80" s="137"/>
      <c r="J80" s="151"/>
      <c r="K80" s="131"/>
      <c r="L80" s="131"/>
      <c r="M80" s="131"/>
      <c r="N80" s="129"/>
      <c r="O80" s="129"/>
      <c r="P80" s="129"/>
      <c r="Q80" s="114"/>
      <c r="AC80" s="4"/>
      <c r="AD80" s="4"/>
      <c r="AE80" s="4"/>
    </row>
    <row r="81" spans="1:31" s="140" customFormat="1" ht="15" customHeight="1">
      <c r="A81" s="64"/>
      <c r="B81" s="137">
        <f t="shared" ref="B81" si="36">+B80+1</f>
        <v>2</v>
      </c>
      <c r="C81" s="7" t="s">
        <v>193</v>
      </c>
      <c r="D81" s="147"/>
      <c r="E81" s="137"/>
      <c r="F81" s="137"/>
      <c r="G81" s="137"/>
      <c r="H81" s="7"/>
      <c r="I81" s="137"/>
      <c r="J81" s="151"/>
      <c r="K81" s="131"/>
      <c r="L81" s="131"/>
      <c r="M81" s="131"/>
      <c r="N81" s="129"/>
      <c r="O81" s="129"/>
      <c r="P81" s="129"/>
      <c r="Q81" s="114"/>
      <c r="X81" s="4"/>
      <c r="Y81" s="4"/>
      <c r="Z81" s="4"/>
      <c r="AA81" s="4"/>
      <c r="AC81" s="4"/>
      <c r="AD81" s="4"/>
      <c r="AE81" s="4"/>
    </row>
    <row r="82" spans="1:31" s="140" customFormat="1" ht="15" customHeight="1">
      <c r="A82" s="139"/>
      <c r="B82" s="353" t="s">
        <v>22</v>
      </c>
      <c r="C82" s="353"/>
      <c r="D82" s="353"/>
      <c r="E82" s="353"/>
      <c r="F82" s="8">
        <f>+COUNTA(F80:F81)</f>
        <v>0</v>
      </c>
      <c r="G82" s="9"/>
      <c r="H82" s="7"/>
      <c r="I82" s="7"/>
      <c r="J82" s="151"/>
      <c r="K82" s="131"/>
      <c r="L82" s="131"/>
      <c r="M82" s="131"/>
      <c r="N82" s="129"/>
      <c r="O82" s="129"/>
      <c r="P82" s="129"/>
      <c r="Q82" s="130"/>
      <c r="W82" s="4"/>
      <c r="AC82" s="4"/>
      <c r="AD82" s="4"/>
      <c r="AE82" s="4"/>
    </row>
    <row r="83" spans="1:31" s="140" customFormat="1" ht="15" customHeight="1">
      <c r="A83" s="139"/>
      <c r="K83" s="144"/>
      <c r="L83" s="144"/>
      <c r="M83" s="144"/>
      <c r="N83" s="144"/>
      <c r="O83" s="144"/>
      <c r="P83" s="144"/>
      <c r="Q83" s="145"/>
      <c r="AC83" s="4"/>
      <c r="AD83" s="4"/>
      <c r="AE83" s="4"/>
    </row>
    <row r="84" spans="1:31" s="140" customFormat="1" ht="15" customHeight="1">
      <c r="A84" s="65" t="s">
        <v>207</v>
      </c>
      <c r="B84" s="66" t="s">
        <v>205</v>
      </c>
      <c r="C84" s="4"/>
      <c r="D84" s="4"/>
      <c r="E84" s="4"/>
      <c r="F84" s="16"/>
      <c r="G84" s="4"/>
      <c r="H84" s="4"/>
      <c r="I84" s="4"/>
      <c r="J84" s="4"/>
      <c r="K84" s="144"/>
      <c r="L84" s="144"/>
      <c r="M84" s="144"/>
      <c r="N84" s="144"/>
      <c r="O84" s="144"/>
      <c r="P84" s="144"/>
      <c r="Q84" s="145"/>
      <c r="W84" s="4"/>
      <c r="AC84" s="4"/>
      <c r="AD84" s="4"/>
      <c r="AE84" s="4"/>
    </row>
    <row r="85" spans="1:31" s="140" customFormat="1" ht="15" customHeight="1">
      <c r="A85" s="139"/>
      <c r="B85" s="6" t="s">
        <v>2</v>
      </c>
      <c r="C85" s="6" t="s">
        <v>3</v>
      </c>
      <c r="D85" s="6" t="s">
        <v>4</v>
      </c>
      <c r="E85" s="6" t="s">
        <v>5</v>
      </c>
      <c r="F85" s="6" t="s">
        <v>6</v>
      </c>
      <c r="G85" s="6" t="s">
        <v>7</v>
      </c>
      <c r="H85" s="6" t="s">
        <v>8</v>
      </c>
      <c r="I85" s="6" t="s">
        <v>9</v>
      </c>
      <c r="J85" s="83" t="s">
        <v>267</v>
      </c>
      <c r="K85" s="6" t="s">
        <v>262</v>
      </c>
      <c r="L85" s="6" t="s">
        <v>268</v>
      </c>
      <c r="M85" s="6" t="s">
        <v>269</v>
      </c>
      <c r="N85" s="6" t="s">
        <v>263</v>
      </c>
      <c r="O85" s="6" t="s">
        <v>264</v>
      </c>
      <c r="P85" s="6" t="s">
        <v>265</v>
      </c>
      <c r="Q85" s="67" t="s">
        <v>266</v>
      </c>
      <c r="W85" s="4"/>
      <c r="X85" s="144"/>
      <c r="Y85" s="144"/>
      <c r="Z85" s="144"/>
      <c r="AA85" s="144"/>
      <c r="AC85" s="4"/>
      <c r="AD85" s="4"/>
      <c r="AE85" s="4"/>
    </row>
    <row r="86" spans="1:31" s="140" customFormat="1" ht="15" customHeight="1">
      <c r="A86" s="64"/>
      <c r="B86" s="137">
        <v>1</v>
      </c>
      <c r="C86" s="7" t="s">
        <v>193</v>
      </c>
      <c r="D86" s="137" t="s">
        <v>222</v>
      </c>
      <c r="E86" s="7" t="s">
        <v>15</v>
      </c>
      <c r="F86" s="137" t="s">
        <v>209</v>
      </c>
      <c r="G86" s="187">
        <v>2011</v>
      </c>
      <c r="H86" s="7" t="s">
        <v>114</v>
      </c>
      <c r="I86" s="137" t="s">
        <v>210</v>
      </c>
      <c r="J86" s="151"/>
      <c r="K86" s="131"/>
      <c r="L86" s="131"/>
      <c r="M86" s="131"/>
      <c r="N86" s="129" t="e">
        <f t="shared" ref="N86:N95" si="37">+K86/(K86+L86)</f>
        <v>#DIV/0!</v>
      </c>
      <c r="O86" s="129" t="e">
        <f t="shared" ref="O86:O89" si="38">+(K86+M86)/(K86+L86+M86)</f>
        <v>#DIV/0!</v>
      </c>
      <c r="P86" s="129" t="e">
        <f t="shared" ref="P86:P89" si="39">+K86/(K86+M86)</f>
        <v>#DIV/0!</v>
      </c>
      <c r="Q86" s="114"/>
      <c r="W86" s="4"/>
      <c r="X86" s="4"/>
      <c r="Y86" s="4"/>
      <c r="Z86" s="4"/>
      <c r="AA86" s="4"/>
      <c r="AC86" s="4"/>
      <c r="AD86" s="4"/>
      <c r="AE86" s="4"/>
    </row>
    <row r="87" spans="1:31" s="140" customFormat="1" ht="15" customHeight="1">
      <c r="A87" s="64"/>
      <c r="B87" s="137">
        <f>+B86+1</f>
        <v>2</v>
      </c>
      <c r="C87" s="7" t="s">
        <v>193</v>
      </c>
      <c r="D87" s="137" t="s">
        <v>373</v>
      </c>
      <c r="E87" s="7" t="s">
        <v>15</v>
      </c>
      <c r="F87" s="137" t="s">
        <v>209</v>
      </c>
      <c r="G87" s="187">
        <v>41002</v>
      </c>
      <c r="H87" s="7" t="s">
        <v>114</v>
      </c>
      <c r="I87" s="137" t="s">
        <v>210</v>
      </c>
      <c r="J87" s="151"/>
      <c r="K87" s="131"/>
      <c r="L87" s="131"/>
      <c r="M87" s="131"/>
      <c r="N87" s="129" t="e">
        <f t="shared" si="37"/>
        <v>#DIV/0!</v>
      </c>
      <c r="O87" s="129" t="e">
        <f t="shared" si="38"/>
        <v>#DIV/0!</v>
      </c>
      <c r="P87" s="129" t="e">
        <f t="shared" si="39"/>
        <v>#DIV/0!</v>
      </c>
      <c r="Q87" s="114"/>
      <c r="V87" s="4"/>
      <c r="W87" s="4"/>
      <c r="X87" s="4"/>
      <c r="Y87" s="4"/>
      <c r="Z87" s="4"/>
      <c r="AA87" s="4"/>
    </row>
    <row r="88" spans="1:31">
      <c r="A88" s="64"/>
      <c r="B88" s="137">
        <f t="shared" ref="B88:B113" si="40">+B87+1</f>
        <v>3</v>
      </c>
      <c r="C88" s="7" t="s">
        <v>193</v>
      </c>
      <c r="D88" s="137" t="s">
        <v>374</v>
      </c>
      <c r="E88" s="7" t="s">
        <v>15</v>
      </c>
      <c r="F88" s="137" t="s">
        <v>209</v>
      </c>
      <c r="G88" s="187">
        <v>43129</v>
      </c>
      <c r="H88" s="7" t="s">
        <v>114</v>
      </c>
      <c r="I88" s="137" t="s">
        <v>210</v>
      </c>
      <c r="J88" s="151"/>
      <c r="K88" s="131"/>
      <c r="L88" s="131"/>
      <c r="M88" s="131"/>
      <c r="N88" s="129" t="e">
        <f t="shared" si="37"/>
        <v>#DIV/0!</v>
      </c>
      <c r="O88" s="129" t="e">
        <f t="shared" si="38"/>
        <v>#DIV/0!</v>
      </c>
      <c r="P88" s="129" t="e">
        <f t="shared" si="39"/>
        <v>#DIV/0!</v>
      </c>
      <c r="Q88" s="114"/>
      <c r="U88" s="140"/>
      <c r="V88" s="4"/>
      <c r="W88" s="4"/>
      <c r="X88" s="4"/>
      <c r="Y88" s="4"/>
      <c r="Z88" s="4"/>
      <c r="AA88" s="4"/>
    </row>
    <row r="89" spans="1:31" s="4" customFormat="1" ht="15" customHeight="1">
      <c r="A89" s="64"/>
      <c r="B89" s="137">
        <f t="shared" si="40"/>
        <v>4</v>
      </c>
      <c r="C89" s="7" t="s">
        <v>193</v>
      </c>
      <c r="D89" s="137" t="s">
        <v>422</v>
      </c>
      <c r="E89" s="7" t="s">
        <v>15</v>
      </c>
      <c r="F89" s="137" t="s">
        <v>209</v>
      </c>
      <c r="G89" s="187">
        <v>43129</v>
      </c>
      <c r="H89" s="7" t="s">
        <v>114</v>
      </c>
      <c r="I89" s="137" t="s">
        <v>210</v>
      </c>
      <c r="J89" s="151"/>
      <c r="K89" s="131"/>
      <c r="L89" s="131"/>
      <c r="M89" s="131"/>
      <c r="N89" s="129" t="e">
        <f t="shared" si="37"/>
        <v>#DIV/0!</v>
      </c>
      <c r="O89" s="129" t="e">
        <f t="shared" si="38"/>
        <v>#DIV/0!</v>
      </c>
      <c r="P89" s="129" t="e">
        <f t="shared" si="39"/>
        <v>#DIV/0!</v>
      </c>
      <c r="Q89" s="114"/>
    </row>
    <row r="90" spans="1:31" s="4" customFormat="1" ht="15" customHeight="1">
      <c r="A90" s="64"/>
      <c r="B90" s="137">
        <f t="shared" si="40"/>
        <v>5</v>
      </c>
      <c r="C90" s="7" t="s">
        <v>193</v>
      </c>
      <c r="D90" s="137" t="s">
        <v>433</v>
      </c>
      <c r="E90" s="7" t="s">
        <v>15</v>
      </c>
      <c r="F90" s="137" t="s">
        <v>209</v>
      </c>
      <c r="G90" s="187">
        <v>43399</v>
      </c>
      <c r="H90" s="7" t="s">
        <v>114</v>
      </c>
      <c r="I90" s="137" t="s">
        <v>210</v>
      </c>
      <c r="J90" s="151"/>
      <c r="K90" s="131"/>
      <c r="L90" s="131"/>
      <c r="M90" s="131"/>
      <c r="N90" s="129" t="e">
        <f t="shared" si="37"/>
        <v>#DIV/0!</v>
      </c>
      <c r="O90" s="129" t="e">
        <f t="shared" ref="O90:O95" si="41">+(K90+M90)/(K90+L90+M90)</f>
        <v>#DIV/0!</v>
      </c>
      <c r="P90" s="129" t="e">
        <f t="shared" ref="P90:P95" si="42">+K90/(K90+M90)</f>
        <v>#DIV/0!</v>
      </c>
      <c r="Q90" s="114"/>
    </row>
    <row r="91" spans="1:31" s="4" customFormat="1" ht="15" customHeight="1">
      <c r="A91" s="64"/>
      <c r="B91" s="137">
        <f t="shared" si="40"/>
        <v>6</v>
      </c>
      <c r="C91" s="7" t="s">
        <v>193</v>
      </c>
      <c r="D91" s="137" t="s">
        <v>432</v>
      </c>
      <c r="E91" s="7" t="s">
        <v>15</v>
      </c>
      <c r="F91" s="137" t="s">
        <v>209</v>
      </c>
      <c r="G91" s="187">
        <v>43399</v>
      </c>
      <c r="H91" s="7" t="s">
        <v>114</v>
      </c>
      <c r="I91" s="137" t="s">
        <v>210</v>
      </c>
      <c r="J91" s="151"/>
      <c r="K91" s="131"/>
      <c r="L91" s="131"/>
      <c r="M91" s="131"/>
      <c r="N91" s="129" t="e">
        <f t="shared" si="37"/>
        <v>#DIV/0!</v>
      </c>
      <c r="O91" s="129" t="e">
        <f t="shared" si="41"/>
        <v>#DIV/0!</v>
      </c>
      <c r="P91" s="129" t="e">
        <f t="shared" si="42"/>
        <v>#DIV/0!</v>
      </c>
      <c r="Q91" s="114"/>
    </row>
    <row r="92" spans="1:31" s="4" customFormat="1" ht="15" customHeight="1">
      <c r="A92" s="64"/>
      <c r="B92" s="137">
        <f t="shared" si="40"/>
        <v>7</v>
      </c>
      <c r="C92" s="7" t="s">
        <v>193</v>
      </c>
      <c r="D92" s="137" t="s">
        <v>285</v>
      </c>
      <c r="E92" s="7" t="s">
        <v>15</v>
      </c>
      <c r="F92" s="137" t="s">
        <v>212</v>
      </c>
      <c r="G92" s="187">
        <v>41241</v>
      </c>
      <c r="H92" s="7" t="s">
        <v>114</v>
      </c>
      <c r="I92" s="137" t="s">
        <v>211</v>
      </c>
      <c r="J92" s="151"/>
      <c r="K92" s="131"/>
      <c r="L92" s="131"/>
      <c r="M92" s="131"/>
      <c r="N92" s="129" t="e">
        <f t="shared" si="37"/>
        <v>#DIV/0!</v>
      </c>
      <c r="O92" s="129" t="e">
        <f t="shared" si="41"/>
        <v>#DIV/0!</v>
      </c>
      <c r="P92" s="129" t="e">
        <f t="shared" si="42"/>
        <v>#DIV/0!</v>
      </c>
      <c r="Q92" s="114"/>
    </row>
    <row r="93" spans="1:31" s="4" customFormat="1" ht="15" customHeight="1">
      <c r="A93" s="64"/>
      <c r="B93" s="137">
        <f t="shared" si="40"/>
        <v>8</v>
      </c>
      <c r="C93" s="7" t="s">
        <v>193</v>
      </c>
      <c r="D93" s="137" t="s">
        <v>289</v>
      </c>
      <c r="E93" s="7" t="s">
        <v>15</v>
      </c>
      <c r="F93" s="137" t="s">
        <v>212</v>
      </c>
      <c r="G93" s="187">
        <v>41121</v>
      </c>
      <c r="H93" s="7" t="s">
        <v>114</v>
      </c>
      <c r="I93" s="137" t="s">
        <v>211</v>
      </c>
      <c r="J93" s="151"/>
      <c r="K93" s="131"/>
      <c r="L93" s="131"/>
      <c r="M93" s="131"/>
      <c r="N93" s="129" t="e">
        <f t="shared" si="37"/>
        <v>#DIV/0!</v>
      </c>
      <c r="O93" s="129" t="e">
        <f t="shared" si="41"/>
        <v>#DIV/0!</v>
      </c>
      <c r="P93" s="129" t="e">
        <f t="shared" si="42"/>
        <v>#DIV/0!</v>
      </c>
      <c r="Q93" s="114"/>
    </row>
    <row r="94" spans="1:31" s="4" customFormat="1" ht="15" customHeight="1">
      <c r="A94" s="139"/>
      <c r="B94" s="137">
        <f t="shared" si="40"/>
        <v>9</v>
      </c>
      <c r="C94" s="7" t="s">
        <v>193</v>
      </c>
      <c r="D94" s="174" t="s">
        <v>423</v>
      </c>
      <c r="E94" s="174" t="s">
        <v>15</v>
      </c>
      <c r="F94" s="174" t="s">
        <v>212</v>
      </c>
      <c r="G94" s="187">
        <v>43308</v>
      </c>
      <c r="H94" s="171" t="s">
        <v>114</v>
      </c>
      <c r="I94" s="174" t="s">
        <v>375</v>
      </c>
      <c r="J94" s="151"/>
      <c r="K94" s="131"/>
      <c r="L94" s="131"/>
      <c r="M94" s="131"/>
      <c r="N94" s="129" t="e">
        <f t="shared" si="37"/>
        <v>#DIV/0!</v>
      </c>
      <c r="O94" s="129" t="e">
        <f t="shared" si="41"/>
        <v>#DIV/0!</v>
      </c>
      <c r="P94" s="129" t="e">
        <f t="shared" si="42"/>
        <v>#DIV/0!</v>
      </c>
      <c r="Q94" s="114"/>
      <c r="X94" s="140"/>
      <c r="Y94" s="140"/>
      <c r="Z94" s="140"/>
      <c r="AA94" s="140"/>
    </row>
    <row r="95" spans="1:31" s="4" customFormat="1" ht="15" customHeight="1">
      <c r="A95" s="139"/>
      <c r="B95" s="137">
        <f t="shared" si="40"/>
        <v>10</v>
      </c>
      <c r="C95" s="7" t="s">
        <v>193</v>
      </c>
      <c r="D95" s="147" t="s">
        <v>424</v>
      </c>
      <c r="E95" s="137" t="s">
        <v>15</v>
      </c>
      <c r="F95" s="137" t="s">
        <v>113</v>
      </c>
      <c r="G95" s="187">
        <v>43707</v>
      </c>
      <c r="H95" s="7" t="s">
        <v>114</v>
      </c>
      <c r="I95" s="137" t="s">
        <v>213</v>
      </c>
      <c r="J95" s="151"/>
      <c r="K95" s="131"/>
      <c r="L95" s="131"/>
      <c r="M95" s="131"/>
      <c r="N95" s="129" t="e">
        <f t="shared" si="37"/>
        <v>#DIV/0!</v>
      </c>
      <c r="O95" s="129" t="e">
        <f t="shared" si="41"/>
        <v>#DIV/0!</v>
      </c>
      <c r="P95" s="129" t="e">
        <f t="shared" si="42"/>
        <v>#DIV/0!</v>
      </c>
      <c r="Q95" s="114"/>
      <c r="X95" s="140"/>
      <c r="Y95" s="140"/>
      <c r="Z95" s="140"/>
      <c r="AA95" s="140"/>
    </row>
    <row r="96" spans="1:31" s="4" customFormat="1" ht="15" customHeight="1">
      <c r="A96" s="139"/>
      <c r="B96" s="137">
        <f t="shared" si="40"/>
        <v>11</v>
      </c>
      <c r="C96" s="7" t="s">
        <v>193</v>
      </c>
      <c r="D96" s="147" t="s">
        <v>376</v>
      </c>
      <c r="E96" s="137" t="s">
        <v>15</v>
      </c>
      <c r="F96" s="137" t="s">
        <v>113</v>
      </c>
      <c r="G96" s="187">
        <v>43159</v>
      </c>
      <c r="H96" s="7" t="s">
        <v>114</v>
      </c>
      <c r="I96" s="137" t="s">
        <v>213</v>
      </c>
      <c r="J96" s="151"/>
      <c r="K96" s="131"/>
      <c r="L96" s="131"/>
      <c r="M96" s="131"/>
      <c r="N96" s="129" t="e">
        <f t="shared" ref="N96" si="43">+K96/(K96+L96)</f>
        <v>#DIV/0!</v>
      </c>
      <c r="O96" s="129" t="e">
        <f t="shared" ref="O96" si="44">+(K96+M96)/(K96+L96+M96)</f>
        <v>#DIV/0!</v>
      </c>
      <c r="P96" s="129" t="e">
        <f t="shared" ref="P96" si="45">+K96/(K96+M96)</f>
        <v>#DIV/0!</v>
      </c>
      <c r="Q96" s="114"/>
      <c r="X96" s="140"/>
      <c r="Y96" s="140"/>
      <c r="Z96" s="140"/>
      <c r="AA96" s="140"/>
    </row>
    <row r="97" spans="1:27" s="4" customFormat="1" ht="15" customHeight="1">
      <c r="A97" s="139"/>
      <c r="B97" s="137">
        <f t="shared" si="40"/>
        <v>12</v>
      </c>
      <c r="C97" s="7" t="s">
        <v>193</v>
      </c>
      <c r="D97" s="147" t="s">
        <v>522</v>
      </c>
      <c r="E97" s="137" t="s">
        <v>277</v>
      </c>
      <c r="F97" s="137" t="s">
        <v>219</v>
      </c>
      <c r="G97" s="187">
        <v>40721</v>
      </c>
      <c r="H97" s="7" t="s">
        <v>106</v>
      </c>
      <c r="I97" s="137"/>
      <c r="J97" s="151"/>
      <c r="K97" s="131"/>
      <c r="L97" s="131"/>
      <c r="M97" s="131"/>
      <c r="N97" s="129" t="e">
        <f t="shared" ref="N97:N99" si="46">+K97/(K97+L97)</f>
        <v>#DIV/0!</v>
      </c>
      <c r="O97" s="129" t="e">
        <f t="shared" ref="O97:O99" si="47">+(K97+M97)/(K97+L97+M97)</f>
        <v>#DIV/0!</v>
      </c>
      <c r="P97" s="129" t="e">
        <f t="shared" ref="P97:P99" si="48">+K97/(K97+M97)</f>
        <v>#DIV/0!</v>
      </c>
      <c r="Q97" s="114"/>
      <c r="X97" s="140"/>
      <c r="Y97" s="140"/>
      <c r="Z97" s="140"/>
      <c r="AA97" s="140"/>
    </row>
    <row r="98" spans="1:27" s="140" customFormat="1" ht="15.95" customHeight="1">
      <c r="A98" s="139"/>
      <c r="B98" s="137">
        <f t="shared" si="40"/>
        <v>13</v>
      </c>
      <c r="C98" s="7" t="s">
        <v>193</v>
      </c>
      <c r="D98" s="147" t="s">
        <v>288</v>
      </c>
      <c r="E98" s="137" t="s">
        <v>277</v>
      </c>
      <c r="F98" s="137" t="s">
        <v>218</v>
      </c>
      <c r="G98" s="187">
        <v>40869</v>
      </c>
      <c r="H98" s="7" t="s">
        <v>106</v>
      </c>
      <c r="I98" s="137"/>
      <c r="J98" s="151"/>
      <c r="K98" s="131"/>
      <c r="L98" s="131"/>
      <c r="M98" s="131"/>
      <c r="N98" s="129" t="e">
        <f t="shared" si="46"/>
        <v>#DIV/0!</v>
      </c>
      <c r="O98" s="129" t="e">
        <f t="shared" si="47"/>
        <v>#DIV/0!</v>
      </c>
      <c r="P98" s="129" t="e">
        <f t="shared" si="48"/>
        <v>#DIV/0!</v>
      </c>
      <c r="Q98" s="114"/>
      <c r="U98" s="4"/>
      <c r="W98" s="4"/>
    </row>
    <row r="99" spans="1:27" s="140" customFormat="1" ht="15" customHeight="1">
      <c r="A99" s="139"/>
      <c r="B99" s="137">
        <f t="shared" si="40"/>
        <v>14</v>
      </c>
      <c r="C99" s="7" t="s">
        <v>193</v>
      </c>
      <c r="D99" s="147" t="s">
        <v>420</v>
      </c>
      <c r="E99" s="137" t="s">
        <v>15</v>
      </c>
      <c r="F99" s="137" t="s">
        <v>421</v>
      </c>
      <c r="G99" s="187">
        <v>42684</v>
      </c>
      <c r="H99" s="7" t="s">
        <v>237</v>
      </c>
      <c r="I99" s="137" t="s">
        <v>236</v>
      </c>
      <c r="J99" s="151"/>
      <c r="K99" s="131"/>
      <c r="L99" s="131"/>
      <c r="M99" s="131"/>
      <c r="N99" s="129" t="e">
        <f t="shared" si="46"/>
        <v>#DIV/0!</v>
      </c>
      <c r="O99" s="129" t="e">
        <f t="shared" si="47"/>
        <v>#DIV/0!</v>
      </c>
      <c r="P99" s="129" t="e">
        <f t="shared" si="48"/>
        <v>#DIV/0!</v>
      </c>
      <c r="Q99" s="114"/>
      <c r="U99" s="4"/>
      <c r="V99" s="4"/>
      <c r="W99" s="4"/>
    </row>
    <row r="100" spans="1:27" s="140" customFormat="1" ht="15" customHeight="1">
      <c r="A100" s="139"/>
      <c r="B100" s="137">
        <f t="shared" si="40"/>
        <v>15</v>
      </c>
      <c r="C100" s="7" t="s">
        <v>193</v>
      </c>
      <c r="D100" s="147" t="s">
        <v>223</v>
      </c>
      <c r="E100" s="137" t="s">
        <v>15</v>
      </c>
      <c r="F100" s="137" t="s">
        <v>136</v>
      </c>
      <c r="G100" s="187">
        <v>38838</v>
      </c>
      <c r="H100" s="7" t="s">
        <v>135</v>
      </c>
      <c r="I100" s="137"/>
      <c r="J100" s="151"/>
      <c r="K100" s="131"/>
      <c r="L100" s="131"/>
      <c r="M100" s="131"/>
      <c r="N100" s="129" t="e">
        <f t="shared" ref="N100:N103" si="49">+K100/(K100+L100)</f>
        <v>#DIV/0!</v>
      </c>
      <c r="O100" s="129" t="e">
        <f t="shared" ref="O100:O110" si="50">+(K100+M100)/(K100+L100+M100)</f>
        <v>#DIV/0!</v>
      </c>
      <c r="P100" s="129" t="e">
        <f t="shared" ref="P100:P113" si="51">+K100/(K100+M100)</f>
        <v>#DIV/0!</v>
      </c>
      <c r="Q100" s="114"/>
      <c r="V100" s="4"/>
      <c r="W100" s="4"/>
    </row>
    <row r="101" spans="1:27" s="140" customFormat="1" ht="15" customHeight="1">
      <c r="A101" s="139"/>
      <c r="B101" s="137">
        <f t="shared" si="40"/>
        <v>16</v>
      </c>
      <c r="C101" s="7" t="s">
        <v>193</v>
      </c>
      <c r="D101" s="147" t="s">
        <v>214</v>
      </c>
      <c r="E101" s="137" t="s">
        <v>15</v>
      </c>
      <c r="F101" s="137" t="s">
        <v>136</v>
      </c>
      <c r="G101" s="187">
        <v>39556</v>
      </c>
      <c r="H101" s="7" t="s">
        <v>135</v>
      </c>
      <c r="I101" s="137"/>
      <c r="J101" s="151"/>
      <c r="K101" s="131"/>
      <c r="L101" s="131"/>
      <c r="M101" s="131"/>
      <c r="N101" s="129" t="e">
        <f t="shared" si="49"/>
        <v>#DIV/0!</v>
      </c>
      <c r="O101" s="129" t="e">
        <f t="shared" si="50"/>
        <v>#DIV/0!</v>
      </c>
      <c r="P101" s="129" t="e">
        <f t="shared" si="51"/>
        <v>#DIV/0!</v>
      </c>
      <c r="Q101" s="114"/>
      <c r="V101" s="4"/>
      <c r="W101" s="4"/>
    </row>
    <row r="102" spans="1:27" s="140" customFormat="1" ht="15" customHeight="1">
      <c r="A102" s="139"/>
      <c r="B102" s="137">
        <f t="shared" si="40"/>
        <v>17</v>
      </c>
      <c r="C102" s="7" t="s">
        <v>193</v>
      </c>
      <c r="D102" s="147" t="s">
        <v>414</v>
      </c>
      <c r="E102" s="137" t="s">
        <v>15</v>
      </c>
      <c r="F102" s="137" t="s">
        <v>136</v>
      </c>
      <c r="G102" s="187">
        <v>40308</v>
      </c>
      <c r="H102" s="7" t="s">
        <v>135</v>
      </c>
      <c r="I102" s="137"/>
      <c r="J102" s="151"/>
      <c r="K102" s="131"/>
      <c r="L102" s="131"/>
      <c r="M102" s="131"/>
      <c r="N102" s="129" t="e">
        <f t="shared" si="49"/>
        <v>#DIV/0!</v>
      </c>
      <c r="O102" s="129" t="e">
        <f t="shared" si="50"/>
        <v>#DIV/0!</v>
      </c>
      <c r="P102" s="129" t="e">
        <f t="shared" si="51"/>
        <v>#DIV/0!</v>
      </c>
      <c r="Q102" s="114"/>
      <c r="U102" s="4"/>
      <c r="V102" s="4"/>
      <c r="W102" s="4"/>
    </row>
    <row r="103" spans="1:27" s="140" customFormat="1" ht="15" customHeight="1">
      <c r="A103" s="139"/>
      <c r="B103" s="137">
        <f t="shared" si="40"/>
        <v>18</v>
      </c>
      <c r="C103" s="7" t="s">
        <v>193</v>
      </c>
      <c r="D103" s="147" t="s">
        <v>215</v>
      </c>
      <c r="E103" s="137" t="s">
        <v>15</v>
      </c>
      <c r="F103" s="137" t="s">
        <v>136</v>
      </c>
      <c r="G103" s="187">
        <v>40716</v>
      </c>
      <c r="H103" s="7" t="s">
        <v>135</v>
      </c>
      <c r="I103" s="137"/>
      <c r="J103" s="151"/>
      <c r="K103" s="131"/>
      <c r="L103" s="131"/>
      <c r="M103" s="131"/>
      <c r="N103" s="129" t="e">
        <f t="shared" si="49"/>
        <v>#DIV/0!</v>
      </c>
      <c r="O103" s="129" t="e">
        <f t="shared" si="50"/>
        <v>#DIV/0!</v>
      </c>
      <c r="P103" s="129" t="e">
        <f t="shared" si="51"/>
        <v>#DIV/0!</v>
      </c>
      <c r="Q103" s="114"/>
      <c r="U103" s="4"/>
      <c r="V103" s="4"/>
      <c r="W103" s="4"/>
    </row>
    <row r="104" spans="1:27" s="140" customFormat="1" ht="15" customHeight="1">
      <c r="A104" s="139"/>
      <c r="B104" s="137">
        <f t="shared" si="40"/>
        <v>19</v>
      </c>
      <c r="C104" s="7" t="s">
        <v>193</v>
      </c>
      <c r="D104" s="147" t="s">
        <v>235</v>
      </c>
      <c r="E104" s="137" t="s">
        <v>15</v>
      </c>
      <c r="F104" s="137" t="s">
        <v>136</v>
      </c>
      <c r="G104" s="187">
        <v>40754</v>
      </c>
      <c r="H104" s="7" t="s">
        <v>135</v>
      </c>
      <c r="I104" s="137"/>
      <c r="J104" s="151"/>
      <c r="K104" s="131"/>
      <c r="L104" s="131"/>
      <c r="M104" s="131"/>
      <c r="N104" s="129" t="e">
        <f t="shared" ref="N104:N113" si="52">+K104/(K104+L104)</f>
        <v>#DIV/0!</v>
      </c>
      <c r="O104" s="129" t="e">
        <f t="shared" si="50"/>
        <v>#DIV/0!</v>
      </c>
      <c r="P104" s="129" t="e">
        <f t="shared" si="51"/>
        <v>#DIV/0!</v>
      </c>
      <c r="Q104" s="114"/>
      <c r="U104" s="4"/>
      <c r="V104" s="4"/>
      <c r="W104" s="4"/>
    </row>
    <row r="105" spans="1:27" s="140" customFormat="1" ht="15" customHeight="1">
      <c r="A105" s="139"/>
      <c r="B105" s="137">
        <f t="shared" si="40"/>
        <v>20</v>
      </c>
      <c r="C105" s="7" t="s">
        <v>193</v>
      </c>
      <c r="D105" s="147" t="s">
        <v>425</v>
      </c>
      <c r="E105" s="137" t="s">
        <v>15</v>
      </c>
      <c r="F105" s="137" t="s">
        <v>136</v>
      </c>
      <c r="G105" s="187">
        <v>43308</v>
      </c>
      <c r="H105" s="7" t="s">
        <v>135</v>
      </c>
      <c r="I105" s="137"/>
      <c r="J105" s="151"/>
      <c r="K105" s="131"/>
      <c r="L105" s="131"/>
      <c r="M105" s="131"/>
      <c r="N105" s="129" t="e">
        <f t="shared" si="52"/>
        <v>#DIV/0!</v>
      </c>
      <c r="O105" s="129" t="e">
        <f t="shared" si="50"/>
        <v>#DIV/0!</v>
      </c>
      <c r="P105" s="129" t="e">
        <f t="shared" ref="P105:P109" si="53">+K105/(K105+M105)</f>
        <v>#DIV/0!</v>
      </c>
      <c r="Q105" s="114"/>
      <c r="U105" s="4"/>
      <c r="V105" s="4"/>
      <c r="W105" s="4"/>
    </row>
    <row r="106" spans="1:27" s="140" customFormat="1" ht="15" customHeight="1">
      <c r="A106" s="139"/>
      <c r="B106" s="137">
        <f t="shared" si="40"/>
        <v>21</v>
      </c>
      <c r="C106" s="7" t="s">
        <v>193</v>
      </c>
      <c r="D106" s="147" t="s">
        <v>416</v>
      </c>
      <c r="E106" s="137" t="s">
        <v>15</v>
      </c>
      <c r="F106" s="137" t="s">
        <v>415</v>
      </c>
      <c r="G106" s="187">
        <v>40351</v>
      </c>
      <c r="H106" s="7" t="s">
        <v>148</v>
      </c>
      <c r="I106" s="137" t="s">
        <v>316</v>
      </c>
      <c r="J106" s="151"/>
      <c r="K106" s="131"/>
      <c r="L106" s="131"/>
      <c r="M106" s="131"/>
      <c r="N106" s="129" t="e">
        <f t="shared" si="52"/>
        <v>#DIV/0!</v>
      </c>
      <c r="O106" s="129" t="e">
        <f t="shared" si="50"/>
        <v>#DIV/0!</v>
      </c>
      <c r="P106" s="129" t="e">
        <f t="shared" si="53"/>
        <v>#DIV/0!</v>
      </c>
      <c r="Q106" s="114"/>
      <c r="U106" s="4"/>
      <c r="V106" s="4"/>
      <c r="W106" s="4"/>
    </row>
    <row r="107" spans="1:27" s="140" customFormat="1" ht="15" customHeight="1">
      <c r="A107" s="139"/>
      <c r="B107" s="137">
        <f t="shared" si="40"/>
        <v>22</v>
      </c>
      <c r="C107" s="7" t="s">
        <v>193</v>
      </c>
      <c r="D107" s="147" t="s">
        <v>417</v>
      </c>
      <c r="E107" s="137" t="s">
        <v>15</v>
      </c>
      <c r="F107" s="137" t="s">
        <v>415</v>
      </c>
      <c r="G107" s="187">
        <v>40463</v>
      </c>
      <c r="H107" s="7" t="s">
        <v>148</v>
      </c>
      <c r="I107" s="137" t="s">
        <v>316</v>
      </c>
      <c r="J107" s="151"/>
      <c r="K107" s="131"/>
      <c r="L107" s="131"/>
      <c r="M107" s="131"/>
      <c r="N107" s="129" t="e">
        <f t="shared" si="52"/>
        <v>#DIV/0!</v>
      </c>
      <c r="O107" s="129" t="e">
        <f t="shared" si="50"/>
        <v>#DIV/0!</v>
      </c>
      <c r="P107" s="129" t="e">
        <f t="shared" si="53"/>
        <v>#DIV/0!</v>
      </c>
      <c r="Q107" s="114"/>
      <c r="U107" s="4"/>
      <c r="V107" s="4"/>
      <c r="W107" s="4"/>
    </row>
    <row r="108" spans="1:27" s="140" customFormat="1" ht="15" customHeight="1">
      <c r="A108" s="139"/>
      <c r="B108" s="137">
        <f t="shared" si="40"/>
        <v>23</v>
      </c>
      <c r="C108" s="7" t="s">
        <v>193</v>
      </c>
      <c r="D108" s="147" t="s">
        <v>427</v>
      </c>
      <c r="E108" s="137" t="s">
        <v>317</v>
      </c>
      <c r="F108" s="137" t="s">
        <v>418</v>
      </c>
      <c r="G108" s="187">
        <v>40137</v>
      </c>
      <c r="H108" s="7" t="s">
        <v>318</v>
      </c>
      <c r="I108" s="137"/>
      <c r="J108" s="151"/>
      <c r="K108" s="131"/>
      <c r="L108" s="131"/>
      <c r="M108" s="131"/>
      <c r="N108" s="129"/>
      <c r="O108" s="129" t="e">
        <f t="shared" si="50"/>
        <v>#DIV/0!</v>
      </c>
      <c r="P108" s="129" t="e">
        <f t="shared" si="53"/>
        <v>#DIV/0!</v>
      </c>
      <c r="Q108" s="114"/>
      <c r="U108" s="4"/>
      <c r="V108" s="4"/>
      <c r="W108" s="4"/>
    </row>
    <row r="109" spans="1:27" s="140" customFormat="1" ht="15" customHeight="1">
      <c r="A109" s="139"/>
      <c r="B109" s="137">
        <f t="shared" si="40"/>
        <v>24</v>
      </c>
      <c r="C109" s="7" t="s">
        <v>193</v>
      </c>
      <c r="D109" s="147" t="s">
        <v>428</v>
      </c>
      <c r="E109" s="137" t="s">
        <v>317</v>
      </c>
      <c r="F109" s="137" t="s">
        <v>418</v>
      </c>
      <c r="G109" s="187">
        <v>40137</v>
      </c>
      <c r="H109" s="7" t="s">
        <v>318</v>
      </c>
      <c r="I109" s="137"/>
      <c r="J109" s="151"/>
      <c r="K109" s="131"/>
      <c r="L109" s="131"/>
      <c r="M109" s="131"/>
      <c r="N109" s="129"/>
      <c r="O109" s="129" t="e">
        <f t="shared" si="50"/>
        <v>#DIV/0!</v>
      </c>
      <c r="P109" s="129" t="e">
        <f t="shared" si="53"/>
        <v>#DIV/0!</v>
      </c>
      <c r="Q109" s="114"/>
      <c r="U109" s="4"/>
      <c r="V109" s="4"/>
      <c r="W109" s="4"/>
    </row>
    <row r="110" spans="1:27" s="140" customFormat="1" ht="15" customHeight="1">
      <c r="A110" s="139"/>
      <c r="B110" s="137">
        <f t="shared" si="40"/>
        <v>25</v>
      </c>
      <c r="C110" s="7" t="s">
        <v>193</v>
      </c>
      <c r="D110" s="147" t="s">
        <v>472</v>
      </c>
      <c r="E110" s="137" t="s">
        <v>317</v>
      </c>
      <c r="F110" s="137" t="s">
        <v>419</v>
      </c>
      <c r="G110" s="187">
        <v>40681</v>
      </c>
      <c r="H110" s="7" t="s">
        <v>318</v>
      </c>
      <c r="I110" s="137"/>
      <c r="J110" s="151"/>
      <c r="K110" s="131"/>
      <c r="L110" s="131"/>
      <c r="M110" s="131"/>
      <c r="N110" s="129" t="e">
        <f t="shared" si="52"/>
        <v>#DIV/0!</v>
      </c>
      <c r="O110" s="129" t="e">
        <f t="shared" si="50"/>
        <v>#DIV/0!</v>
      </c>
      <c r="P110" s="129" t="e">
        <f t="shared" si="51"/>
        <v>#DIV/0!</v>
      </c>
      <c r="Q110" s="114"/>
      <c r="U110" s="4"/>
      <c r="V110" s="4"/>
      <c r="W110" s="4"/>
    </row>
    <row r="111" spans="1:27" s="140" customFormat="1" ht="15" customHeight="1">
      <c r="A111" s="139"/>
      <c r="B111" s="137">
        <f t="shared" si="40"/>
        <v>26</v>
      </c>
      <c r="C111" s="7" t="s">
        <v>193</v>
      </c>
      <c r="D111" s="147" t="s">
        <v>315</v>
      </c>
      <c r="E111" s="137" t="s">
        <v>15</v>
      </c>
      <c r="F111" s="137" t="s">
        <v>216</v>
      </c>
      <c r="G111" s="187">
        <v>39041</v>
      </c>
      <c r="H111" s="7" t="s">
        <v>217</v>
      </c>
      <c r="I111" s="137"/>
      <c r="J111" s="151"/>
      <c r="K111" s="131"/>
      <c r="L111" s="131"/>
      <c r="M111" s="131"/>
      <c r="N111" s="129" t="e">
        <f t="shared" si="52"/>
        <v>#DIV/0!</v>
      </c>
      <c r="O111" s="129" t="e">
        <f t="shared" ref="O111:O113" si="54">+(K111+M111)/(K111+L111+M111)</f>
        <v>#DIV/0!</v>
      </c>
      <c r="P111" s="129" t="e">
        <f t="shared" si="51"/>
        <v>#DIV/0!</v>
      </c>
      <c r="Q111" s="114"/>
      <c r="U111" s="4"/>
      <c r="V111" s="4"/>
      <c r="W111" s="4"/>
    </row>
    <row r="112" spans="1:27" s="140" customFormat="1" ht="15" customHeight="1">
      <c r="A112" s="139"/>
      <c r="B112" s="137">
        <f t="shared" si="40"/>
        <v>27</v>
      </c>
      <c r="C112" s="7" t="s">
        <v>193</v>
      </c>
      <c r="D112" s="147" t="s">
        <v>426</v>
      </c>
      <c r="E112" s="137" t="s">
        <v>15</v>
      </c>
      <c r="F112" s="137" t="s">
        <v>216</v>
      </c>
      <c r="G112" s="187">
        <v>39273</v>
      </c>
      <c r="H112" s="7" t="s">
        <v>217</v>
      </c>
      <c r="I112" s="137"/>
      <c r="J112" s="151"/>
      <c r="K112" s="131"/>
      <c r="L112" s="131"/>
      <c r="M112" s="131"/>
      <c r="N112" s="129" t="e">
        <f t="shared" si="52"/>
        <v>#DIV/0!</v>
      </c>
      <c r="O112" s="129" t="e">
        <f t="shared" si="54"/>
        <v>#DIV/0!</v>
      </c>
      <c r="P112" s="129" t="e">
        <f t="shared" si="51"/>
        <v>#DIV/0!</v>
      </c>
      <c r="Q112" s="114"/>
      <c r="U112" s="4"/>
      <c r="V112" s="4"/>
      <c r="W112" s="4"/>
    </row>
    <row r="113" spans="1:31" s="140" customFormat="1" ht="15" customHeight="1">
      <c r="A113" s="139"/>
      <c r="B113" s="137">
        <f t="shared" si="40"/>
        <v>28</v>
      </c>
      <c r="C113" s="7" t="s">
        <v>193</v>
      </c>
      <c r="D113" s="147" t="s">
        <v>220</v>
      </c>
      <c r="E113" s="137" t="s">
        <v>158</v>
      </c>
      <c r="F113" s="137" t="s">
        <v>221</v>
      </c>
      <c r="G113" s="187">
        <v>39505</v>
      </c>
      <c r="H113" s="7" t="s">
        <v>148</v>
      </c>
      <c r="I113" s="137" t="s">
        <v>224</v>
      </c>
      <c r="J113" s="151"/>
      <c r="K113" s="131"/>
      <c r="L113" s="131"/>
      <c r="M113" s="131"/>
      <c r="N113" s="129" t="e">
        <f t="shared" si="52"/>
        <v>#DIV/0!</v>
      </c>
      <c r="O113" s="129" t="e">
        <f t="shared" si="54"/>
        <v>#DIV/0!</v>
      </c>
      <c r="P113" s="129" t="e">
        <f t="shared" si="51"/>
        <v>#DIV/0!</v>
      </c>
      <c r="Q113" s="114"/>
      <c r="U113" s="4"/>
      <c r="V113" s="4"/>
      <c r="W113" s="4"/>
    </row>
    <row r="114" spans="1:31" s="140" customFormat="1" ht="15" customHeight="1">
      <c r="A114" s="139"/>
      <c r="B114" s="364" t="s">
        <v>22</v>
      </c>
      <c r="C114" s="364"/>
      <c r="D114" s="364"/>
      <c r="E114" s="364"/>
      <c r="F114" s="179">
        <f>+COUNTA(D86:D113)</f>
        <v>28</v>
      </c>
      <c r="G114" s="180"/>
      <c r="H114" s="181"/>
      <c r="I114" s="181"/>
      <c r="J114" s="151"/>
      <c r="K114" s="131"/>
      <c r="L114" s="131"/>
      <c r="M114" s="131"/>
      <c r="N114" s="129"/>
      <c r="O114" s="129"/>
      <c r="P114" s="129"/>
      <c r="Q114" s="114"/>
      <c r="U114" s="4"/>
      <c r="V114" s="4"/>
      <c r="W114" s="4"/>
    </row>
    <row r="115" spans="1:31" s="140" customFormat="1" ht="15" customHeight="1">
      <c r="C115" s="148"/>
      <c r="D115" s="148"/>
      <c r="E115" s="148"/>
      <c r="K115" s="1"/>
      <c r="L115" s="1"/>
      <c r="M115" s="1"/>
      <c r="N115" s="1"/>
      <c r="O115" s="1"/>
      <c r="P115" s="1"/>
      <c r="Q115" s="1"/>
      <c r="U115" s="4"/>
      <c r="V115" s="4"/>
      <c r="W115" s="4"/>
    </row>
    <row r="116" spans="1:31" s="140" customFormat="1" ht="15" customHeight="1">
      <c r="C116" s="148"/>
      <c r="D116" s="148"/>
      <c r="E116" s="148"/>
      <c r="K116" s="1"/>
      <c r="L116" s="1"/>
      <c r="M116" s="1"/>
      <c r="N116" s="1"/>
      <c r="O116" s="1"/>
      <c r="P116" s="1"/>
      <c r="Q116" s="1"/>
      <c r="U116" s="4"/>
      <c r="V116" s="4"/>
      <c r="W116" s="4"/>
    </row>
    <row r="117" spans="1:31" s="140" customFormat="1" ht="15" customHeight="1">
      <c r="A117" s="144"/>
      <c r="B117" s="144"/>
      <c r="C117" s="149"/>
      <c r="D117" s="149"/>
      <c r="E117" s="149"/>
      <c r="F117" s="144"/>
      <c r="G117" s="144"/>
      <c r="H117" s="144"/>
      <c r="I117" s="144"/>
      <c r="J117" s="144"/>
      <c r="K117" s="1"/>
      <c r="L117" s="1"/>
      <c r="M117" s="1"/>
      <c r="N117" s="1"/>
      <c r="O117" s="1"/>
      <c r="P117" s="1"/>
      <c r="Q117" s="1"/>
      <c r="U117" s="4"/>
      <c r="V117" s="4"/>
      <c r="W117" s="4"/>
    </row>
    <row r="118" spans="1:31">
      <c r="U118" s="4"/>
      <c r="V118" s="4"/>
      <c r="W118" s="4"/>
      <c r="X118" s="4"/>
      <c r="Y118" s="4"/>
      <c r="Z118" s="4"/>
      <c r="AA118" s="4"/>
    </row>
    <row r="119" spans="1:31" s="140" customFormat="1" ht="15" customHeight="1">
      <c r="A119" s="144"/>
      <c r="B119" s="144"/>
      <c r="C119" s="149"/>
      <c r="D119" s="149"/>
      <c r="E119" s="149"/>
      <c r="F119" s="144"/>
      <c r="G119" s="144"/>
      <c r="H119" s="144"/>
      <c r="I119" s="144"/>
      <c r="J119" s="144"/>
      <c r="K119" s="1"/>
      <c r="L119" s="1"/>
      <c r="M119" s="1"/>
      <c r="N119" s="1"/>
      <c r="O119" s="1"/>
      <c r="P119" s="1"/>
      <c r="Q119" s="1"/>
      <c r="U119" s="4"/>
      <c r="V119" s="4"/>
      <c r="W119" s="4"/>
    </row>
    <row r="120" spans="1:31">
      <c r="U120" s="4"/>
      <c r="W120" s="140"/>
      <c r="X120" s="140"/>
      <c r="Y120" s="140"/>
      <c r="Z120" s="140"/>
      <c r="AA120" s="140"/>
      <c r="AC120" s="4"/>
      <c r="AD120" s="4"/>
      <c r="AE120" s="4"/>
    </row>
    <row r="121" spans="1:31">
      <c r="U121" s="4"/>
      <c r="W121" s="140"/>
      <c r="AC121" s="4"/>
      <c r="AD121" s="4"/>
      <c r="AE121" s="4"/>
    </row>
    <row r="122" spans="1:31">
      <c r="AC122" s="4"/>
      <c r="AD122" s="4"/>
      <c r="AE122" s="4"/>
    </row>
    <row r="123" spans="1:31">
      <c r="AC123" s="4"/>
      <c r="AD123" s="4"/>
      <c r="AE123" s="4"/>
    </row>
    <row r="124" spans="1:31">
      <c r="AC124" s="4"/>
      <c r="AD124" s="4"/>
      <c r="AE124" s="4"/>
    </row>
    <row r="125" spans="1:31">
      <c r="AC125" s="4"/>
      <c r="AD125" s="4"/>
      <c r="AE125" s="4"/>
    </row>
    <row r="126" spans="1:31">
      <c r="AC126" s="4"/>
      <c r="AD126" s="4"/>
      <c r="AE126" s="4"/>
    </row>
    <row r="127" spans="1:31">
      <c r="AC127" s="4"/>
      <c r="AD127" s="4"/>
      <c r="AE127" s="4"/>
    </row>
    <row r="128" spans="1:31">
      <c r="AC128" s="4"/>
      <c r="AD128" s="4"/>
      <c r="AE128" s="4"/>
    </row>
    <row r="129" spans="29:31">
      <c r="AC129" s="4"/>
      <c r="AD129" s="4"/>
      <c r="AE129" s="4"/>
    </row>
    <row r="130" spans="29:31">
      <c r="AC130" s="4"/>
      <c r="AD130" s="4"/>
      <c r="AE130" s="4"/>
    </row>
    <row r="131" spans="29:31">
      <c r="AC131" s="4"/>
      <c r="AD131" s="4"/>
      <c r="AE131" s="4"/>
    </row>
    <row r="132" spans="29:31">
      <c r="AC132" s="4"/>
      <c r="AD132" s="4"/>
      <c r="AE132" s="4"/>
    </row>
    <row r="133" spans="29:31">
      <c r="AC133" s="4"/>
      <c r="AD133" s="4"/>
      <c r="AE133" s="4"/>
    </row>
    <row r="134" spans="29:31">
      <c r="AC134" s="4"/>
      <c r="AD134" s="4"/>
      <c r="AE134" s="4"/>
    </row>
    <row r="135" spans="29:31">
      <c r="AC135" s="4"/>
      <c r="AD135" s="4"/>
      <c r="AE135" s="4"/>
    </row>
    <row r="136" spans="29:31">
      <c r="AC136" s="4"/>
      <c r="AD136" s="4"/>
      <c r="AE136" s="4"/>
    </row>
    <row r="137" spans="29:31">
      <c r="AC137" s="4"/>
      <c r="AD137" s="4"/>
      <c r="AE137" s="4"/>
    </row>
    <row r="138" spans="29:31">
      <c r="AC138" s="4"/>
      <c r="AD138" s="4"/>
      <c r="AE138" s="4"/>
    </row>
    <row r="139" spans="29:31">
      <c r="AC139" s="4"/>
      <c r="AD139" s="4"/>
      <c r="AE139" s="4"/>
    </row>
    <row r="140" spans="29:31">
      <c r="AC140" s="4"/>
      <c r="AD140" s="4"/>
      <c r="AE140" s="4"/>
    </row>
    <row r="141" spans="29:31">
      <c r="AC141" s="4"/>
      <c r="AD141" s="4"/>
      <c r="AE141" s="4"/>
    </row>
    <row r="142" spans="29:31">
      <c r="AC142" s="4"/>
      <c r="AD142" s="4"/>
      <c r="AE142" s="4"/>
    </row>
    <row r="143" spans="29:31">
      <c r="AC143" s="4"/>
      <c r="AD143" s="4"/>
      <c r="AE143" s="4"/>
    </row>
    <row r="144" spans="29:31">
      <c r="AC144" s="4"/>
      <c r="AD144" s="4"/>
      <c r="AE144" s="4"/>
    </row>
    <row r="145" spans="29:31">
      <c r="AC145" s="4"/>
      <c r="AD145" s="4"/>
      <c r="AE145" s="4"/>
    </row>
    <row r="146" spans="29:31">
      <c r="AC146" s="4"/>
      <c r="AD146" s="4"/>
      <c r="AE146" s="4"/>
    </row>
    <row r="147" spans="29:31">
      <c r="AC147" s="4"/>
      <c r="AD147" s="4"/>
      <c r="AE147" s="4"/>
    </row>
    <row r="148" spans="29:31">
      <c r="AC148" s="4"/>
      <c r="AD148" s="4"/>
      <c r="AE148" s="4"/>
    </row>
    <row r="149" spans="29:31">
      <c r="AC149" s="4"/>
      <c r="AD149" s="4"/>
      <c r="AE149" s="4"/>
    </row>
    <row r="150" spans="29:31">
      <c r="AC150" s="4"/>
      <c r="AD150" s="4"/>
      <c r="AE150" s="4"/>
    </row>
    <row r="151" spans="29:31">
      <c r="AC151" s="4"/>
      <c r="AD151" s="4"/>
      <c r="AE151" s="4"/>
    </row>
    <row r="152" spans="29:31">
      <c r="AC152" s="4"/>
      <c r="AD152" s="4"/>
      <c r="AE152" s="4"/>
    </row>
    <row r="153" spans="29:31">
      <c r="AC153" s="4"/>
      <c r="AD153" s="4"/>
      <c r="AE153" s="4"/>
    </row>
    <row r="154" spans="29:31">
      <c r="AC154" s="4"/>
      <c r="AD154" s="4"/>
      <c r="AE154" s="4"/>
    </row>
    <row r="155" spans="29:31">
      <c r="AC155" s="4"/>
      <c r="AD155" s="4"/>
      <c r="AE155" s="4"/>
    </row>
    <row r="156" spans="29:31">
      <c r="AC156" s="4"/>
      <c r="AD156" s="4"/>
      <c r="AE156" s="4"/>
    </row>
    <row r="157" spans="29:31">
      <c r="AC157" s="4"/>
      <c r="AD157" s="4"/>
      <c r="AE157" s="4"/>
    </row>
    <row r="158" spans="29:31">
      <c r="AC158" s="4"/>
      <c r="AD158" s="4"/>
      <c r="AE158" s="4"/>
    </row>
    <row r="159" spans="29:31">
      <c r="AC159" s="4"/>
      <c r="AD159" s="4"/>
      <c r="AE159" s="4"/>
    </row>
    <row r="160" spans="29:31">
      <c r="AC160" s="4"/>
      <c r="AD160" s="4"/>
      <c r="AE160" s="4"/>
    </row>
    <row r="161" spans="29:31">
      <c r="AC161" s="4"/>
      <c r="AD161" s="4"/>
      <c r="AE161" s="4"/>
    </row>
    <row r="162" spans="29:31">
      <c r="AC162" s="4"/>
      <c r="AD162" s="4"/>
      <c r="AE162" s="4"/>
    </row>
    <row r="163" spans="29:31">
      <c r="AC163" s="4"/>
      <c r="AD163" s="4"/>
      <c r="AE163" s="4"/>
    </row>
    <row r="164" spans="29:31">
      <c r="AC164" s="4"/>
      <c r="AD164" s="4"/>
      <c r="AE164" s="4"/>
    </row>
    <row r="165" spans="29:31">
      <c r="AC165" s="4"/>
      <c r="AD165" s="4"/>
      <c r="AE165" s="4"/>
    </row>
    <row r="166" spans="29:31">
      <c r="AC166" s="4"/>
      <c r="AD166" s="4"/>
      <c r="AE166" s="4"/>
    </row>
    <row r="167" spans="29:31">
      <c r="AC167" s="4"/>
      <c r="AD167" s="4"/>
      <c r="AE167" s="4"/>
    </row>
    <row r="168" spans="29:31">
      <c r="AC168" s="4"/>
      <c r="AD168" s="4"/>
      <c r="AE168" s="4"/>
    </row>
    <row r="169" spans="29:31">
      <c r="AC169" s="4"/>
      <c r="AD169" s="4"/>
      <c r="AE169" s="4"/>
    </row>
    <row r="170" spans="29:31">
      <c r="AC170" s="4"/>
      <c r="AD170" s="4"/>
      <c r="AE170" s="4"/>
    </row>
    <row r="171" spans="29:31">
      <c r="AC171" s="4"/>
      <c r="AD171" s="4"/>
      <c r="AE171" s="4"/>
    </row>
    <row r="172" spans="29:31">
      <c r="AC172" s="4"/>
      <c r="AD172" s="4"/>
      <c r="AE172" s="4"/>
    </row>
    <row r="173" spans="29:31">
      <c r="AC173" s="4"/>
      <c r="AD173" s="4"/>
      <c r="AE173" s="4"/>
    </row>
    <row r="174" spans="29:31">
      <c r="AC174" s="4"/>
      <c r="AD174" s="4"/>
      <c r="AE174" s="4"/>
    </row>
    <row r="175" spans="29:31">
      <c r="AC175" s="4"/>
      <c r="AD175" s="4"/>
      <c r="AE175" s="4"/>
    </row>
    <row r="176" spans="29:31">
      <c r="AC176" s="4"/>
      <c r="AD176" s="4"/>
      <c r="AE176" s="4"/>
    </row>
    <row r="177" spans="29:31">
      <c r="AC177" s="4"/>
      <c r="AD177" s="4"/>
      <c r="AE177" s="4"/>
    </row>
    <row r="178" spans="29:31">
      <c r="AC178" s="4"/>
      <c r="AD178" s="4"/>
      <c r="AE178" s="4"/>
    </row>
    <row r="179" spans="29:31">
      <c r="AC179" s="4"/>
      <c r="AD179" s="4"/>
      <c r="AE179" s="4"/>
    </row>
    <row r="180" spans="29:31">
      <c r="AC180" s="4"/>
      <c r="AD180" s="4"/>
      <c r="AE180" s="4"/>
    </row>
    <row r="181" spans="29:31">
      <c r="AC181" s="4"/>
      <c r="AD181" s="4"/>
      <c r="AE181" s="4"/>
    </row>
    <row r="182" spans="29:31">
      <c r="AC182" s="4"/>
      <c r="AD182" s="4"/>
      <c r="AE182" s="4"/>
    </row>
    <row r="183" spans="29:31">
      <c r="AC183" s="4"/>
      <c r="AD183" s="4"/>
      <c r="AE183" s="4"/>
    </row>
    <row r="184" spans="29:31">
      <c r="AC184" s="4"/>
      <c r="AD184" s="4"/>
      <c r="AE184" s="4"/>
    </row>
    <row r="185" spans="29:31">
      <c r="AC185" s="4"/>
      <c r="AD185" s="4"/>
      <c r="AE185" s="4"/>
    </row>
    <row r="186" spans="29:31">
      <c r="AC186" s="4"/>
      <c r="AD186" s="4"/>
      <c r="AE186" s="4"/>
    </row>
    <row r="187" spans="29:31">
      <c r="AC187" s="4"/>
      <c r="AD187" s="4"/>
      <c r="AE187" s="4"/>
    </row>
    <row r="188" spans="29:31">
      <c r="AC188" s="4"/>
      <c r="AD188" s="4"/>
      <c r="AE188" s="4"/>
    </row>
    <row r="189" spans="29:31">
      <c r="AC189" s="4"/>
      <c r="AD189" s="4"/>
      <c r="AE189" s="4"/>
    </row>
    <row r="190" spans="29:31">
      <c r="AC190" s="4"/>
      <c r="AD190" s="4"/>
      <c r="AE190" s="4"/>
    </row>
    <row r="191" spans="29:31">
      <c r="AC191" s="4"/>
      <c r="AD191" s="4"/>
      <c r="AE191" s="4"/>
    </row>
    <row r="192" spans="29:31">
      <c r="AC192" s="4"/>
      <c r="AD192" s="4"/>
      <c r="AE192" s="4"/>
    </row>
    <row r="193" spans="29:31">
      <c r="AC193" s="4"/>
      <c r="AD193" s="4"/>
      <c r="AE193" s="4"/>
    </row>
    <row r="194" spans="29:31">
      <c r="AC194" s="4"/>
      <c r="AD194" s="4"/>
      <c r="AE194" s="4"/>
    </row>
    <row r="195" spans="29:31">
      <c r="AC195" s="4"/>
      <c r="AD195" s="4"/>
      <c r="AE195" s="4"/>
    </row>
    <row r="196" spans="29:31">
      <c r="AC196" s="4"/>
      <c r="AD196" s="4"/>
      <c r="AE196" s="4"/>
    </row>
    <row r="197" spans="29:31">
      <c r="AC197" s="4"/>
      <c r="AD197" s="4"/>
      <c r="AE197" s="4"/>
    </row>
    <row r="198" spans="29:31">
      <c r="AC198" s="4"/>
      <c r="AD198" s="4"/>
      <c r="AE198" s="4"/>
    </row>
    <row r="199" spans="29:31">
      <c r="AC199" s="4"/>
      <c r="AD199" s="4"/>
      <c r="AE199" s="4"/>
    </row>
    <row r="200" spans="29:31">
      <c r="AC200" s="4"/>
      <c r="AD200" s="4"/>
      <c r="AE200" s="4"/>
    </row>
    <row r="201" spans="29:31">
      <c r="AC201" s="4"/>
      <c r="AD201" s="4"/>
      <c r="AE201" s="4"/>
    </row>
    <row r="202" spans="29:31">
      <c r="AC202" s="4"/>
      <c r="AD202" s="4"/>
      <c r="AE202" s="4"/>
    </row>
    <row r="203" spans="29:31">
      <c r="AC203" s="4"/>
      <c r="AD203" s="4"/>
      <c r="AE203" s="4"/>
    </row>
    <row r="204" spans="29:31">
      <c r="AC204" s="4"/>
      <c r="AD204" s="4"/>
      <c r="AE204" s="4"/>
    </row>
    <row r="205" spans="29:31">
      <c r="AC205" s="4"/>
      <c r="AD205" s="4"/>
      <c r="AE205" s="4"/>
    </row>
    <row r="206" spans="29:31">
      <c r="AC206" s="4"/>
      <c r="AD206" s="4"/>
      <c r="AE206" s="4"/>
    </row>
    <row r="207" spans="29:31">
      <c r="AC207" s="4"/>
      <c r="AD207" s="4"/>
      <c r="AE207" s="4"/>
    </row>
    <row r="208" spans="29:31">
      <c r="AC208" s="4"/>
      <c r="AD208" s="4"/>
      <c r="AE208" s="4"/>
    </row>
    <row r="209" spans="29:31">
      <c r="AC209" s="4"/>
      <c r="AD209" s="4"/>
      <c r="AE209" s="4"/>
    </row>
    <row r="210" spans="29:31">
      <c r="AC210" s="4"/>
      <c r="AD210" s="4"/>
      <c r="AE210" s="4"/>
    </row>
    <row r="211" spans="29:31">
      <c r="AC211" s="4"/>
      <c r="AD211" s="4"/>
      <c r="AE211" s="4"/>
    </row>
    <row r="212" spans="29:31">
      <c r="AC212" s="4"/>
      <c r="AD212" s="4"/>
      <c r="AE212" s="4"/>
    </row>
    <row r="213" spans="29:31">
      <c r="AC213" s="4"/>
      <c r="AD213" s="4"/>
      <c r="AE213" s="4"/>
    </row>
    <row r="214" spans="29:31">
      <c r="AC214" s="4"/>
      <c r="AD214" s="4"/>
      <c r="AE214" s="4"/>
    </row>
    <row r="215" spans="29:31">
      <c r="AC215" s="4"/>
      <c r="AD215" s="4"/>
      <c r="AE215" s="4"/>
    </row>
    <row r="216" spans="29:31">
      <c r="AC216" s="4"/>
      <c r="AD216" s="4"/>
      <c r="AE216" s="4"/>
    </row>
    <row r="217" spans="29:31">
      <c r="AC217" s="4"/>
      <c r="AD217" s="4"/>
      <c r="AE217" s="4"/>
    </row>
    <row r="218" spans="29:31">
      <c r="AC218" s="4"/>
      <c r="AD218" s="4"/>
      <c r="AE218" s="4"/>
    </row>
    <row r="219" spans="29:31">
      <c r="AC219" s="4"/>
      <c r="AD219" s="4"/>
      <c r="AE219" s="4"/>
    </row>
    <row r="220" spans="29:31">
      <c r="AC220" s="4"/>
      <c r="AD220" s="4"/>
      <c r="AE220" s="4"/>
    </row>
    <row r="221" spans="29:31">
      <c r="AC221" s="4"/>
      <c r="AD221" s="4"/>
      <c r="AE221" s="4"/>
    </row>
    <row r="222" spans="29:31">
      <c r="AC222" s="4"/>
      <c r="AD222" s="4"/>
      <c r="AE222" s="4"/>
    </row>
    <row r="223" spans="29:31">
      <c r="AC223" s="4"/>
      <c r="AD223" s="4"/>
      <c r="AE223" s="4"/>
    </row>
    <row r="224" spans="29:31">
      <c r="AC224" s="4"/>
      <c r="AD224" s="4"/>
      <c r="AE224" s="4"/>
    </row>
    <row r="225" spans="29:31">
      <c r="AC225" s="4"/>
      <c r="AD225" s="4"/>
      <c r="AE225" s="4"/>
    </row>
    <row r="226" spans="29:31">
      <c r="AC226" s="4"/>
      <c r="AD226" s="4"/>
      <c r="AE226" s="4"/>
    </row>
    <row r="227" spans="29:31">
      <c r="AC227" s="4"/>
      <c r="AD227" s="4"/>
      <c r="AE227" s="4"/>
    </row>
    <row r="331" spans="2:2">
      <c r="B331" s="66"/>
    </row>
  </sheetData>
  <mergeCells count="10">
    <mergeCell ref="A1:Q1"/>
    <mergeCell ref="A2:Q2"/>
    <mergeCell ref="D7:E7"/>
    <mergeCell ref="B114:E114"/>
    <mergeCell ref="B19:E19"/>
    <mergeCell ref="B76:E76"/>
    <mergeCell ref="B82:E82"/>
    <mergeCell ref="A3:C3"/>
    <mergeCell ref="A6:C6"/>
    <mergeCell ref="A7:C7"/>
  </mergeCells>
  <phoneticPr fontId="9" type="noConversion"/>
  <dataValidations count="2">
    <dataValidation type="list" allowBlank="1" showInputMessage="1" showErrorMessage="1" sqref="D6" xr:uid="{00000000-0002-0000-0300-000000000000}">
      <formula1>$V$4:$V$20</formula1>
    </dataValidation>
    <dataValidation type="list" allowBlank="1" showInputMessage="1" showErrorMessage="1" sqref="D3" xr:uid="{00000000-0002-0000-0300-000001000000}">
      <formula1>$U$4:$U$123</formula1>
    </dataValidation>
  </dataValidations>
  <printOptions horizontalCentered="1"/>
  <pageMargins left="0.4" right="0.4" top="0.7" bottom="0.7" header="0" footer="0.3"/>
  <pageSetup paperSize="9" scale="49" fitToHeight="0" orientation="portrait" r:id="rId1"/>
  <headerFooter alignWithMargins="0"/>
  <rowBreaks count="1" manualBreakCount="1">
    <brk id="77" min="1" max="1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Cover</vt:lpstr>
      <vt:lpstr>Summary</vt:lpstr>
      <vt:lpstr>Pama</vt:lpstr>
      <vt:lpstr>Sims</vt:lpstr>
      <vt:lpstr>Petrosea</vt:lpstr>
      <vt:lpstr>Bima</vt:lpstr>
      <vt:lpstr>DUM</vt:lpstr>
      <vt:lpstr>KMI</vt:lpstr>
      <vt:lpstr>Buma</vt:lpstr>
      <vt:lpstr>Bima!Print_Area</vt:lpstr>
      <vt:lpstr>Buma!Print_Area</vt:lpstr>
      <vt:lpstr>Cover!Print_Area</vt:lpstr>
      <vt:lpstr>DUM!Print_Area</vt:lpstr>
      <vt:lpstr>KMI!Print_Area</vt:lpstr>
      <vt:lpstr>Pama!Print_Area</vt:lpstr>
      <vt:lpstr>Petrosea!Print_Area</vt:lpstr>
      <vt:lpstr>Sims!Print_Area</vt:lpstr>
      <vt:lpstr>Summary!Print_Area</vt:lpstr>
      <vt:lpstr>Bima!Print_Titles</vt:lpstr>
      <vt:lpstr>Buma!Print_Titles</vt:lpstr>
      <vt:lpstr>DUM!Print_Titles</vt:lpstr>
      <vt:lpstr>KMI!Print_Titles</vt:lpstr>
      <vt:lpstr>Pama!Print_Titles</vt:lpstr>
      <vt:lpstr>Petrosea!Print_Titles</vt:lpstr>
      <vt:lpstr>Sims!Print_Titles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produksi11</dc:creator>
  <cp:lastModifiedBy>Gusti Elissa Damayanti</cp:lastModifiedBy>
  <cp:lastPrinted>2021-05-16T01:24:29Z</cp:lastPrinted>
  <dcterms:created xsi:type="dcterms:W3CDTF">2012-09-10T23:22:49Z</dcterms:created>
  <dcterms:modified xsi:type="dcterms:W3CDTF">2023-05-11T07:40:05Z</dcterms:modified>
</cp:coreProperties>
</file>