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yderabadbitspilaniacin0-my.sharepoint.com/personal/f20202457_hyderabad_bits-pilani_ac_in/Documents/"/>
    </mc:Choice>
  </mc:AlternateContent>
  <xr:revisionPtr revIDLastSave="0" documentId="8_{149C1F91-C09D-4D72-8ADD-978A4E989E6E}" xr6:coauthVersionLast="47" xr6:coauthVersionMax="47" xr10:uidLastSave="{00000000-0000-0000-0000-000000000000}"/>
  <bookViews>
    <workbookView xWindow="2260" yWindow="780" windowWidth="29060" windowHeight="15980" firstSheet="7" activeTab="7" xr2:uid="{F828C185-47E4-5544-BE5D-B8D499233D7E}"/>
  </bookViews>
  <sheets>
    <sheet name="ASIAN 2 STAGE MODEL" sheetId="2" r:id="rId1"/>
    <sheet name="Berger PAINTS 2 STAGE MODEL" sheetId="1" r:id="rId2"/>
    <sheet name="NEROLAC 2 STAGE MODEL" sheetId="3" r:id="rId3"/>
    <sheet name="ASIAN PAINTS 3 STAGE MODEL" sheetId="4" r:id="rId4"/>
    <sheet name="BERGER 3 STAGE MODEL" sheetId="5" r:id="rId5"/>
    <sheet name="NEROLAC 3 STAGE MODEL" sheetId="6" r:id="rId6"/>
    <sheet name="FCFE_FCFF_ASIAN" sheetId="13" r:id="rId7"/>
    <sheet name="FCFE_FCFF_BERGER" sheetId="14" r:id="rId8"/>
    <sheet name="FCFE_FCFF_NEROLAC" sheetId="15" r:id="rId9"/>
    <sheet name="asian data" sheetId="11" r:id="rId10"/>
    <sheet name="berger data" sheetId="10" r:id="rId11"/>
    <sheet name="nerolac data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4" l="1"/>
  <c r="B17" i="14"/>
  <c r="G12" i="14"/>
  <c r="B16" i="14"/>
  <c r="H34" i="14"/>
  <c r="I34" i="14"/>
  <c r="J34" i="14"/>
  <c r="K34" i="14"/>
  <c r="G34" i="14"/>
  <c r="F12" i="14"/>
  <c r="E12" i="14"/>
  <c r="C36" i="14"/>
  <c r="D36" i="14"/>
  <c r="E36" i="14"/>
  <c r="F36" i="14"/>
  <c r="G36" i="14"/>
  <c r="H36" i="14"/>
  <c r="I36" i="14"/>
  <c r="J36" i="14"/>
  <c r="K36" i="14"/>
  <c r="B36" i="14"/>
  <c r="C12" i="14"/>
  <c r="B13" i="14"/>
  <c r="C35" i="14"/>
  <c r="D35" i="14"/>
  <c r="E35" i="14"/>
  <c r="F35" i="14"/>
  <c r="G35" i="14"/>
  <c r="H35" i="14"/>
  <c r="I35" i="14"/>
  <c r="J35" i="14"/>
  <c r="K35" i="14"/>
  <c r="B35" i="14"/>
  <c r="H33" i="14"/>
  <c r="I33" i="14"/>
  <c r="J33" i="14"/>
  <c r="K33" i="14"/>
  <c r="G33" i="14"/>
  <c r="B6" i="14"/>
  <c r="H32" i="14"/>
  <c r="I32" i="14"/>
  <c r="J32" i="14"/>
  <c r="K32" i="14"/>
  <c r="G32" i="14"/>
  <c r="H31" i="14"/>
  <c r="I31" i="14"/>
  <c r="J31" i="14"/>
  <c r="K31" i="14"/>
  <c r="C13" i="14"/>
  <c r="G31" i="14"/>
  <c r="H30" i="14"/>
  <c r="I30" i="14"/>
  <c r="J30" i="14"/>
  <c r="K30" i="14"/>
  <c r="G30" i="14"/>
  <c r="B71" i="15"/>
  <c r="H51" i="15"/>
  <c r="I51" i="15"/>
  <c r="J51" i="15"/>
  <c r="K51" i="15"/>
  <c r="L51" i="15"/>
  <c r="M51" i="15"/>
  <c r="N51" i="15"/>
  <c r="G51" i="15"/>
  <c r="C55" i="15"/>
  <c r="C32" i="14"/>
  <c r="D32" i="14"/>
  <c r="E32" i="14"/>
  <c r="F32" i="14"/>
  <c r="B32" i="14"/>
  <c r="C65" i="15"/>
  <c r="D65" i="15"/>
  <c r="E65" i="15"/>
  <c r="F65" i="15"/>
  <c r="G65" i="15"/>
  <c r="H65" i="15"/>
  <c r="I65" i="15"/>
  <c r="J65" i="15"/>
  <c r="B68" i="15"/>
  <c r="B73" i="15"/>
  <c r="B64" i="15"/>
  <c r="P19" i="13"/>
  <c r="P17" i="13"/>
  <c r="P15" i="13"/>
  <c r="P14" i="13"/>
  <c r="C66" i="15"/>
  <c r="D66" i="15"/>
  <c r="E66" i="15"/>
  <c r="F66" i="15"/>
  <c r="G66" i="15"/>
  <c r="H66" i="15"/>
  <c r="I66" i="15"/>
  <c r="J66" i="15"/>
  <c r="B65" i="15"/>
  <c r="C52" i="15"/>
  <c r="F52" i="15"/>
  <c r="G52" i="15"/>
  <c r="C64" i="15" s="1"/>
  <c r="H52" i="15"/>
  <c r="D64" i="15" s="1"/>
  <c r="I52" i="15"/>
  <c r="E64" i="15" s="1"/>
  <c r="J52" i="15"/>
  <c r="F64" i="15" s="1"/>
  <c r="H49" i="15"/>
  <c r="I49" i="15"/>
  <c r="J49" i="15"/>
  <c r="K49" i="15"/>
  <c r="L49" i="15"/>
  <c r="G49" i="15"/>
  <c r="F43" i="15"/>
  <c r="C43" i="15"/>
  <c r="F45" i="15"/>
  <c r="B63" i="15"/>
  <c r="C63" i="15"/>
  <c r="D63" i="15"/>
  <c r="E63" i="15"/>
  <c r="F63" i="15"/>
  <c r="G63" i="15"/>
  <c r="H63" i="15"/>
  <c r="I63" i="15"/>
  <c r="J63" i="15"/>
  <c r="A63" i="15"/>
  <c r="C67" i="15"/>
  <c r="D67" i="15"/>
  <c r="E67" i="15"/>
  <c r="F67" i="15"/>
  <c r="G67" i="15"/>
  <c r="H67" i="15"/>
  <c r="I67" i="15"/>
  <c r="J67" i="15"/>
  <c r="B67" i="15"/>
  <c r="B66" i="15"/>
  <c r="C68" i="15"/>
  <c r="C73" i="15" s="1"/>
  <c r="C74" i="15" s="1"/>
  <c r="D68" i="15"/>
  <c r="D73" i="15" s="1"/>
  <c r="D74" i="15" s="1"/>
  <c r="E68" i="15"/>
  <c r="E73" i="15" s="1"/>
  <c r="E74" i="15" s="1"/>
  <c r="F68" i="15"/>
  <c r="F73" i="15" s="1"/>
  <c r="F74" i="15" s="1"/>
  <c r="B74" i="15"/>
  <c r="J45" i="15"/>
  <c r="F44" i="15"/>
  <c r="J44" i="15" s="1"/>
  <c r="J43" i="15"/>
  <c r="C45" i="15"/>
  <c r="B30" i="1"/>
  <c r="I13" i="1"/>
  <c r="B20" i="1"/>
  <c r="B7" i="14"/>
  <c r="C6" i="14"/>
  <c r="D6" i="14"/>
  <c r="E6" i="14"/>
  <c r="F6" i="14"/>
  <c r="H16" i="3"/>
  <c r="H20" i="3"/>
  <c r="H17" i="3"/>
  <c r="H18" i="3"/>
  <c r="H19" i="3"/>
  <c r="B7" i="1"/>
  <c r="A23" i="5"/>
  <c r="G13" i="6"/>
  <c r="G15" i="5"/>
  <c r="H15" i="5" s="1"/>
  <c r="I15" i="5" s="1"/>
  <c r="J15" i="5" s="1"/>
  <c r="C30" i="6"/>
  <c r="F10" i="5"/>
  <c r="F13" i="5"/>
  <c r="G13" i="5" s="1"/>
  <c r="F14" i="5"/>
  <c r="D10" i="5"/>
  <c r="E10" i="5"/>
  <c r="D13" i="5"/>
  <c r="E13" i="5"/>
  <c r="D14" i="5"/>
  <c r="E14" i="5"/>
  <c r="B10" i="5"/>
  <c r="C10" i="5"/>
  <c r="B11" i="5"/>
  <c r="B18" i="5" s="1"/>
  <c r="B23" i="5" s="1"/>
  <c r="B24" i="5" s="1"/>
  <c r="B12" i="5"/>
  <c r="B13" i="5"/>
  <c r="C13" i="5"/>
  <c r="B14" i="5"/>
  <c r="C14" i="5"/>
  <c r="A10" i="5"/>
  <c r="A11" i="5"/>
  <c r="A12" i="5"/>
  <c r="A13" i="5"/>
  <c r="A14" i="5"/>
  <c r="A9" i="5"/>
  <c r="C15" i="6"/>
  <c r="B46" i="4"/>
  <c r="B23" i="6"/>
  <c r="B28" i="6" s="1"/>
  <c r="I20" i="6"/>
  <c r="J20" i="6" s="1"/>
  <c r="H20" i="6"/>
  <c r="G20" i="6"/>
  <c r="F37" i="4"/>
  <c r="F36" i="4"/>
  <c r="F35" i="4"/>
  <c r="A21" i="4"/>
  <c r="A22" i="4"/>
  <c r="A23" i="4"/>
  <c r="B23" i="4"/>
  <c r="C23" i="4"/>
  <c r="D23" i="4"/>
  <c r="E23" i="4"/>
  <c r="F23" i="4"/>
  <c r="A24" i="4"/>
  <c r="B24" i="4"/>
  <c r="C24" i="4"/>
  <c r="D24" i="4"/>
  <c r="E24" i="4"/>
  <c r="A18" i="4"/>
  <c r="A19" i="4"/>
  <c r="A20" i="4"/>
  <c r="B1" i="4"/>
  <c r="C1" i="4"/>
  <c r="D1" i="4"/>
  <c r="E1" i="4"/>
  <c r="F1" i="4"/>
  <c r="B2" i="4"/>
  <c r="C2" i="4"/>
  <c r="D2" i="4"/>
  <c r="E2" i="4"/>
  <c r="F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C12" i="4"/>
  <c r="D12" i="4"/>
  <c r="E12" i="4"/>
  <c r="F12" i="4"/>
  <c r="C13" i="4"/>
  <c r="D13" i="4"/>
  <c r="E13" i="4"/>
  <c r="F13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C23" i="6"/>
  <c r="C28" i="6" s="1"/>
  <c r="C29" i="6" s="1"/>
  <c r="D15" i="6"/>
  <c r="D23" i="6" s="1"/>
  <c r="D28" i="6" s="1"/>
  <c r="D29" i="6" s="1"/>
  <c r="E15" i="6"/>
  <c r="F15" i="6" s="1"/>
  <c r="B17" i="6"/>
  <c r="B18" i="6"/>
  <c r="B4" i="6"/>
  <c r="B5" i="6" s="1"/>
  <c r="B7" i="6" s="1"/>
  <c r="C4" i="6"/>
  <c r="D4" i="6"/>
  <c r="E4" i="6"/>
  <c r="F4" i="6"/>
  <c r="F5" i="6" s="1"/>
  <c r="F7" i="6" s="1"/>
  <c r="C5" i="6"/>
  <c r="C7" i="6" s="1"/>
  <c r="D5" i="6"/>
  <c r="D7" i="6" s="1"/>
  <c r="E5" i="6"/>
  <c r="E7" i="6" s="1"/>
  <c r="B43" i="2"/>
  <c r="B40" i="2"/>
  <c r="B41" i="2" s="1"/>
  <c r="E32" i="2"/>
  <c r="E22" i="4" s="1"/>
  <c r="E31" i="2"/>
  <c r="E21" i="4" s="1"/>
  <c r="E30" i="2"/>
  <c r="E20" i="4" s="1"/>
  <c r="E29" i="2"/>
  <c r="E19" i="4" s="1"/>
  <c r="E28" i="2"/>
  <c r="E18" i="4" s="1"/>
  <c r="B19" i="2"/>
  <c r="B9" i="4" s="1"/>
  <c r="B15" i="1"/>
  <c r="B18" i="3"/>
  <c r="B19" i="3"/>
  <c r="C28" i="2"/>
  <c r="C5" i="3"/>
  <c r="C6" i="3" s="1"/>
  <c r="C8" i="3" s="1"/>
  <c r="D5" i="3"/>
  <c r="D6" i="3" s="1"/>
  <c r="D8" i="3" s="1"/>
  <c r="E5" i="3"/>
  <c r="E6" i="3" s="1"/>
  <c r="E8" i="3" s="1"/>
  <c r="F5" i="3"/>
  <c r="F6" i="3" s="1"/>
  <c r="F8" i="3" s="1"/>
  <c r="B5" i="3"/>
  <c r="B6" i="3" s="1"/>
  <c r="B8" i="3" s="1"/>
  <c r="B20" i="2"/>
  <c r="B10" i="4" s="1"/>
  <c r="C19" i="2"/>
  <c r="D19" i="2"/>
  <c r="E19" i="2"/>
  <c r="F19" i="2"/>
  <c r="F4" i="1"/>
  <c r="F5" i="1" s="1"/>
  <c r="F7" i="1" s="1"/>
  <c r="E4" i="1"/>
  <c r="E5" i="1" s="1"/>
  <c r="E7" i="1" s="1"/>
  <c r="D4" i="1"/>
  <c r="D5" i="1" s="1"/>
  <c r="D7" i="1" s="1"/>
  <c r="C4" i="1"/>
  <c r="C5" i="1" s="1"/>
  <c r="C7" i="1" s="1"/>
  <c r="B4" i="1"/>
  <c r="B5" i="1" s="1"/>
  <c r="B9" i="1" s="1"/>
  <c r="K52" i="15" l="1"/>
  <c r="G64" i="15" s="1"/>
  <c r="G68" i="15" s="1"/>
  <c r="G73" i="15" s="1"/>
  <c r="G74" i="15" s="1"/>
  <c r="D12" i="14"/>
  <c r="B8" i="5"/>
  <c r="G9" i="5" s="1"/>
  <c r="H9" i="5" s="1"/>
  <c r="I9" i="5" s="1"/>
  <c r="C13" i="1"/>
  <c r="G14" i="5"/>
  <c r="H13" i="5"/>
  <c r="F23" i="6"/>
  <c r="F28" i="6" s="1"/>
  <c r="F29" i="6" s="1"/>
  <c r="E23" i="6"/>
  <c r="E28" i="6" s="1"/>
  <c r="E29" i="6" s="1"/>
  <c r="F9" i="4"/>
  <c r="F20" i="2"/>
  <c r="F10" i="4" s="1"/>
  <c r="E9" i="4"/>
  <c r="E20" i="2"/>
  <c r="E10" i="4" s="1"/>
  <c r="D9" i="4"/>
  <c r="D20" i="2"/>
  <c r="D10" i="4" s="1"/>
  <c r="C9" i="4"/>
  <c r="C20" i="2"/>
  <c r="C10" i="4" s="1"/>
  <c r="C18" i="4"/>
  <c r="C29" i="2"/>
  <c r="B16" i="1"/>
  <c r="C15" i="1"/>
  <c r="D15" i="1" s="1"/>
  <c r="E15" i="1" s="1"/>
  <c r="F15" i="1" s="1"/>
  <c r="G15" i="1" s="1"/>
  <c r="H15" i="1" s="1"/>
  <c r="B9" i="6"/>
  <c r="C16" i="6" s="1"/>
  <c r="H13" i="6"/>
  <c r="B21" i="2"/>
  <c r="C21" i="2"/>
  <c r="C11" i="4" s="1"/>
  <c r="D21" i="2"/>
  <c r="D11" i="4" s="1"/>
  <c r="E21" i="2"/>
  <c r="E11" i="4" s="1"/>
  <c r="F21" i="2"/>
  <c r="F11" i="4" s="1"/>
  <c r="B10" i="3"/>
  <c r="L52" i="15" l="1"/>
  <c r="H64" i="15" s="1"/>
  <c r="H68" i="15" s="1"/>
  <c r="H73" i="15" s="1"/>
  <c r="H74" i="15" s="1"/>
  <c r="D13" i="14"/>
  <c r="C11" i="5"/>
  <c r="C18" i="5" s="1"/>
  <c r="C23" i="5" s="1"/>
  <c r="C24" i="5" s="1"/>
  <c r="D13" i="1"/>
  <c r="H14" i="5"/>
  <c r="I13" i="5"/>
  <c r="D16" i="6"/>
  <c r="C17" i="6"/>
  <c r="C18" i="6" s="1"/>
  <c r="C19" i="6" s="1"/>
  <c r="C17" i="3"/>
  <c r="D17" i="3" s="1"/>
  <c r="E17" i="3" s="1"/>
  <c r="F17" i="3" s="1"/>
  <c r="G17" i="3" s="1"/>
  <c r="C16" i="3"/>
  <c r="B11" i="4"/>
  <c r="B22" i="2"/>
  <c r="I13" i="6"/>
  <c r="C16" i="1"/>
  <c r="D16" i="1" s="1"/>
  <c r="E16" i="1" s="1"/>
  <c r="F16" i="1" s="1"/>
  <c r="G16" i="1" s="1"/>
  <c r="H16" i="1" s="1"/>
  <c r="D17" i="1"/>
  <c r="E17" i="1"/>
  <c r="F17" i="1"/>
  <c r="G17" i="1"/>
  <c r="H17" i="1"/>
  <c r="C17" i="1"/>
  <c r="C19" i="4"/>
  <c r="C30" i="2"/>
  <c r="C14" i="1"/>
  <c r="B31" i="2"/>
  <c r="B21" i="4" s="1"/>
  <c r="B32" i="2"/>
  <c r="B22" i="4" s="1"/>
  <c r="B29" i="2"/>
  <c r="B19" i="4" s="1"/>
  <c r="M52" i="15" l="1"/>
  <c r="I64" i="15" s="1"/>
  <c r="I68" i="15" s="1"/>
  <c r="I73" i="15" s="1"/>
  <c r="I74" i="15" s="1"/>
  <c r="N52" i="15"/>
  <c r="J64" i="15" s="1"/>
  <c r="J68" i="15" s="1"/>
  <c r="B76" i="15"/>
  <c r="B79" i="15" s="1"/>
  <c r="E13" i="14"/>
  <c r="D14" i="1"/>
  <c r="C12" i="5"/>
  <c r="D11" i="5"/>
  <c r="D18" i="5" s="1"/>
  <c r="D23" i="5" s="1"/>
  <c r="D24" i="5" s="1"/>
  <c r="I14" i="5"/>
  <c r="J13" i="5"/>
  <c r="J14" i="5" s="1"/>
  <c r="E16" i="6"/>
  <c r="D17" i="6"/>
  <c r="D18" i="6" s="1"/>
  <c r="D19" i="6" s="1"/>
  <c r="C31" i="2"/>
  <c r="C20" i="4"/>
  <c r="B12" i="4"/>
  <c r="B23" i="2"/>
  <c r="B28" i="2"/>
  <c r="B18" i="4" s="1"/>
  <c r="B30" i="2"/>
  <c r="B20" i="4" s="1"/>
  <c r="B25" i="3"/>
  <c r="B27" i="3" s="1"/>
  <c r="C18" i="3"/>
  <c r="C19" i="3" s="1"/>
  <c r="C20" i="3" s="1"/>
  <c r="D16" i="3"/>
  <c r="E13" i="1"/>
  <c r="F13" i="14" l="1"/>
  <c r="F13" i="1"/>
  <c r="E11" i="5"/>
  <c r="E18" i="5" s="1"/>
  <c r="E23" i="5" s="1"/>
  <c r="E24" i="5" s="1"/>
  <c r="D12" i="5"/>
  <c r="E14" i="1"/>
  <c r="F16" i="6"/>
  <c r="E17" i="6"/>
  <c r="E18" i="6" s="1"/>
  <c r="E19" i="6" s="1"/>
  <c r="C25" i="3"/>
  <c r="C27" i="3" s="1"/>
  <c r="D18" i="3"/>
  <c r="D19" i="3" s="1"/>
  <c r="D20" i="3" s="1"/>
  <c r="E16" i="3"/>
  <c r="B24" i="2"/>
  <c r="B13" i="4"/>
  <c r="C32" i="2"/>
  <c r="C21" i="4"/>
  <c r="D31" i="2"/>
  <c r="G13" i="14" l="1"/>
  <c r="E12" i="5"/>
  <c r="F14" i="1"/>
  <c r="G13" i="1"/>
  <c r="F11" i="5"/>
  <c r="G16" i="6"/>
  <c r="H16" i="6" s="1"/>
  <c r="F17" i="6"/>
  <c r="F31" i="2"/>
  <c r="F21" i="4" s="1"/>
  <c r="D21" i="4"/>
  <c r="C22" i="4"/>
  <c r="C35" i="4" s="1"/>
  <c r="B39" i="2"/>
  <c r="B42" i="2" s="1"/>
  <c r="B44" i="2" s="1"/>
  <c r="B46" i="2" s="1"/>
  <c r="D32" i="2"/>
  <c r="B14" i="4"/>
  <c r="D29" i="2"/>
  <c r="D30" i="2"/>
  <c r="D28" i="2"/>
  <c r="F16" i="3"/>
  <c r="D25" i="3"/>
  <c r="D27" i="3" s="1"/>
  <c r="E18" i="3"/>
  <c r="E19" i="3" s="1"/>
  <c r="E20" i="3" s="1"/>
  <c r="B18" i="14" l="1"/>
  <c r="F18" i="5"/>
  <c r="F23" i="5" s="1"/>
  <c r="F24" i="5" s="1"/>
  <c r="B26" i="5" s="1"/>
  <c r="G11" i="5"/>
  <c r="H13" i="1"/>
  <c r="G14" i="1"/>
  <c r="F12" i="5"/>
  <c r="F18" i="6"/>
  <c r="F19" i="6" s="1"/>
  <c r="G17" i="6"/>
  <c r="I16" i="6"/>
  <c r="E25" i="3"/>
  <c r="E27" i="3" s="1"/>
  <c r="F18" i="3"/>
  <c r="F19" i="3" s="1"/>
  <c r="F20" i="3" s="1"/>
  <c r="G16" i="3"/>
  <c r="D18" i="4"/>
  <c r="F28" i="2"/>
  <c r="F30" i="2"/>
  <c r="F20" i="4" s="1"/>
  <c r="D20" i="4"/>
  <c r="F29" i="2"/>
  <c r="F19" i="4" s="1"/>
  <c r="D19" i="4"/>
  <c r="F32" i="2"/>
  <c r="F22" i="4" s="1"/>
  <c r="D22" i="4"/>
  <c r="E35" i="4"/>
  <c r="G35" i="4" s="1"/>
  <c r="C36" i="4"/>
  <c r="H14" i="1" l="1"/>
  <c r="B25" i="1" s="1"/>
  <c r="B29" i="1" s="1"/>
  <c r="B31" i="1" s="1"/>
  <c r="B33" i="1"/>
  <c r="G18" i="5"/>
  <c r="G23" i="5" s="1"/>
  <c r="G24" i="5" s="1"/>
  <c r="G12" i="5"/>
  <c r="H11" i="5"/>
  <c r="J16" i="6"/>
  <c r="G15" i="6"/>
  <c r="G23" i="6" s="1"/>
  <c r="G28" i="6" s="1"/>
  <c r="G29" i="6" s="1"/>
  <c r="G18" i="6"/>
  <c r="G19" i="6" s="1"/>
  <c r="H17" i="6"/>
  <c r="E36" i="4"/>
  <c r="G36" i="4" s="1"/>
  <c r="C37" i="4"/>
  <c r="F18" i="4"/>
  <c r="F34" i="2"/>
  <c r="F25" i="3"/>
  <c r="F27" i="3" s="1"/>
  <c r="B22" i="3"/>
  <c r="G25" i="3" s="1"/>
  <c r="G27" i="3" s="1"/>
  <c r="G18" i="3"/>
  <c r="G19" i="3" s="1"/>
  <c r="G20" i="3" s="1"/>
  <c r="B28" i="3"/>
  <c r="H18" i="5" l="1"/>
  <c r="H23" i="5" s="1"/>
  <c r="H24" i="5" s="1"/>
  <c r="H12" i="5"/>
  <c r="I11" i="5"/>
  <c r="B27" i="5"/>
  <c r="I17" i="6"/>
  <c r="H18" i="6"/>
  <c r="H19" i="6" s="1"/>
  <c r="H15" i="6"/>
  <c r="H23" i="6" s="1"/>
  <c r="H28" i="6" s="1"/>
  <c r="H29" i="6" s="1"/>
  <c r="E37" i="4"/>
  <c r="G37" i="4" s="1"/>
  <c r="B43" i="4"/>
  <c r="B45" i="4" s="1"/>
  <c r="B47" i="4" s="1"/>
  <c r="B48" i="4" s="1"/>
  <c r="G39" i="4"/>
  <c r="B49" i="2"/>
  <c r="F24" i="4"/>
  <c r="B51" i="4" l="1"/>
  <c r="J11" i="5"/>
  <c r="I18" i="5"/>
  <c r="I12" i="5"/>
  <c r="G30" i="6"/>
  <c r="I18" i="6"/>
  <c r="J17" i="6"/>
  <c r="J15" i="6" s="1"/>
  <c r="J23" i="6" s="1"/>
  <c r="B26" i="6" s="1"/>
  <c r="I15" i="6"/>
  <c r="I23" i="6" s="1"/>
  <c r="B20" i="5" l="1"/>
  <c r="I23" i="5" s="1"/>
  <c r="I24" i="5" s="1"/>
  <c r="J18" i="5"/>
  <c r="J12" i="5"/>
  <c r="I28" i="6"/>
  <c r="I29" i="6" s="1"/>
  <c r="I19" i="6"/>
  <c r="J19" i="6" s="1"/>
  <c r="J18" i="6"/>
  <c r="B30" i="5" l="1"/>
  <c r="B28" i="5"/>
  <c r="I30" i="6"/>
  <c r="B31" i="6"/>
</calcChain>
</file>

<file path=xl/sharedStrings.xml><?xml version="1.0" encoding="utf-8"?>
<sst xmlns="http://schemas.openxmlformats.org/spreadsheetml/2006/main" count="860" uniqueCount="332">
  <si>
    <t>NET INCOME</t>
  </si>
  <si>
    <t>NET CAPEX</t>
  </si>
  <si>
    <t>DEBT RATIO</t>
  </si>
  <si>
    <t>NET CAPEX*(1-DEBT RATIO)</t>
  </si>
  <si>
    <t>CHANGE IN WORKING CAPITAL</t>
  </si>
  <si>
    <t>CHANGE IN WC*(1-DEBT RATIO)</t>
  </si>
  <si>
    <t>FCFE</t>
  </si>
  <si>
    <t>EPS</t>
  </si>
  <si>
    <t>dividend</t>
  </si>
  <si>
    <t>roe</t>
  </si>
  <si>
    <t xml:space="preserve">avg roe </t>
  </si>
  <si>
    <t>DIVIDEND PAYOUT RATIO</t>
  </si>
  <si>
    <t>RETENTION RATIO</t>
  </si>
  <si>
    <t xml:space="preserve">GROWTH </t>
  </si>
  <si>
    <t>AVG GROWTH</t>
  </si>
  <si>
    <t>AVG RR</t>
  </si>
  <si>
    <t>AVG DIVIDEND PAY OUT RATIO</t>
  </si>
  <si>
    <t>DIVIDEND DISCOUNT MODEL</t>
  </si>
  <si>
    <t>COE</t>
  </si>
  <si>
    <t>YEAR</t>
  </si>
  <si>
    <t>GROWTH</t>
  </si>
  <si>
    <t>DIVIDEND</t>
  </si>
  <si>
    <t xml:space="preserve">PV </t>
  </si>
  <si>
    <t>PV OF DIVIDEND</t>
  </si>
  <si>
    <t>SUM</t>
  </si>
  <si>
    <t>AFTER 5 YEARS</t>
  </si>
  <si>
    <t xml:space="preserve">ROE </t>
  </si>
  <si>
    <t>RR</t>
  </si>
  <si>
    <t>DR</t>
  </si>
  <si>
    <t xml:space="preserve">DIVIDEND </t>
  </si>
  <si>
    <t>R-G</t>
  </si>
  <si>
    <t>PV OF DIV</t>
  </si>
  <si>
    <t xml:space="preserve">TOTAL </t>
  </si>
  <si>
    <t>Dividend</t>
  </si>
  <si>
    <t>Dividend payout ratio</t>
  </si>
  <si>
    <t>retention ratio</t>
  </si>
  <si>
    <t>Return on equity</t>
  </si>
  <si>
    <t>perpetual growth rate</t>
  </si>
  <si>
    <t>Avg Growth over the last 5 year</t>
  </si>
  <si>
    <t>coeco</t>
  </si>
  <si>
    <t>G ROE</t>
  </si>
  <si>
    <t>Forecasting Dividends</t>
  </si>
  <si>
    <t>Years-&gt;</t>
  </si>
  <si>
    <t>22(Current year)</t>
  </si>
  <si>
    <t>coe</t>
  </si>
  <si>
    <t xml:space="preserve">TOTAL DIVIDEND </t>
  </si>
  <si>
    <t>AFTER 5 YRS</t>
  </si>
  <si>
    <t>ROE</t>
  </si>
  <si>
    <t>DIV PAYOUT</t>
  </si>
  <si>
    <t>PV</t>
  </si>
  <si>
    <t>TOTAL PV</t>
  </si>
  <si>
    <t>Avg growth rate</t>
  </si>
  <si>
    <t>Perpetual Growth rate</t>
  </si>
  <si>
    <t>Cost of equity</t>
  </si>
  <si>
    <t>cost of equity for perpetuity</t>
  </si>
  <si>
    <t>TV at t=2027</t>
  </si>
  <si>
    <t>Timeline-&gt;</t>
  </si>
  <si>
    <t>TV at 5</t>
  </si>
  <si>
    <t>Dividend Cash flows</t>
  </si>
  <si>
    <t>PV at t=0</t>
  </si>
  <si>
    <t xml:space="preserve">PV at (t=0) -&gt; </t>
  </si>
  <si>
    <t>TRANSITION PERIOD</t>
  </si>
  <si>
    <t>DIVIDEND PAY OUT</t>
  </si>
  <si>
    <t>PERPETUTITY</t>
  </si>
  <si>
    <t>PAYOUT R</t>
  </si>
  <si>
    <t>PV FINAL</t>
  </si>
  <si>
    <t xml:space="preserve">Toal </t>
  </si>
  <si>
    <t>CASH Flows</t>
  </si>
  <si>
    <t>TV at t=7</t>
  </si>
  <si>
    <t>Present Value for High Growth period</t>
  </si>
  <si>
    <t>Present Value for declining growth period</t>
  </si>
  <si>
    <t>Present Value for Perpetual const growth</t>
  </si>
  <si>
    <t>Value of Stock</t>
  </si>
  <si>
    <t>Growth rate decreases by 0.25% every year</t>
  </si>
  <si>
    <t>Transition period growth-&gt;</t>
  </si>
  <si>
    <t>Perpetual growth-&gt;</t>
  </si>
  <si>
    <t>High growth-&gt;</t>
  </si>
  <si>
    <t>cash flows</t>
  </si>
  <si>
    <t>sums-&gt;</t>
  </si>
  <si>
    <t>Price-&gt;</t>
  </si>
  <si>
    <t> </t>
  </si>
  <si>
    <t>Year</t>
  </si>
  <si>
    <t>Debt Ratio</t>
  </si>
  <si>
    <t>Earnings</t>
  </si>
  <si>
    <t>Growth in earnings</t>
  </si>
  <si>
    <t>CAPEX</t>
  </si>
  <si>
    <t>Average growth in earnings</t>
  </si>
  <si>
    <t>Depriciation</t>
  </si>
  <si>
    <t>Chnge in WC</t>
  </si>
  <si>
    <t>Average FCFE</t>
  </si>
  <si>
    <t>PV OF FCFE</t>
  </si>
  <si>
    <t>Growth in FCFE</t>
  </si>
  <si>
    <t>Average Growth</t>
  </si>
  <si>
    <t>3 stage FCFE</t>
  </si>
  <si>
    <t>2 stage</t>
  </si>
  <si>
    <t>High Growth Period</t>
  </si>
  <si>
    <t>TV</t>
  </si>
  <si>
    <t>PV of TV</t>
  </si>
  <si>
    <t>Total Value</t>
  </si>
  <si>
    <t>PV of FCFE</t>
  </si>
  <si>
    <t>Value of stock</t>
  </si>
  <si>
    <t>Transition Zone</t>
  </si>
  <si>
    <t>Industry avg growth rate</t>
  </si>
  <si>
    <t>Factor</t>
  </si>
  <si>
    <t>Growth rate</t>
  </si>
  <si>
    <t>PV of Equity</t>
  </si>
  <si>
    <t>Stable phase</t>
  </si>
  <si>
    <t>Terminal Price</t>
  </si>
  <si>
    <t>PV OF TV</t>
  </si>
  <si>
    <t>Growth</t>
  </si>
  <si>
    <t>Total Number of shares outstanding(IN MIL)</t>
  </si>
  <si>
    <t>Transition</t>
  </si>
  <si>
    <t>Stable</t>
  </si>
  <si>
    <t>Value</t>
  </si>
  <si>
    <t xml:space="preserve">Value of stock </t>
  </si>
  <si>
    <t>FCFF</t>
  </si>
  <si>
    <t>As the debt ratio for Asian Paints is zero FCFF is same as FCFE</t>
  </si>
  <si>
    <t>Berger Debt Ratio</t>
  </si>
  <si>
    <t>DA</t>
  </si>
  <si>
    <t>CHANGE IN WC</t>
  </si>
  <si>
    <t>Capex</t>
  </si>
  <si>
    <t>Average growth rate</t>
  </si>
  <si>
    <t>Growth final</t>
  </si>
  <si>
    <t>For 2 stage model</t>
  </si>
  <si>
    <t>PV of 1-5_high Growth</t>
  </si>
  <si>
    <t>PV of stable growth</t>
  </si>
  <si>
    <t>value of stock</t>
  </si>
  <si>
    <t>Total</t>
  </si>
  <si>
    <t>EBIT</t>
  </si>
  <si>
    <t xml:space="preserve">Year </t>
  </si>
  <si>
    <t>millions</t>
  </si>
  <si>
    <t>Depreciation</t>
  </si>
  <si>
    <t>Current Assets</t>
  </si>
  <si>
    <t>Current liabilities</t>
  </si>
  <si>
    <t>WC</t>
  </si>
  <si>
    <t>Change in WC</t>
  </si>
  <si>
    <t>(CAPEX-Dep)*(1-DR)</t>
  </si>
  <si>
    <t>Change in WC*(1-DR)</t>
  </si>
  <si>
    <t xml:space="preserve">debt ratio </t>
  </si>
  <si>
    <t xml:space="preserve">timeline </t>
  </si>
  <si>
    <t>Forecasting FCFE</t>
  </si>
  <si>
    <t>Dep</t>
  </si>
  <si>
    <t>PV of fcfe</t>
  </si>
  <si>
    <t>Cash Flows</t>
  </si>
  <si>
    <t>Toal PV of FCFEs in all growth phases</t>
  </si>
  <si>
    <t>million Rs</t>
  </si>
  <si>
    <t>high g</t>
  </si>
  <si>
    <t>no. of oustanding shares</t>
  </si>
  <si>
    <t xml:space="preserve">million </t>
  </si>
  <si>
    <t>Transition period growth</t>
  </si>
  <si>
    <t>Share price</t>
  </si>
  <si>
    <t>stable</t>
  </si>
  <si>
    <t>FCFF CALCULATION</t>
  </si>
  <si>
    <t>Profit before tax</t>
  </si>
  <si>
    <t>NOPAT</t>
  </si>
  <si>
    <t>COGS</t>
  </si>
  <si>
    <t>SGA</t>
  </si>
  <si>
    <t>avg nopat</t>
  </si>
  <si>
    <t>Forecasting FCFF</t>
  </si>
  <si>
    <t>CF's</t>
  </si>
  <si>
    <t>TOTAL PV OF FCFF</t>
  </si>
  <si>
    <t>milliom</t>
  </si>
  <si>
    <t>Standalone Profit &amp; Loss account</t>
  </si>
  <si>
    <t>------------------- in Rs. Cr. -------------------</t>
  </si>
  <si>
    <t>Mar'22</t>
  </si>
  <si>
    <t>Mar'21</t>
  </si>
  <si>
    <t>Mar'20</t>
  </si>
  <si>
    <t>Mar'19</t>
  </si>
  <si>
    <t>Mar'18</t>
  </si>
  <si>
    <t>12Months</t>
  </si>
  <si>
    <t>INCOME:</t>
  </si>
  <si>
    <t>12 mths</t>
  </si>
  <si>
    <t>Sales Turnover</t>
  </si>
  <si>
    <t>Excise Duty</t>
  </si>
  <si>
    <t>INCOME</t>
  </si>
  <si>
    <t>NET SALES</t>
  </si>
  <si>
    <t>Revenue From Operations [Gross]</t>
  </si>
  <si>
    <t>Other Income</t>
  </si>
  <si>
    <t>Less: Excise/Sevice Tax/Other Levies</t>
  </si>
  <si>
    <t>TOTAL INCOME</t>
  </si>
  <si>
    <t>Revenue From Operations [Net]</t>
  </si>
  <si>
    <t>EXPENDITURE:</t>
  </si>
  <si>
    <t>Other Operating Revenues</t>
  </si>
  <si>
    <t>Manufacturing Expenses</t>
  </si>
  <si>
    <t>Total Operating Revenues</t>
  </si>
  <si>
    <t>Material Consumed</t>
  </si>
  <si>
    <t>Personal Expenses</t>
  </si>
  <si>
    <t>Total Revenue</t>
  </si>
  <si>
    <t>Selling Expenses</t>
  </si>
  <si>
    <t>EXPENSES</t>
  </si>
  <si>
    <t>Administrative Expenses</t>
  </si>
  <si>
    <t>Cost Of Materials Consumed</t>
  </si>
  <si>
    <t>Expenses Capitalised</t>
  </si>
  <si>
    <t>Purchase Of Stock-In Trade</t>
  </si>
  <si>
    <t>Provisions Made</t>
  </si>
  <si>
    <t>Changes In Inventories Of FG,WIP And Stock-In Trade</t>
  </si>
  <si>
    <t>TOTAL EXPENDITURE</t>
  </si>
  <si>
    <t>Employee Benefit Expenses</t>
  </si>
  <si>
    <t>Operating Profit</t>
  </si>
  <si>
    <t>Finance Costs</t>
  </si>
  <si>
    <t>EBITDA</t>
  </si>
  <si>
    <t>Depreciation And Amortisation Expenses</t>
  </si>
  <si>
    <t>Other Expenses</t>
  </si>
  <si>
    <t>Other Write-offs</t>
  </si>
  <si>
    <t>Total Expenses</t>
  </si>
  <si>
    <t>Interest</t>
  </si>
  <si>
    <t>EBT</t>
  </si>
  <si>
    <t>Taxes</t>
  </si>
  <si>
    <t>Profit and Loss for the Year</t>
  </si>
  <si>
    <t>Profit/Loss Before Exceptional, ExtraOrdinary Items And Tax</t>
  </si>
  <si>
    <t>Non Recurring Items</t>
  </si>
  <si>
    <t>Exceptional Items</t>
  </si>
  <si>
    <t>Other Non Cash Adjustments</t>
  </si>
  <si>
    <t>Profit/Loss Before Tax</t>
  </si>
  <si>
    <t>Other Adjustments</t>
  </si>
  <si>
    <t>Tax Expenses-Continued Operations</t>
  </si>
  <si>
    <t>REPORTED PAT</t>
  </si>
  <si>
    <t>Current Tax</t>
  </si>
  <si>
    <t>KEY ITEMS</t>
  </si>
  <si>
    <t>Deferred Tax</t>
  </si>
  <si>
    <t>Preference Dividend</t>
  </si>
  <si>
    <t>Tax For Earlier Years</t>
  </si>
  <si>
    <t>Equity Dividend</t>
  </si>
  <si>
    <t>Total Tax Expenses</t>
  </si>
  <si>
    <t>Equity Dividend (%)</t>
  </si>
  <si>
    <t>Profit/Loss After Tax And Before ExtraOrdinary Items</t>
  </si>
  <si>
    <t>Shares in Issue (Lakhs)</t>
  </si>
  <si>
    <t>Profit/Loss From Continuing Operations</t>
  </si>
  <si>
    <t>EPS - Annualised (Rs)</t>
  </si>
  <si>
    <t>Profit/Loss For The Period</t>
  </si>
  <si>
    <t>Rs (in Crores)</t>
  </si>
  <si>
    <t>OTHER ADDITIONAL INFORMATION</t>
  </si>
  <si>
    <t>EARNINGS PER SHARE</t>
  </si>
  <si>
    <t>Basic EPS (Rs.)</t>
  </si>
  <si>
    <t>Diluted EPS (Rs.)</t>
  </si>
  <si>
    <t>VALUE OF IMPORTED AND INDIGENIOUS RAW MATERIALS</t>
  </si>
  <si>
    <t>STORES, SPARES AND LOOSE TOOLS</t>
  </si>
  <si>
    <t>DIVIDEND AND DIVIDEND PERCENTAGE</t>
  </si>
  <si>
    <t>Equity Share Dividend</t>
  </si>
  <si>
    <t>Tax On Dividend</t>
  </si>
  <si>
    <t>Equity Dividend Rate (%)</t>
  </si>
  <si>
    <r>
      <t>Source : </t>
    </r>
    <r>
      <rPr>
        <b/>
        <sz val="8"/>
        <color rgb="FFFB9646"/>
        <rFont val="Tahoma"/>
        <family val="2"/>
      </rPr>
      <t>Dion Global Solutions Limited</t>
    </r>
  </si>
  <si>
    <t>Asian Paints</t>
  </si>
  <si>
    <t>Previous Years »</t>
  </si>
  <si>
    <t>Standalone Balance Sheet</t>
  </si>
  <si>
    <t>Mar '22</t>
  </si>
  <si>
    <t>Mar '21</t>
  </si>
  <si>
    <t>Mar '20</t>
  </si>
  <si>
    <t>Mar '19</t>
  </si>
  <si>
    <t>Mar '18</t>
  </si>
  <si>
    <t>Sources Of Funds</t>
  </si>
  <si>
    <t>Total Share Capital</t>
  </si>
  <si>
    <t>Equity Share Capital</t>
  </si>
  <si>
    <t>Reserves</t>
  </si>
  <si>
    <t>Networth</t>
  </si>
  <si>
    <t>Secured Loans</t>
  </si>
  <si>
    <t>Unsecured Loans</t>
  </si>
  <si>
    <t>Total Debt</t>
  </si>
  <si>
    <t>Total Liabilities</t>
  </si>
  <si>
    <t>Application Of Funds</t>
  </si>
  <si>
    <t>Gross Block</t>
  </si>
  <si>
    <t>Less: Accum. Depreciation</t>
  </si>
  <si>
    <t>Net Block</t>
  </si>
  <si>
    <t>Capital Work in Progress</t>
  </si>
  <si>
    <t>Investments</t>
  </si>
  <si>
    <t>Inventories</t>
  </si>
  <si>
    <t>Sundry Debtors</t>
  </si>
  <si>
    <t>Cash and Bank Balance</t>
  </si>
  <si>
    <t>Total Current Assets</t>
  </si>
  <si>
    <t>Loans and Advances</t>
  </si>
  <si>
    <t>Total CA, Loans &amp; Advances</t>
  </si>
  <si>
    <t>Current Liabilities</t>
  </si>
  <si>
    <t>Provisions</t>
  </si>
  <si>
    <t>Total CL &amp; Provisions</t>
  </si>
  <si>
    <t>Net Current Assets</t>
  </si>
  <si>
    <t>Total Assets</t>
  </si>
  <si>
    <t>Contingent Liabilities</t>
  </si>
  <si>
    <t>Book Value (Rs)</t>
  </si>
  <si>
    <t>tandalone Profit &amp; Loss account</t>
  </si>
  <si>
    <t>Berger Paints India</t>
  </si>
  <si>
    <t>EQUITIES AND LIABILITIES</t>
  </si>
  <si>
    <t>SHAREHOLDER'S FUNDS</t>
  </si>
  <si>
    <t>Reserves and Surplus</t>
  </si>
  <si>
    <t>Total Reserves and Surplus</t>
  </si>
  <si>
    <t>Total Shareholders Funds</t>
  </si>
  <si>
    <t>NON-CURRENT LIABILITIES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</si>
  <si>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</si>
  <si>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</si>
  <si>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</si>
  <si>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</si>
  <si>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</si>
  <si>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</si>
  <si>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</si>
  <si>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</si>
  <si>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</si>
  <si>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</si>
  <si>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</si>
  <si>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</si>
  <si>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</si>
  <si>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</si>
  <si>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</si>
  <si>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</si>
  <si>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Fixed Assets</t>
  </si>
  <si>
    <t>Non-Current Investments</t>
  </si>
  <si>
    <t>Long Term Loans And Advances</t>
  </si>
  <si>
    <t>Other Non-Current Assets</t>
  </si>
  <si>
    <t>Total Non-Current Assets</t>
  </si>
  <si>
    <t>CURRENT ASSETS</t>
  </si>
  <si>
    <t>Current Investments</t>
  </si>
  <si>
    <t>Trade Receivables</t>
  </si>
  <si>
    <t>Cash And Cash Equivalents</t>
  </si>
  <si>
    <t>Short Term Loans And Advances</t>
  </si>
  <si>
    <t>OtherCurrentAssets</t>
  </si>
  <si>
    <t>CONTINGENT LIABILITIES, COMMITMENTS</t>
  </si>
  <si>
    <t>CIF VALUE OF IMPORTS</t>
  </si>
  <si>
    <t>EXPENDITURE IN FOREIGN EXCHANGE</t>
  </si>
  <si>
    <t>Expenditure In Foreign Currency</t>
  </si>
  <si>
    <t>REMITTANCES IN FOREIGN CURRENCIES FOR DIVIDENDS</t>
  </si>
  <si>
    <t>Dividend Remittance In Foreign Currency</t>
  </si>
  <si>
    <t>-</t>
  </si>
  <si>
    <t>EARNINGS IN FOREIGN EXCHANGE</t>
  </si>
  <si>
    <t>FOB Value Of Goods</t>
  </si>
  <si>
    <t>Other Earnings</t>
  </si>
  <si>
    <t>BONUS DETAILS</t>
  </si>
  <si>
    <t>Bonus Equity Share Capital</t>
  </si>
  <si>
    <t>NON-CURRENT INVESTMENTS</t>
  </si>
  <si>
    <t>Non-Current Investments Quoted Market Value</t>
  </si>
  <si>
    <t>Non-Current Investments Unquoted Book Value</t>
  </si>
  <si>
    <t>CURRENT INVESTMENTS</t>
  </si>
  <si>
    <t>Current Investments Quoted Market Value</t>
  </si>
  <si>
    <t>Current Investments Unquoted Book Value</t>
  </si>
  <si>
    <t>Kansai Nerolac Paints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</si>
</sst>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%"/>
    <numFmt numFmtId="165" formatCode="0.00000000000000000%"/>
    <numFmt numFmtId="166" formatCode="0.0%"/>
  </numFmts>
  <fonts count="34">
    <font>
      <sz val="12"/>
      <color theme="1"/>
      <name val="Calibri"/>
      <family val="2"/>
      <scheme val="minor"/>
    </font>
    <font>
      <i/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1"/>
      <color rgb="FF444444"/>
      <name val="Calibri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Arial"/>
      <family val="2"/>
    </font>
    <font>
      <b/>
      <sz val="8"/>
      <color rgb="FF000000"/>
      <name val="Tahoma"/>
      <family val="2"/>
    </font>
    <font>
      <b/>
      <sz val="8"/>
      <color rgb="FFFB9646"/>
      <name val="Tahoma"/>
      <family val="2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8"/>
      <color rgb="FF000000"/>
      <name val="Montserrat"/>
      <charset val="1"/>
    </font>
    <font>
      <sz val="8"/>
      <color rgb="FF000000"/>
      <name val="Montserrat"/>
      <charset val="1"/>
    </font>
    <font>
      <b/>
      <sz val="8"/>
      <color rgb="FF7B797B"/>
      <name val="Montserrat"/>
      <charset val="1"/>
    </font>
    <font>
      <sz val="8"/>
      <color rgb="FF000000"/>
      <name val="Retina"/>
      <charset val="1"/>
    </font>
    <font>
      <sz val="12"/>
      <color rgb="FFED7D3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ED7D31"/>
      <name val="Calibri"/>
      <family val="2"/>
    </font>
    <font>
      <b/>
      <sz val="10"/>
      <color rgb="FF000000"/>
      <name val="Calibri"/>
    </font>
    <font>
      <b/>
      <sz val="11"/>
      <color rgb="FF000000"/>
      <name val="Calibri"/>
    </font>
    <font>
      <sz val="10"/>
      <color rgb="FF000000"/>
      <name val="Arial"/>
    </font>
    <font>
      <sz val="8"/>
      <color rgb="FF000000"/>
      <name val="Calibri"/>
    </font>
    <font>
      <sz val="11"/>
      <color rgb="FF000000"/>
      <name val="Calibri"/>
    </font>
    <font>
      <sz val="6"/>
      <color rgb="FF000000"/>
      <name val="Arial"/>
    </font>
    <font>
      <sz val="10"/>
      <color rgb="FF000000"/>
      <name val="Calibri"/>
    </font>
    <font>
      <sz val="10"/>
      <color rgb="FF000000"/>
      <name val="Times New Roman"/>
      <family val="1"/>
    </font>
    <font>
      <b/>
      <sz val="10"/>
      <color rgb="FF232A31"/>
      <name val="Calibri"/>
    </font>
    <font>
      <b/>
      <sz val="8"/>
      <color rgb="FF666666"/>
      <name val="Arial"/>
    </font>
    <font>
      <sz val="8"/>
      <color rgb="FF232A31"/>
      <name val="Arial"/>
    </font>
    <font>
      <b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4F81BD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8EB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4472C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EEEEEE"/>
      </left>
      <right style="thin">
        <color rgb="FFEEEEEE"/>
      </right>
      <top/>
      <bottom/>
      <diagonal/>
    </border>
    <border>
      <left style="thin">
        <color rgb="FFEEEEEE"/>
      </left>
      <right/>
      <top/>
      <bottom/>
      <diagonal/>
    </border>
    <border>
      <left/>
      <right style="thin">
        <color rgb="FFEEEEEE"/>
      </right>
      <top/>
      <bottom/>
      <diagonal/>
    </border>
    <border>
      <left/>
      <right/>
      <top/>
      <bottom style="thin">
        <color rgb="FFEEEEEE"/>
      </bottom>
      <diagonal/>
    </border>
    <border>
      <left style="thin">
        <color rgb="FFDDDDDD"/>
      </left>
      <right/>
      <top/>
      <bottom style="thin">
        <color rgb="FFEEEEEE"/>
      </bottom>
      <diagonal/>
    </border>
    <border>
      <left/>
      <right/>
      <top style="thin">
        <color rgb="FFEEEEEE"/>
      </top>
      <bottom style="thin">
        <color rgb="FFEEEEEE"/>
      </bottom>
      <diagonal/>
    </border>
    <border>
      <left style="thin">
        <color rgb="FFEEEEEE"/>
      </left>
      <right/>
      <top style="thin">
        <color rgb="FFEEEEEE"/>
      </top>
      <bottom style="thin">
        <color rgb="FFEEEEEE"/>
      </bottom>
      <diagonal/>
    </border>
    <border>
      <left style="thin">
        <color rgb="FFE5E5E5"/>
      </left>
      <right/>
      <top/>
      <bottom style="thin">
        <color rgb="FFE5E5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5E5E5"/>
      </bottom>
      <diagonal/>
    </border>
    <border>
      <left style="medium">
        <color rgb="FFE5E5E5"/>
      </left>
      <right/>
      <top/>
      <bottom style="medium">
        <color rgb="FFE5E5E5"/>
      </bottom>
      <diagonal/>
    </border>
    <border>
      <left style="medium">
        <color rgb="FFE7E7E7"/>
      </left>
      <right style="medium">
        <color rgb="FFE7E7E7"/>
      </right>
      <top style="medium">
        <color rgb="FFE7E7E7"/>
      </top>
      <bottom style="medium">
        <color rgb="FFE7E7E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19">
    <xf numFmtId="0" fontId="0" fillId="0" borderId="0" xfId="0"/>
    <xf numFmtId="0" fontId="2" fillId="3" borderId="3" xfId="0" applyFont="1" applyFill="1" applyBorder="1"/>
    <xf numFmtId="14" fontId="2" fillId="3" borderId="4" xfId="0" applyNumberFormat="1" applyFont="1" applyFill="1" applyBorder="1"/>
    <xf numFmtId="0" fontId="3" fillId="2" borderId="5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10" fontId="0" fillId="0" borderId="0" xfId="0" applyNumberFormat="1"/>
    <xf numFmtId="0" fontId="2" fillId="0" borderId="3" xfId="0" applyFont="1" applyBorder="1"/>
    <xf numFmtId="14" fontId="2" fillId="0" borderId="4" xfId="0" applyNumberFormat="1" applyFont="1" applyBorder="1"/>
    <xf numFmtId="0" fontId="1" fillId="0" borderId="2" xfId="0" applyFont="1" applyBorder="1"/>
    <xf numFmtId="0" fontId="0" fillId="0" borderId="0" xfId="0" quotePrefix="1"/>
    <xf numFmtId="9" fontId="0" fillId="0" borderId="0" xfId="0" applyNumberFormat="1"/>
    <xf numFmtId="0" fontId="3" fillId="0" borderId="2" xfId="0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10" fontId="0" fillId="6" borderId="0" xfId="0" applyNumberFormat="1" applyFill="1"/>
    <xf numFmtId="10" fontId="0" fillId="7" borderId="0" xfId="0" applyNumberFormat="1" applyFill="1"/>
    <xf numFmtId="0" fontId="0" fillId="8" borderId="0" xfId="0" applyFill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0" fontId="0" fillId="4" borderId="0" xfId="0" quotePrefix="1" applyFill="1"/>
    <xf numFmtId="10" fontId="0" fillId="5" borderId="0" xfId="0" applyNumberFormat="1" applyFill="1"/>
    <xf numFmtId="0" fontId="5" fillId="9" borderId="6" xfId="0" applyFont="1" applyFill="1" applyBorder="1"/>
    <xf numFmtId="0" fontId="5" fillId="10" borderId="6" xfId="0" applyFont="1" applyFill="1" applyBorder="1"/>
    <xf numFmtId="16" fontId="5" fillId="10" borderId="6" xfId="0" applyNumberFormat="1" applyFont="1" applyFill="1" applyBorder="1"/>
    <xf numFmtId="0" fontId="0" fillId="10" borderId="0" xfId="0" applyFill="1"/>
    <xf numFmtId="0" fontId="5" fillId="9" borderId="0" xfId="0" applyFont="1" applyFill="1"/>
    <xf numFmtId="0" fontId="6" fillId="10" borderId="6" xfId="0" applyFont="1" applyFill="1" applyBorder="1"/>
    <xf numFmtId="0" fontId="5" fillId="10" borderId="7" xfId="0" applyFont="1" applyFill="1" applyBorder="1"/>
    <xf numFmtId="0" fontId="5" fillId="10" borderId="8" xfId="0" applyFont="1" applyFill="1" applyBorder="1"/>
    <xf numFmtId="4" fontId="5" fillId="10" borderId="6" xfId="0" applyNumberFormat="1" applyFont="1" applyFill="1" applyBorder="1"/>
    <xf numFmtId="4" fontId="5" fillId="9" borderId="6" xfId="0" applyNumberFormat="1" applyFont="1" applyFill="1" applyBorder="1"/>
    <xf numFmtId="4" fontId="6" fillId="10" borderId="6" xfId="0" applyNumberFormat="1" applyFont="1" applyFill="1" applyBorder="1"/>
    <xf numFmtId="0" fontId="7" fillId="10" borderId="6" xfId="0" applyFont="1" applyFill="1" applyBorder="1"/>
    <xf numFmtId="0" fontId="5" fillId="9" borderId="6" xfId="0" quotePrefix="1" applyFont="1" applyFill="1" applyBorder="1"/>
    <xf numFmtId="0" fontId="10" fillId="10" borderId="0" xfId="0" applyFont="1" applyFill="1"/>
    <xf numFmtId="0" fontId="11" fillId="10" borderId="0" xfId="1" applyFill="1"/>
    <xf numFmtId="0" fontId="6" fillId="10" borderId="6" xfId="0" quotePrefix="1" applyFont="1" applyFill="1" applyBorder="1"/>
    <xf numFmtId="0" fontId="6" fillId="6" borderId="6" xfId="0" applyFont="1" applyFill="1" applyBorder="1"/>
    <xf numFmtId="0" fontId="12" fillId="11" borderId="10" xfId="0" applyFont="1" applyFill="1" applyBorder="1" applyAlignment="1">
      <alignment wrapText="1"/>
    </xf>
    <xf numFmtId="0" fontId="13" fillId="10" borderId="9" xfId="0" applyFont="1" applyFill="1" applyBorder="1" applyAlignment="1">
      <alignment wrapText="1"/>
    </xf>
    <xf numFmtId="0" fontId="13" fillId="10" borderId="10" xfId="0" applyFont="1" applyFill="1" applyBorder="1" applyAlignment="1">
      <alignment wrapText="1"/>
    </xf>
    <xf numFmtId="0" fontId="14" fillId="10" borderId="9" xfId="0" applyFont="1" applyFill="1" applyBorder="1" applyAlignment="1">
      <alignment wrapText="1"/>
    </xf>
    <xf numFmtId="0" fontId="14" fillId="10" borderId="10" xfId="0" applyFont="1" applyFill="1" applyBorder="1" applyAlignment="1">
      <alignment wrapText="1"/>
    </xf>
    <xf numFmtId="0" fontId="12" fillId="10" borderId="9" xfId="0" applyFont="1" applyFill="1" applyBorder="1" applyAlignment="1">
      <alignment wrapText="1"/>
    </xf>
    <xf numFmtId="0" fontId="12" fillId="10" borderId="10" xfId="0" applyFont="1" applyFill="1" applyBorder="1" applyAlignment="1">
      <alignment wrapText="1"/>
    </xf>
    <xf numFmtId="0" fontId="13" fillId="10" borderId="0" xfId="0" applyFont="1" applyFill="1" applyAlignment="1">
      <alignment wrapText="1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15" fillId="0" borderId="13" xfId="0" applyFont="1" applyBorder="1" applyAlignment="1">
      <alignment wrapText="1"/>
    </xf>
    <xf numFmtId="3" fontId="15" fillId="0" borderId="13" xfId="0" applyNumberFormat="1" applyFont="1" applyBorder="1" applyAlignment="1">
      <alignment wrapText="1"/>
    </xf>
    <xf numFmtId="0" fontId="16" fillId="14" borderId="0" xfId="0" applyFont="1" applyFill="1"/>
    <xf numFmtId="0" fontId="0" fillId="15" borderId="0" xfId="0" applyFill="1"/>
    <xf numFmtId="10" fontId="0" fillId="15" borderId="0" xfId="0" applyNumberFormat="1" applyFill="1"/>
    <xf numFmtId="0" fontId="17" fillId="4" borderId="0" xfId="0" applyFont="1" applyFill="1"/>
    <xf numFmtId="10" fontId="17" fillId="4" borderId="0" xfId="0" applyNumberFormat="1" applyFont="1" applyFill="1"/>
    <xf numFmtId="3" fontId="0" fillId="0" borderId="0" xfId="0" applyNumberFormat="1"/>
    <xf numFmtId="0" fontId="18" fillId="0" borderId="0" xfId="0" applyFont="1"/>
    <xf numFmtId="0" fontId="19" fillId="0" borderId="0" xfId="0" applyFont="1"/>
    <xf numFmtId="0" fontId="20" fillId="16" borderId="0" xfId="0" applyFont="1" applyFill="1"/>
    <xf numFmtId="0" fontId="20" fillId="17" borderId="0" xfId="0" applyFont="1" applyFill="1"/>
    <xf numFmtId="10" fontId="20" fillId="17" borderId="0" xfId="0" applyNumberFormat="1" applyFont="1" applyFill="1"/>
    <xf numFmtId="10" fontId="20" fillId="18" borderId="0" xfId="0" applyNumberFormat="1" applyFont="1" applyFill="1"/>
    <xf numFmtId="0" fontId="20" fillId="0" borderId="0" xfId="0" applyFont="1"/>
    <xf numFmtId="10" fontId="20" fillId="0" borderId="0" xfId="0" applyNumberFormat="1" applyFont="1"/>
    <xf numFmtId="0" fontId="20" fillId="19" borderId="0" xfId="0" applyFont="1" applyFill="1"/>
    <xf numFmtId="0" fontId="21" fillId="19" borderId="0" xfId="0" applyFont="1" applyFill="1"/>
    <xf numFmtId="0" fontId="20" fillId="20" borderId="0" xfId="0" applyFont="1" applyFill="1"/>
    <xf numFmtId="0" fontId="20" fillId="21" borderId="0" xfId="0" applyFont="1" applyFill="1"/>
    <xf numFmtId="0" fontId="20" fillId="22" borderId="0" xfId="0" applyFont="1" applyFill="1"/>
    <xf numFmtId="0" fontId="19" fillId="16" borderId="0" xfId="0" applyFont="1" applyFill="1"/>
    <xf numFmtId="10" fontId="20" fillId="23" borderId="0" xfId="0" applyNumberFormat="1" applyFont="1" applyFill="1"/>
    <xf numFmtId="0" fontId="22" fillId="0" borderId="14" xfId="0" applyFont="1" applyBorder="1"/>
    <xf numFmtId="0" fontId="22" fillId="0" borderId="15" xfId="0" applyFont="1" applyBorder="1"/>
    <xf numFmtId="0" fontId="23" fillId="0" borderId="0" xfId="0" applyFont="1"/>
    <xf numFmtId="0" fontId="22" fillId="0" borderId="3" xfId="0" applyFont="1" applyBorder="1"/>
    <xf numFmtId="0" fontId="22" fillId="0" borderId="4" xfId="0" applyFont="1" applyBorder="1"/>
    <xf numFmtId="0" fontId="24" fillId="0" borderId="4" xfId="0" applyFont="1" applyBorder="1" applyAlignment="1">
      <alignment wrapText="1"/>
    </xf>
    <xf numFmtId="3" fontId="24" fillId="0" borderId="4" xfId="0" applyNumberFormat="1" applyFont="1" applyBorder="1" applyAlignment="1">
      <alignment wrapText="1"/>
    </xf>
    <xf numFmtId="0" fontId="25" fillId="0" borderId="0" xfId="0" applyFont="1" applyAlignment="1">
      <alignment wrapText="1"/>
    </xf>
    <xf numFmtId="0" fontId="26" fillId="0" borderId="0" xfId="0" applyFont="1"/>
    <xf numFmtId="0" fontId="27" fillId="0" borderId="16" xfId="0" applyFont="1" applyBorder="1" applyAlignment="1">
      <alignment wrapText="1"/>
    </xf>
    <xf numFmtId="0" fontId="28" fillId="0" borderId="4" xfId="0" applyFont="1" applyBorder="1"/>
    <xf numFmtId="3" fontId="28" fillId="0" borderId="4" xfId="0" applyNumberFormat="1" applyFont="1" applyBorder="1"/>
    <xf numFmtId="3" fontId="23" fillId="0" borderId="0" xfId="0" applyNumberFormat="1" applyFont="1"/>
    <xf numFmtId="10" fontId="29" fillId="0" borderId="4" xfId="0" applyNumberFormat="1" applyFont="1" applyBorder="1"/>
    <xf numFmtId="0" fontId="23" fillId="0" borderId="14" xfId="0" applyFont="1" applyBorder="1"/>
    <xf numFmtId="0" fontId="26" fillId="0" borderId="15" xfId="0" applyFont="1" applyBorder="1"/>
    <xf numFmtId="9" fontId="26" fillId="0" borderId="15" xfId="0" applyNumberFormat="1" applyFont="1" applyBorder="1"/>
    <xf numFmtId="9" fontId="23" fillId="0" borderId="0" xfId="0" applyNumberFormat="1" applyFont="1"/>
    <xf numFmtId="0" fontId="23" fillId="0" borderId="3" xfId="0" applyFont="1" applyBorder="1"/>
    <xf numFmtId="0" fontId="26" fillId="0" borderId="4" xfId="0" applyFont="1" applyBorder="1"/>
    <xf numFmtId="3" fontId="26" fillId="0" borderId="4" xfId="0" applyNumberFormat="1" applyFont="1" applyBorder="1"/>
    <xf numFmtId="10" fontId="23" fillId="0" borderId="0" xfId="0" applyNumberFormat="1" applyFont="1"/>
    <xf numFmtId="10" fontId="26" fillId="0" borderId="4" xfId="0" applyNumberFormat="1" applyFont="1" applyBorder="1"/>
    <xf numFmtId="9" fontId="26" fillId="0" borderId="0" xfId="0" applyNumberFormat="1" applyFont="1"/>
    <xf numFmtId="0" fontId="27" fillId="0" borderId="17" xfId="0" applyFont="1" applyBorder="1" applyAlignment="1">
      <alignment wrapText="1"/>
    </xf>
    <xf numFmtId="10" fontId="26" fillId="0" borderId="0" xfId="0" applyNumberFormat="1" applyFont="1"/>
    <xf numFmtId="0" fontId="30" fillId="0" borderId="0" xfId="0" applyFont="1"/>
    <xf numFmtId="0" fontId="31" fillId="0" borderId="18" xfId="0" applyFont="1" applyBorder="1" applyAlignment="1">
      <alignment wrapText="1"/>
    </xf>
    <xf numFmtId="0" fontId="32" fillId="0" borderId="0" xfId="0" applyFont="1"/>
    <xf numFmtId="0" fontId="26" fillId="0" borderId="19" xfId="0" applyFont="1" applyBorder="1"/>
    <xf numFmtId="9" fontId="26" fillId="0" borderId="19" xfId="0" applyNumberFormat="1" applyFont="1" applyBorder="1"/>
    <xf numFmtId="166" fontId="20" fillId="0" borderId="0" xfId="0" applyNumberFormat="1" applyFont="1"/>
    <xf numFmtId="0" fontId="19" fillId="24" borderId="0" xfId="0" applyFont="1" applyFill="1"/>
    <xf numFmtId="0" fontId="0" fillId="24" borderId="0" xfId="0" applyFill="1"/>
    <xf numFmtId="0" fontId="33" fillId="0" borderId="0" xfId="0" applyFont="1"/>
    <xf numFmtId="0" fontId="12" fillId="11" borderId="11" xfId="0" applyFont="1" applyFill="1" applyBorder="1" applyAlignment="1">
      <alignment wrapText="1"/>
    </xf>
    <xf numFmtId="0" fontId="12" fillId="11" borderId="12" xfId="0" applyFont="1" applyFill="1" applyBorder="1" applyAlignment="1">
      <alignment wrapText="1"/>
    </xf>
    <xf numFmtId="0" fontId="5" fillId="9" borderId="0" xfId="0" applyFont="1" applyFill="1" applyAlignment="1"/>
    <xf numFmtId="0" fontId="5" fillId="10" borderId="7" xfId="0" applyFont="1" applyFill="1" applyBorder="1" applyAlignment="1"/>
    <xf numFmtId="0" fontId="5" fillId="10" borderId="8" xfId="0" applyFont="1" applyFill="1" applyBorder="1" applyAlignment="1"/>
    <xf numFmtId="0" fontId="6" fillId="10" borderId="0" xfId="0" applyFont="1" applyFill="1" applyAlignment="1"/>
    <xf numFmtId="0" fontId="7" fillId="10" borderId="0" xfId="0" applyFont="1" applyFill="1" applyAlignment="1"/>
    <xf numFmtId="0" fontId="8" fillId="10" borderId="0" xfId="0" applyFont="1" applyFill="1" applyAlignment="1"/>
    <xf numFmtId="0" fontId="7" fillId="10" borderId="9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;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;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DA757-33FF-4E83-BC8B-779678D8ECC0}">
  <dimension ref="A2:U49"/>
  <sheetViews>
    <sheetView topLeftCell="A3" workbookViewId="0">
      <selection activeCell="F27" sqref="F27"/>
    </sheetView>
  </sheetViews>
  <sheetFormatPr defaultColWidth="11" defaultRowHeight="15.95"/>
  <cols>
    <col min="1" max="1" width="28.5" customWidth="1"/>
    <col min="2" max="2" width="25" customWidth="1"/>
  </cols>
  <sheetData>
    <row r="2" spans="1:21">
      <c r="A2" t="s">
        <v>0</v>
      </c>
    </row>
    <row r="3" spans="1:21">
      <c r="A3" t="s">
        <v>1</v>
      </c>
    </row>
    <row r="4" spans="1:21">
      <c r="A4" t="s">
        <v>2</v>
      </c>
    </row>
    <row r="5" spans="1:21">
      <c r="A5" t="s">
        <v>3</v>
      </c>
    </row>
    <row r="6" spans="1:21">
      <c r="A6" t="s">
        <v>4</v>
      </c>
    </row>
    <row r="7" spans="1:21">
      <c r="A7" t="s">
        <v>5</v>
      </c>
    </row>
    <row r="8" spans="1:21">
      <c r="A8" t="s">
        <v>6</v>
      </c>
    </row>
    <row r="9" spans="1:21" hidden="1"/>
    <row r="10" spans="1:21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3"/>
      <c r="B11">
        <v>18</v>
      </c>
      <c r="C11">
        <v>19</v>
      </c>
      <c r="D11">
        <v>20</v>
      </c>
      <c r="E11">
        <v>21</v>
      </c>
      <c r="F11">
        <v>22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3" spans="1:21">
      <c r="A13" t="s">
        <v>7</v>
      </c>
      <c r="B13">
        <v>21.26</v>
      </c>
      <c r="C13">
        <v>22.48</v>
      </c>
      <c r="D13">
        <v>28.2</v>
      </c>
      <c r="E13">
        <v>32.729999999999997</v>
      </c>
      <c r="F13">
        <v>31.59</v>
      </c>
    </row>
    <row r="14" spans="1:21">
      <c r="A14" t="s">
        <v>8</v>
      </c>
      <c r="B14">
        <v>8.6999999999999993</v>
      </c>
      <c r="C14">
        <v>10.5</v>
      </c>
      <c r="D14">
        <v>12</v>
      </c>
      <c r="E14">
        <v>17.850000000000001</v>
      </c>
      <c r="F14">
        <v>19.149999999999999</v>
      </c>
    </row>
    <row r="17" spans="1:6">
      <c r="A17" t="s">
        <v>9</v>
      </c>
      <c r="B17" s="6">
        <v>0.2424</v>
      </c>
      <c r="C17" s="6">
        <v>0.2276</v>
      </c>
      <c r="D17" s="6">
        <v>0.26700000000000002</v>
      </c>
      <c r="E17" s="6">
        <v>0.24510000000000001</v>
      </c>
      <c r="F17" s="6">
        <v>0.21940000000000001</v>
      </c>
    </row>
    <row r="18" spans="1:6">
      <c r="A18" t="s">
        <v>10</v>
      </c>
      <c r="B18">
        <v>24</v>
      </c>
    </row>
    <row r="19" spans="1:6">
      <c r="A19" t="s">
        <v>11</v>
      </c>
      <c r="B19">
        <f>B14/B13</f>
        <v>0.4092191909689557</v>
      </c>
      <c r="C19">
        <f t="shared" ref="C19:F19" si="0">C14/C13</f>
        <v>0.4670818505338078</v>
      </c>
      <c r="D19">
        <f t="shared" si="0"/>
        <v>0.42553191489361702</v>
      </c>
      <c r="E19">
        <f t="shared" si="0"/>
        <v>0.54537121906507802</v>
      </c>
      <c r="F19">
        <f t="shared" si="0"/>
        <v>0.60620449509338392</v>
      </c>
    </row>
    <row r="20" spans="1:6">
      <c r="A20" t="s">
        <v>12</v>
      </c>
      <c r="B20">
        <f>1-B19</f>
        <v>0.59078080903104424</v>
      </c>
      <c r="C20">
        <f t="shared" ref="C20:F20" si="1">1-C19</f>
        <v>0.5329181494661922</v>
      </c>
      <c r="D20">
        <f t="shared" si="1"/>
        <v>0.57446808510638303</v>
      </c>
      <c r="E20">
        <f t="shared" si="1"/>
        <v>0.45462878093492198</v>
      </c>
      <c r="F20">
        <f t="shared" si="1"/>
        <v>0.39379550490661608</v>
      </c>
    </row>
    <row r="21" spans="1:6">
      <c r="A21" t="s">
        <v>13</v>
      </c>
      <c r="B21">
        <f>B20*$B$18</f>
        <v>14.178739416745062</v>
      </c>
      <c r="C21">
        <f t="shared" ref="C21:F21" si="2">C20*$B$18</f>
        <v>12.790035587188612</v>
      </c>
      <c r="D21">
        <f t="shared" si="2"/>
        <v>13.787234042553193</v>
      </c>
      <c r="E21">
        <f t="shared" si="2"/>
        <v>10.911090742438127</v>
      </c>
      <c r="F21">
        <f t="shared" si="2"/>
        <v>9.4510921177587868</v>
      </c>
    </row>
    <row r="22" spans="1:6">
      <c r="A22" t="s">
        <v>14</v>
      </c>
      <c r="B22">
        <f>AVERAGE(B21:F21)</f>
        <v>12.223638381336755</v>
      </c>
      <c r="C22">
        <v>1.1200000000000001</v>
      </c>
    </row>
    <row r="23" spans="1:6">
      <c r="A23" t="s">
        <v>15</v>
      </c>
      <c r="B23">
        <f>B22/B18</f>
        <v>0.50931826588903151</v>
      </c>
    </row>
    <row r="24" spans="1:6">
      <c r="A24" t="s">
        <v>16</v>
      </c>
      <c r="B24">
        <f>1-B23</f>
        <v>0.49068173411096849</v>
      </c>
    </row>
    <row r="25" spans="1:6">
      <c r="A25" t="s">
        <v>17</v>
      </c>
    </row>
    <row r="26" spans="1:6">
      <c r="A26" t="s">
        <v>18</v>
      </c>
      <c r="B26">
        <v>8.9</v>
      </c>
      <c r="C26">
        <v>1.089</v>
      </c>
    </row>
    <row r="27" spans="1:6">
      <c r="A27" t="s">
        <v>19</v>
      </c>
      <c r="B27" t="s">
        <v>20</v>
      </c>
      <c r="C27" t="s">
        <v>7</v>
      </c>
      <c r="D27" t="s">
        <v>21</v>
      </c>
      <c r="E27" t="s">
        <v>22</v>
      </c>
      <c r="F27" t="s">
        <v>23</v>
      </c>
    </row>
    <row r="28" spans="1:6">
      <c r="A28">
        <v>2023</v>
      </c>
      <c r="B28">
        <f>$B$22</f>
        <v>12.223638381336755</v>
      </c>
      <c r="C28">
        <f>F13*$C$22</f>
        <v>35.380800000000001</v>
      </c>
      <c r="D28">
        <f>C28*$B$24</f>
        <v>17.360712298233356</v>
      </c>
      <c r="E28">
        <f>1/C26</f>
        <v>0.91827364554637281</v>
      </c>
      <c r="F28">
        <f>D28*E28</f>
        <v>15.941884571380491</v>
      </c>
    </row>
    <row r="29" spans="1:6">
      <c r="A29">
        <v>2024</v>
      </c>
      <c r="B29">
        <f t="shared" ref="B29:B32" si="3">$B$22</f>
        <v>12.223638381336755</v>
      </c>
      <c r="C29">
        <f>C28*$C$22</f>
        <v>39.626496000000003</v>
      </c>
      <c r="D29">
        <f t="shared" ref="D29:D32" si="4">C29*$B$24</f>
        <v>19.443997774021359</v>
      </c>
      <c r="E29">
        <f>1/C26^2</f>
        <v>0.84322648810502554</v>
      </c>
      <c r="F29">
        <f t="shared" ref="F29:F32" si="5">D29*E29</f>
        <v>16.395693957709963</v>
      </c>
    </row>
    <row r="30" spans="1:6">
      <c r="A30">
        <v>2025</v>
      </c>
      <c r="B30">
        <f t="shared" si="3"/>
        <v>12.223638381336755</v>
      </c>
      <c r="C30">
        <f t="shared" ref="C30:C32" si="6">C29*$C$22</f>
        <v>44.381675520000009</v>
      </c>
      <c r="D30">
        <f t="shared" si="4"/>
        <v>21.777277506903925</v>
      </c>
      <c r="E30">
        <f>1/C26^3</f>
        <v>0.77431266125346698</v>
      </c>
      <c r="F30">
        <f t="shared" si="5"/>
        <v>16.862421701226044</v>
      </c>
    </row>
    <row r="31" spans="1:6">
      <c r="A31">
        <v>2026</v>
      </c>
      <c r="B31">
        <f t="shared" si="3"/>
        <v>12.223638381336755</v>
      </c>
      <c r="C31">
        <f t="shared" si="6"/>
        <v>49.707476582400012</v>
      </c>
      <c r="D31">
        <f t="shared" si="4"/>
        <v>24.390550807732396</v>
      </c>
      <c r="E31">
        <f>1/C26^4</f>
        <v>0.71103091024193477</v>
      </c>
      <c r="F31">
        <f t="shared" si="5"/>
        <v>17.342435542124122</v>
      </c>
    </row>
    <row r="32" spans="1:6">
      <c r="A32">
        <v>2027</v>
      </c>
      <c r="B32">
        <f t="shared" si="3"/>
        <v>12.223638381336755</v>
      </c>
      <c r="C32">
        <f t="shared" si="6"/>
        <v>55.672373772288019</v>
      </c>
      <c r="D32">
        <f t="shared" si="4"/>
        <v>27.317416904660284</v>
      </c>
      <c r="E32">
        <f>1/C26^5</f>
        <v>0.65292094604401729</v>
      </c>
      <c r="F32">
        <f t="shared" si="5"/>
        <v>17.836113688869624</v>
      </c>
    </row>
    <row r="34" spans="1:6">
      <c r="E34" t="s">
        <v>24</v>
      </c>
      <c r="F34">
        <f>SUM(F28:F32)</f>
        <v>84.378549461310229</v>
      </c>
    </row>
    <row r="36" spans="1:6">
      <c r="A36" t="s">
        <v>25</v>
      </c>
    </row>
    <row r="37" spans="1:6">
      <c r="A37" t="s">
        <v>26</v>
      </c>
      <c r="B37" s="11">
        <v>0.15</v>
      </c>
    </row>
    <row r="38" spans="1:6">
      <c r="A38" t="s">
        <v>20</v>
      </c>
      <c r="B38" s="11">
        <v>0.08</v>
      </c>
      <c r="C38">
        <v>1.08</v>
      </c>
    </row>
    <row r="39" spans="1:6">
      <c r="A39" t="s">
        <v>7</v>
      </c>
      <c r="B39">
        <f>C32*C38</f>
        <v>60.126163674071066</v>
      </c>
    </row>
    <row r="40" spans="1:6">
      <c r="A40" t="s">
        <v>27</v>
      </c>
      <c r="B40" s="20">
        <f>B38/B37</f>
        <v>0.53333333333333333</v>
      </c>
    </row>
    <row r="41" spans="1:6">
      <c r="A41" t="s">
        <v>28</v>
      </c>
      <c r="B41" s="20">
        <f>1-B40</f>
        <v>0.46666666666666667</v>
      </c>
    </row>
    <row r="42" spans="1:6">
      <c r="A42" t="s">
        <v>29</v>
      </c>
      <c r="B42">
        <f>B41*B39</f>
        <v>28.058876381233166</v>
      </c>
    </row>
    <row r="43" spans="1:6">
      <c r="A43" t="s">
        <v>30</v>
      </c>
      <c r="B43" s="21">
        <f>8.9%-8%</f>
        <v>9.000000000000008E-3</v>
      </c>
    </row>
    <row r="44" spans="1:6">
      <c r="A44" t="s">
        <v>22</v>
      </c>
      <c r="B44">
        <f>B42/B43</f>
        <v>3117.6529312481266</v>
      </c>
    </row>
    <row r="45" spans="1:6">
      <c r="A45" t="s">
        <v>18</v>
      </c>
      <c r="B45" s="11">
        <v>0.08</v>
      </c>
      <c r="C45">
        <v>1.08</v>
      </c>
    </row>
    <row r="46" spans="1:6">
      <c r="A46" t="s">
        <v>31</v>
      </c>
      <c r="B46">
        <f>B44/C45^5</f>
        <v>2121.8221991905016</v>
      </c>
    </row>
    <row r="49" spans="1:2">
      <c r="A49" t="s">
        <v>32</v>
      </c>
      <c r="B49">
        <f>B46+F34</f>
        <v>2206.2007486518119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D43E-DA19-42A8-B271-3FE12DE41A83}">
  <dimension ref="A1:L97"/>
  <sheetViews>
    <sheetView workbookViewId="0">
      <selection activeCell="I14" sqref="I14"/>
    </sheetView>
  </sheetViews>
  <sheetFormatPr defaultColWidth="11" defaultRowHeight="15.95"/>
  <cols>
    <col min="1" max="1" width="45.875" bestFit="1" customWidth="1"/>
  </cols>
  <sheetData>
    <row r="1" spans="1:12" ht="15.75">
      <c r="A1" s="24" t="s">
        <v>162</v>
      </c>
      <c r="B1" s="36" t="s">
        <v>163</v>
      </c>
      <c r="G1" s="41" t="s">
        <v>164</v>
      </c>
      <c r="H1" s="41" t="s">
        <v>165</v>
      </c>
      <c r="I1" s="41" t="s">
        <v>166</v>
      </c>
      <c r="J1" s="41" t="s">
        <v>167</v>
      </c>
      <c r="K1" s="41" t="s">
        <v>168</v>
      </c>
      <c r="L1" s="27"/>
    </row>
    <row r="2" spans="1:12" ht="15.75">
      <c r="A2" s="25" t="s">
        <v>80</v>
      </c>
      <c r="B2" s="26">
        <v>44642</v>
      </c>
      <c r="C2" s="26">
        <v>44641</v>
      </c>
      <c r="D2" s="26">
        <v>44640</v>
      </c>
      <c r="E2" s="26">
        <v>44639</v>
      </c>
      <c r="F2" s="26">
        <v>44638</v>
      </c>
      <c r="G2" s="42" t="s">
        <v>80</v>
      </c>
      <c r="H2" s="43" t="s">
        <v>169</v>
      </c>
      <c r="I2" s="43" t="s">
        <v>169</v>
      </c>
      <c r="J2" s="43" t="s">
        <v>169</v>
      </c>
      <c r="K2" s="43" t="s">
        <v>169</v>
      </c>
      <c r="L2" s="43" t="s">
        <v>169</v>
      </c>
    </row>
    <row r="3" spans="1:12" ht="15.75">
      <c r="A3" s="28"/>
      <c r="B3" s="28"/>
      <c r="C3" s="28"/>
      <c r="D3" s="28"/>
      <c r="E3" s="28"/>
      <c r="F3" s="28"/>
      <c r="G3" s="110" t="s">
        <v>170</v>
      </c>
      <c r="H3" s="110"/>
      <c r="I3" s="110"/>
      <c r="J3" s="110"/>
      <c r="K3" s="110"/>
      <c r="L3" s="110"/>
    </row>
    <row r="4" spans="1:12" ht="15.75">
      <c r="A4" s="29" t="s">
        <v>80</v>
      </c>
      <c r="B4" s="29" t="s">
        <v>171</v>
      </c>
      <c r="C4" s="29" t="s">
        <v>171</v>
      </c>
      <c r="D4" s="29" t="s">
        <v>171</v>
      </c>
      <c r="E4" s="29" t="s">
        <v>171</v>
      </c>
      <c r="F4" s="29" t="s">
        <v>171</v>
      </c>
      <c r="G4" s="42" t="s">
        <v>172</v>
      </c>
      <c r="H4" s="43">
        <v>25188.51</v>
      </c>
      <c r="I4" s="43">
        <v>18516.86</v>
      </c>
      <c r="J4" s="43">
        <v>17194.09</v>
      </c>
      <c r="K4" s="43">
        <v>16391.78</v>
      </c>
      <c r="L4" s="43">
        <v>14559.55</v>
      </c>
    </row>
    <row r="5" spans="1:12" ht="15.75">
      <c r="A5" s="28"/>
      <c r="B5" s="28"/>
      <c r="C5" s="28"/>
      <c r="D5" s="28"/>
      <c r="E5" s="28"/>
      <c r="F5" s="28"/>
      <c r="G5" s="42" t="s">
        <v>173</v>
      </c>
      <c r="H5" s="43">
        <v>0</v>
      </c>
      <c r="I5" s="43">
        <v>0</v>
      </c>
      <c r="J5" s="43">
        <v>0</v>
      </c>
      <c r="K5" s="43">
        <v>0</v>
      </c>
      <c r="L5" s="43">
        <v>391.69</v>
      </c>
    </row>
    <row r="6" spans="1:12" ht="15.75">
      <c r="A6" s="30" t="s">
        <v>174</v>
      </c>
      <c r="B6" s="31"/>
      <c r="C6" s="25"/>
      <c r="D6" s="25"/>
      <c r="E6" s="25"/>
      <c r="F6" s="25"/>
      <c r="G6" s="44" t="s">
        <v>175</v>
      </c>
      <c r="H6" s="45">
        <v>25188.51</v>
      </c>
      <c r="I6" s="45">
        <v>18516.86</v>
      </c>
      <c r="J6" s="45">
        <v>17194.09</v>
      </c>
      <c r="K6" s="45">
        <v>16391.78</v>
      </c>
      <c r="L6" s="45">
        <v>14167.86</v>
      </c>
    </row>
    <row r="7" spans="1:12" ht="15.75">
      <c r="A7" s="25" t="s">
        <v>176</v>
      </c>
      <c r="B7" s="32">
        <v>25002.09</v>
      </c>
      <c r="C7" s="32">
        <v>18280.060000000001</v>
      </c>
      <c r="D7" s="32">
        <v>17025.61</v>
      </c>
      <c r="E7" s="32">
        <v>16209.44</v>
      </c>
      <c r="F7" s="32">
        <v>14329.17</v>
      </c>
      <c r="G7" s="42" t="s">
        <v>177</v>
      </c>
      <c r="H7" s="43">
        <v>451.89</v>
      </c>
      <c r="I7" s="43">
        <v>366.02</v>
      </c>
      <c r="J7" s="43">
        <v>357.54</v>
      </c>
      <c r="K7" s="43">
        <v>284.81</v>
      </c>
      <c r="L7" s="43">
        <v>277.5</v>
      </c>
    </row>
    <row r="8" spans="1:12" ht="23.25">
      <c r="A8" s="29" t="s">
        <v>178</v>
      </c>
      <c r="B8" s="29">
        <v>0</v>
      </c>
      <c r="C8" s="29">
        <v>0</v>
      </c>
      <c r="D8" s="29">
        <v>0</v>
      </c>
      <c r="E8" s="29">
        <v>0</v>
      </c>
      <c r="F8" s="29">
        <v>391.69</v>
      </c>
      <c r="G8" s="46" t="s">
        <v>179</v>
      </c>
      <c r="H8" s="47">
        <v>25640.400000000001</v>
      </c>
      <c r="I8" s="47">
        <v>18882.88</v>
      </c>
      <c r="J8" s="47">
        <v>17551.63</v>
      </c>
      <c r="K8" s="47">
        <v>16676.59</v>
      </c>
      <c r="L8" s="47">
        <v>14445.36</v>
      </c>
    </row>
    <row r="9" spans="1:12" ht="15.75">
      <c r="A9" s="25" t="s">
        <v>180</v>
      </c>
      <c r="B9" s="32">
        <v>25002.09</v>
      </c>
      <c r="C9" s="32">
        <v>18280.060000000001</v>
      </c>
      <c r="D9" s="32">
        <v>17025.61</v>
      </c>
      <c r="E9" s="32">
        <v>16209.44</v>
      </c>
      <c r="F9" s="32">
        <v>13937.48</v>
      </c>
      <c r="G9" s="111" t="s">
        <v>181</v>
      </c>
      <c r="H9" s="110"/>
      <c r="I9" s="110"/>
      <c r="J9" s="110"/>
      <c r="K9" s="110"/>
      <c r="L9" s="110"/>
    </row>
    <row r="10" spans="1:12" ht="23.25">
      <c r="A10" s="29" t="s">
        <v>182</v>
      </c>
      <c r="B10" s="29">
        <v>186.42</v>
      </c>
      <c r="C10" s="29">
        <v>236.8</v>
      </c>
      <c r="D10" s="29">
        <v>168.48</v>
      </c>
      <c r="E10" s="29">
        <v>182.34</v>
      </c>
      <c r="F10" s="29">
        <v>230.38</v>
      </c>
      <c r="G10" s="42" t="s">
        <v>183</v>
      </c>
      <c r="H10" s="43">
        <v>104.66</v>
      </c>
      <c r="I10" s="43">
        <v>74.709999999999994</v>
      </c>
      <c r="J10" s="43">
        <v>83.3</v>
      </c>
      <c r="K10" s="43">
        <v>88.6</v>
      </c>
      <c r="L10" s="43">
        <v>85.5</v>
      </c>
    </row>
    <row r="11" spans="1:12" ht="23.25">
      <c r="A11" s="25" t="s">
        <v>184</v>
      </c>
      <c r="B11" s="32">
        <v>25188.51</v>
      </c>
      <c r="C11" s="32">
        <v>18516.86</v>
      </c>
      <c r="D11" s="32">
        <v>17194.09</v>
      </c>
      <c r="E11" s="32">
        <v>16391.78</v>
      </c>
      <c r="F11" s="32">
        <v>14167.86</v>
      </c>
      <c r="G11" s="42" t="s">
        <v>185</v>
      </c>
      <c r="H11" s="43">
        <v>15677.17</v>
      </c>
      <c r="I11" s="43">
        <v>10134.81</v>
      </c>
      <c r="J11" s="43">
        <v>9559.9699999999993</v>
      </c>
      <c r="K11" s="43">
        <v>9458.39</v>
      </c>
      <c r="L11" s="43">
        <v>8039.78</v>
      </c>
    </row>
    <row r="12" spans="1:12" ht="23.25">
      <c r="A12" s="29" t="s">
        <v>177</v>
      </c>
      <c r="B12" s="29">
        <v>451.89</v>
      </c>
      <c r="C12" s="29">
        <v>366.02</v>
      </c>
      <c r="D12" s="29">
        <v>357.54</v>
      </c>
      <c r="E12" s="29">
        <v>284.81</v>
      </c>
      <c r="F12" s="29">
        <v>277.5</v>
      </c>
      <c r="G12" s="42" t="s">
        <v>186</v>
      </c>
      <c r="H12" s="43">
        <v>1310.1400000000001</v>
      </c>
      <c r="I12" s="43">
        <v>1128.6600000000001</v>
      </c>
      <c r="J12" s="43">
        <v>985.43</v>
      </c>
      <c r="K12" s="43">
        <v>900.14</v>
      </c>
      <c r="L12" s="43">
        <v>791.08</v>
      </c>
    </row>
    <row r="13" spans="1:12" ht="23.25">
      <c r="A13" s="24" t="s">
        <v>187</v>
      </c>
      <c r="B13" s="33">
        <v>25640.400000000001</v>
      </c>
      <c r="C13" s="33">
        <v>18882.88</v>
      </c>
      <c r="D13" s="33">
        <v>17551.63</v>
      </c>
      <c r="E13" s="33">
        <v>16676.59</v>
      </c>
      <c r="F13" s="33">
        <v>14445.36</v>
      </c>
      <c r="G13" s="42" t="s">
        <v>188</v>
      </c>
      <c r="H13" s="43">
        <v>804.64</v>
      </c>
      <c r="I13" s="43">
        <v>691.85</v>
      </c>
      <c r="J13" s="43">
        <v>782.53</v>
      </c>
      <c r="K13" s="43">
        <v>695.4</v>
      </c>
      <c r="L13" s="43">
        <v>558.24</v>
      </c>
    </row>
    <row r="14" spans="1:12" ht="23.25">
      <c r="A14" s="30" t="s">
        <v>189</v>
      </c>
      <c r="B14" s="31"/>
      <c r="C14" s="25"/>
      <c r="D14" s="25"/>
      <c r="E14" s="25"/>
      <c r="F14" s="25"/>
      <c r="G14" s="42" t="s">
        <v>190</v>
      </c>
      <c r="H14" s="43">
        <v>2704.11</v>
      </c>
      <c r="I14" s="43">
        <v>1994.05</v>
      </c>
      <c r="J14" s="43">
        <v>1925.82</v>
      </c>
      <c r="K14" s="43">
        <v>1744.44</v>
      </c>
      <c r="L14" s="43">
        <v>1772.76</v>
      </c>
    </row>
    <row r="15" spans="1:12" ht="23.25">
      <c r="A15" s="29" t="s">
        <v>191</v>
      </c>
      <c r="B15" s="34">
        <v>13838.9</v>
      </c>
      <c r="C15" s="34">
        <v>8524.17</v>
      </c>
      <c r="D15" s="34">
        <v>8432.51</v>
      </c>
      <c r="E15" s="34">
        <v>8647.82</v>
      </c>
      <c r="F15" s="34">
        <v>7100.16</v>
      </c>
      <c r="G15" s="42" t="s">
        <v>192</v>
      </c>
      <c r="H15" s="43">
        <v>0</v>
      </c>
      <c r="I15" s="43">
        <v>0</v>
      </c>
      <c r="J15" s="43">
        <v>0</v>
      </c>
      <c r="K15" s="43">
        <v>0</v>
      </c>
      <c r="L15" s="43">
        <v>0</v>
      </c>
    </row>
    <row r="16" spans="1:12" ht="23.25">
      <c r="A16" s="29" t="s">
        <v>193</v>
      </c>
      <c r="B16" s="34">
        <v>2978.69</v>
      </c>
      <c r="C16" s="34">
        <v>1649.06</v>
      </c>
      <c r="D16" s="34">
        <v>1283.8800000000001</v>
      </c>
      <c r="E16" s="34">
        <v>1010.66</v>
      </c>
      <c r="F16" s="29">
        <v>742.57</v>
      </c>
      <c r="G16" s="42" t="s">
        <v>194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</row>
    <row r="17" spans="1:12" ht="23.25">
      <c r="A17" s="29" t="s">
        <v>195</v>
      </c>
      <c r="B17" s="34">
        <v>-1208.6300000000001</v>
      </c>
      <c r="C17" s="29">
        <v>-90.7</v>
      </c>
      <c r="D17" s="29">
        <v>-210.21</v>
      </c>
      <c r="E17" s="29">
        <v>-247.86</v>
      </c>
      <c r="F17" s="29">
        <v>154.12</v>
      </c>
      <c r="G17" s="46" t="s">
        <v>196</v>
      </c>
      <c r="H17" s="47">
        <v>20600.72</v>
      </c>
      <c r="I17" s="47">
        <v>14024.08</v>
      </c>
      <c r="J17" s="47">
        <v>13337.05</v>
      </c>
      <c r="K17" s="47">
        <v>12886.97</v>
      </c>
      <c r="L17" s="47">
        <v>11247.36</v>
      </c>
    </row>
    <row r="18" spans="1:12" ht="23.25">
      <c r="A18" s="29" t="s">
        <v>197</v>
      </c>
      <c r="B18" s="34">
        <v>1310.1400000000001</v>
      </c>
      <c r="C18" s="34">
        <v>1128.6600000000001</v>
      </c>
      <c r="D18" s="29">
        <v>985.43</v>
      </c>
      <c r="E18" s="29">
        <v>900.14</v>
      </c>
      <c r="F18" s="29">
        <v>791.08</v>
      </c>
      <c r="G18" s="42" t="s">
        <v>198</v>
      </c>
      <c r="H18" s="43">
        <v>4587.79</v>
      </c>
      <c r="I18" s="43">
        <v>4492.78</v>
      </c>
      <c r="J18" s="43">
        <v>3857.04</v>
      </c>
      <c r="K18" s="43">
        <v>3504.81</v>
      </c>
      <c r="L18" s="43">
        <v>2920.5</v>
      </c>
    </row>
    <row r="19" spans="1:12" ht="15.75">
      <c r="A19" s="29" t="s">
        <v>199</v>
      </c>
      <c r="B19" s="29">
        <v>70.25</v>
      </c>
      <c r="C19" s="29">
        <v>71.66</v>
      </c>
      <c r="D19" s="29">
        <v>78.38</v>
      </c>
      <c r="E19" s="29">
        <v>78.599999999999994</v>
      </c>
      <c r="F19" s="29">
        <v>21.06</v>
      </c>
      <c r="G19" s="44" t="s">
        <v>200</v>
      </c>
      <c r="H19" s="45">
        <v>5039.68</v>
      </c>
      <c r="I19" s="45">
        <v>4858.8</v>
      </c>
      <c r="J19" s="45">
        <v>4214.58</v>
      </c>
      <c r="K19" s="45">
        <v>3789.62</v>
      </c>
      <c r="L19" s="45">
        <v>3198</v>
      </c>
    </row>
    <row r="20" spans="1:12" s="15" customFormat="1" ht="15.75">
      <c r="A20" s="40" t="s">
        <v>201</v>
      </c>
      <c r="B20" s="40">
        <v>721.56</v>
      </c>
      <c r="C20" s="40">
        <v>697.47</v>
      </c>
      <c r="D20" s="40">
        <v>689.97</v>
      </c>
      <c r="E20" s="40">
        <v>540.77</v>
      </c>
      <c r="F20" s="40">
        <v>311.11</v>
      </c>
      <c r="G20" s="42" t="s">
        <v>131</v>
      </c>
      <c r="H20" s="43">
        <v>721.56</v>
      </c>
      <c r="I20" s="43">
        <v>697.47</v>
      </c>
      <c r="J20" s="43">
        <v>689.97</v>
      </c>
      <c r="K20" s="43">
        <v>540.77</v>
      </c>
      <c r="L20" s="43">
        <v>311.11</v>
      </c>
    </row>
    <row r="21" spans="1:12" ht="23.25">
      <c r="A21" s="29" t="s">
        <v>202</v>
      </c>
      <c r="B21" s="34">
        <v>3681.62</v>
      </c>
      <c r="C21" s="34">
        <v>2812.89</v>
      </c>
      <c r="D21" s="34">
        <v>2845.44</v>
      </c>
      <c r="E21" s="34">
        <v>2576.21</v>
      </c>
      <c r="F21" s="34">
        <v>2459.4299999999998</v>
      </c>
      <c r="G21" s="42" t="s">
        <v>203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</row>
    <row r="22" spans="1:12" ht="15.75">
      <c r="A22" s="24" t="s">
        <v>204</v>
      </c>
      <c r="B22" s="33">
        <v>21392.53</v>
      </c>
      <c r="C22" s="33">
        <v>14793.21</v>
      </c>
      <c r="D22" s="33">
        <v>14105.4</v>
      </c>
      <c r="E22" s="33">
        <v>13506.34</v>
      </c>
      <c r="F22" s="33">
        <v>11579.53</v>
      </c>
      <c r="G22" s="44" t="s">
        <v>128</v>
      </c>
      <c r="H22" s="45">
        <v>4318.12</v>
      </c>
      <c r="I22" s="45">
        <v>4161.33</v>
      </c>
      <c r="J22" s="45">
        <v>3524.61</v>
      </c>
      <c r="K22" s="45">
        <v>3248.85</v>
      </c>
      <c r="L22" s="45">
        <v>2886.89</v>
      </c>
    </row>
    <row r="23" spans="1:12" ht="15.75">
      <c r="A23" s="25" t="s">
        <v>80</v>
      </c>
      <c r="B23" s="26">
        <v>44642</v>
      </c>
      <c r="C23" s="26">
        <v>44641</v>
      </c>
      <c r="D23" s="26">
        <v>44640</v>
      </c>
      <c r="E23" s="26">
        <v>44639</v>
      </c>
      <c r="F23" s="26">
        <v>44638</v>
      </c>
      <c r="G23" s="42" t="s">
        <v>205</v>
      </c>
      <c r="H23" s="43">
        <v>70.25</v>
      </c>
      <c r="I23" s="43">
        <v>71.66</v>
      </c>
      <c r="J23" s="43">
        <v>78.38</v>
      </c>
      <c r="K23" s="43">
        <v>78.599999999999994</v>
      </c>
      <c r="L23" s="43">
        <v>21.06</v>
      </c>
    </row>
    <row r="24" spans="1:12" ht="15.75">
      <c r="A24" s="28"/>
      <c r="B24" s="28"/>
      <c r="C24" s="28"/>
      <c r="D24" s="28"/>
      <c r="E24" s="28"/>
      <c r="F24" s="28"/>
      <c r="G24" s="44" t="s">
        <v>206</v>
      </c>
      <c r="H24" s="45">
        <v>4247.87</v>
      </c>
      <c r="I24" s="45">
        <v>4089.67</v>
      </c>
      <c r="J24" s="45">
        <v>3446.23</v>
      </c>
      <c r="K24" s="45">
        <v>3170.25</v>
      </c>
      <c r="L24" s="45">
        <v>2865.83</v>
      </c>
    </row>
    <row r="25" spans="1:12" ht="15.75">
      <c r="A25" s="29" t="s">
        <v>80</v>
      </c>
      <c r="B25" s="29" t="s">
        <v>171</v>
      </c>
      <c r="C25" s="29" t="s">
        <v>171</v>
      </c>
      <c r="D25" s="29" t="s">
        <v>171</v>
      </c>
      <c r="E25" s="29" t="s">
        <v>171</v>
      </c>
      <c r="F25" s="29" t="s">
        <v>171</v>
      </c>
      <c r="G25" s="42" t="s">
        <v>207</v>
      </c>
      <c r="H25" s="43">
        <v>1059.43</v>
      </c>
      <c r="I25" s="43">
        <v>1037.8699999999999</v>
      </c>
      <c r="J25" s="43">
        <v>759.08</v>
      </c>
      <c r="K25" s="43">
        <v>1038.08</v>
      </c>
      <c r="L25" s="43">
        <v>971.03</v>
      </c>
    </row>
    <row r="26" spans="1:12" ht="33.75">
      <c r="A26" s="28"/>
      <c r="B26" s="28"/>
      <c r="C26" s="28"/>
      <c r="D26" s="28"/>
      <c r="E26" s="28"/>
      <c r="F26" s="28"/>
      <c r="G26" s="44" t="s">
        <v>208</v>
      </c>
      <c r="H26" s="45">
        <v>3188.44</v>
      </c>
      <c r="I26" s="45">
        <v>3051.8</v>
      </c>
      <c r="J26" s="45">
        <v>2687.15</v>
      </c>
      <c r="K26" s="45">
        <v>2132.17</v>
      </c>
      <c r="L26" s="45">
        <v>1894.8</v>
      </c>
    </row>
    <row r="27" spans="1:12" ht="23.25">
      <c r="A27" s="24" t="s">
        <v>209</v>
      </c>
      <c r="B27" s="33">
        <v>4247.87</v>
      </c>
      <c r="C27" s="33">
        <v>4089.67</v>
      </c>
      <c r="D27" s="33">
        <v>3446.23</v>
      </c>
      <c r="E27" s="33">
        <v>3170.25</v>
      </c>
      <c r="F27" s="33">
        <v>2865.83</v>
      </c>
      <c r="G27" s="42" t="s">
        <v>210</v>
      </c>
      <c r="H27" s="43">
        <v>-53.73</v>
      </c>
      <c r="I27" s="43">
        <v>0</v>
      </c>
      <c r="J27" s="43">
        <v>-43.02</v>
      </c>
      <c r="K27" s="43">
        <v>-26.36</v>
      </c>
      <c r="L27" s="43">
        <v>8</v>
      </c>
    </row>
    <row r="28" spans="1:12" ht="33.75">
      <c r="A28" s="29" t="s">
        <v>211</v>
      </c>
      <c r="B28" s="29">
        <v>-53.73</v>
      </c>
      <c r="C28" s="29">
        <v>0</v>
      </c>
      <c r="D28" s="29">
        <v>-33.200000000000003</v>
      </c>
      <c r="E28" s="29">
        <v>0</v>
      </c>
      <c r="F28" s="29">
        <v>0</v>
      </c>
      <c r="G28" s="42" t="s">
        <v>212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</row>
    <row r="29" spans="1:12" ht="23.25">
      <c r="A29" s="25" t="s">
        <v>213</v>
      </c>
      <c r="B29" s="32">
        <v>4194.1400000000003</v>
      </c>
      <c r="C29" s="32">
        <v>4089.67</v>
      </c>
      <c r="D29" s="32">
        <v>3413.03</v>
      </c>
      <c r="E29" s="32">
        <v>3170.25</v>
      </c>
      <c r="F29" s="32">
        <v>2865.83</v>
      </c>
      <c r="G29" s="42" t="s">
        <v>214</v>
      </c>
      <c r="H29" s="43">
        <v>0</v>
      </c>
      <c r="I29" s="43">
        <v>0</v>
      </c>
      <c r="J29" s="43">
        <v>9.82</v>
      </c>
      <c r="K29" s="43">
        <v>26.36</v>
      </c>
      <c r="L29" s="43">
        <v>-8</v>
      </c>
    </row>
    <row r="30" spans="1:12" ht="23.25">
      <c r="A30" s="30" t="s">
        <v>215</v>
      </c>
      <c r="B30" s="31"/>
      <c r="C30" s="25"/>
      <c r="D30" s="25"/>
      <c r="E30" s="25"/>
      <c r="F30" s="25"/>
      <c r="G30" s="44" t="s">
        <v>216</v>
      </c>
      <c r="H30" s="45">
        <v>3134.71</v>
      </c>
      <c r="I30" s="45">
        <v>3051.8</v>
      </c>
      <c r="J30" s="45">
        <v>2653.95</v>
      </c>
      <c r="K30" s="45">
        <v>2132.17</v>
      </c>
      <c r="L30" s="45">
        <v>1894.8</v>
      </c>
    </row>
    <row r="31" spans="1:12" ht="15.75">
      <c r="A31" s="29" t="s">
        <v>217</v>
      </c>
      <c r="B31" s="34">
        <v>1107.29</v>
      </c>
      <c r="C31" s="34">
        <v>1052.72</v>
      </c>
      <c r="D31" s="29">
        <v>871.15</v>
      </c>
      <c r="E31" s="29">
        <v>881.64</v>
      </c>
      <c r="F31" s="29">
        <v>968.87</v>
      </c>
      <c r="G31" s="111" t="s">
        <v>218</v>
      </c>
      <c r="H31" s="110"/>
      <c r="I31" s="110"/>
      <c r="J31" s="110"/>
      <c r="K31" s="110"/>
      <c r="L31" s="110"/>
    </row>
    <row r="32" spans="1:12" ht="23.25">
      <c r="A32" s="29" t="s">
        <v>219</v>
      </c>
      <c r="B32" s="29">
        <v>-51.02</v>
      </c>
      <c r="C32" s="29">
        <v>-21.31</v>
      </c>
      <c r="D32" s="29">
        <v>-117.73</v>
      </c>
      <c r="E32" s="29">
        <v>158.61000000000001</v>
      </c>
      <c r="F32" s="29">
        <v>2.57</v>
      </c>
      <c r="G32" s="42" t="s">
        <v>220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</row>
    <row r="33" spans="1:12" ht="23.25">
      <c r="A33" s="29" t="s">
        <v>221</v>
      </c>
      <c r="B33" s="29">
        <v>3.16</v>
      </c>
      <c r="C33" s="29">
        <v>6.46</v>
      </c>
      <c r="D33" s="29">
        <v>5.66</v>
      </c>
      <c r="E33" s="29">
        <v>-2.17</v>
      </c>
      <c r="F33" s="29">
        <v>-0.41</v>
      </c>
      <c r="G33" s="42" t="s">
        <v>222</v>
      </c>
      <c r="H33" s="43">
        <v>1740.95</v>
      </c>
      <c r="I33" s="43">
        <v>465.23</v>
      </c>
      <c r="J33" s="43">
        <v>1387.88</v>
      </c>
      <c r="K33" s="43">
        <v>680.18</v>
      </c>
      <c r="L33" s="43">
        <v>788.54</v>
      </c>
    </row>
    <row r="34" spans="1:12" ht="23.25">
      <c r="A34" s="25" t="s">
        <v>223</v>
      </c>
      <c r="B34" s="32">
        <v>1059.43</v>
      </c>
      <c r="C34" s="32">
        <v>1037.8699999999999</v>
      </c>
      <c r="D34" s="25">
        <v>759.08</v>
      </c>
      <c r="E34" s="32">
        <v>1038.08</v>
      </c>
      <c r="F34" s="25">
        <v>971.03</v>
      </c>
      <c r="G34" s="42" t="s">
        <v>224</v>
      </c>
      <c r="H34" s="43">
        <v>1815</v>
      </c>
      <c r="I34" s="43">
        <v>485.02</v>
      </c>
      <c r="J34" s="43">
        <v>1446.91</v>
      </c>
      <c r="K34" s="43">
        <v>709.11</v>
      </c>
      <c r="L34" s="43">
        <v>822.08</v>
      </c>
    </row>
    <row r="35" spans="1:12" ht="23.25">
      <c r="A35" s="25" t="s">
        <v>225</v>
      </c>
      <c r="B35" s="32">
        <v>3134.71</v>
      </c>
      <c r="C35" s="32">
        <v>3051.8</v>
      </c>
      <c r="D35" s="32">
        <v>2653.95</v>
      </c>
      <c r="E35" s="32">
        <v>2132.17</v>
      </c>
      <c r="F35" s="32">
        <v>1894.8</v>
      </c>
      <c r="G35" s="42" t="s">
        <v>226</v>
      </c>
      <c r="H35" s="43">
        <v>9591.98</v>
      </c>
      <c r="I35" s="43">
        <v>9591.98</v>
      </c>
      <c r="J35" s="43">
        <v>9591.98</v>
      </c>
      <c r="K35" s="43">
        <v>9591.98</v>
      </c>
      <c r="L35" s="43">
        <v>9591.98</v>
      </c>
    </row>
    <row r="36" spans="1:12" ht="33.75">
      <c r="A36" s="25" t="s">
        <v>227</v>
      </c>
      <c r="B36" s="32">
        <v>3134.71</v>
      </c>
      <c r="C36" s="32">
        <v>3051.8</v>
      </c>
      <c r="D36" s="32">
        <v>2653.95</v>
      </c>
      <c r="E36" s="32">
        <v>2132.17</v>
      </c>
      <c r="F36" s="32">
        <v>1894.8</v>
      </c>
      <c r="G36" s="44" t="s">
        <v>228</v>
      </c>
      <c r="H36" s="45">
        <v>32.68</v>
      </c>
      <c r="I36" s="45">
        <v>31.82</v>
      </c>
      <c r="J36" s="45">
        <v>27.67</v>
      </c>
      <c r="K36" s="45">
        <v>22.23</v>
      </c>
      <c r="L36" s="45">
        <v>19.75</v>
      </c>
    </row>
    <row r="37" spans="1:12" ht="15.75">
      <c r="A37" s="24" t="s">
        <v>229</v>
      </c>
      <c r="B37" s="33">
        <v>3134.71</v>
      </c>
      <c r="C37" s="33">
        <v>3051.8</v>
      </c>
      <c r="D37" s="33">
        <v>2653.95</v>
      </c>
      <c r="E37" s="33">
        <v>2132.17</v>
      </c>
      <c r="F37" s="33">
        <v>1894.8</v>
      </c>
      <c r="G37" s="48" t="s">
        <v>230</v>
      </c>
    </row>
    <row r="38" spans="1:12" ht="15.75">
      <c r="A38" s="25" t="s">
        <v>80</v>
      </c>
      <c r="B38" s="26">
        <v>44642</v>
      </c>
      <c r="C38" s="26">
        <v>44641</v>
      </c>
      <c r="D38" s="26">
        <v>44640</v>
      </c>
      <c r="E38" s="26">
        <v>44639</v>
      </c>
      <c r="F38" s="26">
        <v>44638</v>
      </c>
      <c r="G38" s="27"/>
      <c r="H38" s="27"/>
      <c r="I38" s="27"/>
      <c r="J38" s="27"/>
      <c r="K38" s="27"/>
    </row>
    <row r="39" spans="1:12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</row>
    <row r="40" spans="1:12">
      <c r="A40" s="29" t="s">
        <v>80</v>
      </c>
      <c r="B40" s="29" t="s">
        <v>171</v>
      </c>
      <c r="C40" s="29" t="s">
        <v>171</v>
      </c>
      <c r="D40" s="29" t="s">
        <v>171</v>
      </c>
      <c r="E40" s="29" t="s">
        <v>171</v>
      </c>
      <c r="F40" s="29" t="s">
        <v>171</v>
      </c>
      <c r="G40" s="27"/>
      <c r="H40" s="27"/>
      <c r="I40" s="27"/>
      <c r="J40" s="27"/>
      <c r="K40" s="27"/>
    </row>
    <row r="41" spans="1:12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</row>
    <row r="42" spans="1:12">
      <c r="A42" s="113" t="s">
        <v>231</v>
      </c>
      <c r="B42" s="114"/>
      <c r="C42" s="25"/>
      <c r="D42" s="25"/>
      <c r="E42" s="25"/>
      <c r="F42" s="25"/>
      <c r="G42" s="27"/>
      <c r="H42" s="27"/>
      <c r="I42" s="27"/>
      <c r="J42" s="27"/>
      <c r="K42" s="27"/>
    </row>
    <row r="43" spans="1:12">
      <c r="A43" s="113" t="s">
        <v>232</v>
      </c>
      <c r="B43" s="114"/>
      <c r="C43" s="25"/>
      <c r="D43" s="25"/>
      <c r="E43" s="25"/>
      <c r="F43" s="25"/>
      <c r="G43" s="27"/>
      <c r="H43" s="27"/>
      <c r="I43" s="27"/>
      <c r="J43" s="27"/>
      <c r="K43" s="27"/>
    </row>
    <row r="44" spans="1:12">
      <c r="A44" s="29" t="s">
        <v>233</v>
      </c>
      <c r="B44" s="29">
        <v>32.68</v>
      </c>
      <c r="C44" s="29">
        <v>31.82</v>
      </c>
      <c r="D44" s="29">
        <v>27.67</v>
      </c>
      <c r="E44" s="29">
        <v>22.23</v>
      </c>
      <c r="F44" s="29">
        <v>19.75</v>
      </c>
      <c r="G44" s="27"/>
      <c r="H44" s="27"/>
      <c r="I44" s="27"/>
      <c r="J44" s="27"/>
      <c r="K44" s="27"/>
    </row>
    <row r="45" spans="1:12">
      <c r="A45" s="29" t="s">
        <v>234</v>
      </c>
      <c r="B45" s="29">
        <v>32.68</v>
      </c>
      <c r="C45" s="29">
        <v>31.82</v>
      </c>
      <c r="D45" s="29">
        <v>27.67</v>
      </c>
      <c r="E45" s="29">
        <v>22.23</v>
      </c>
      <c r="F45" s="29">
        <v>19.75</v>
      </c>
      <c r="G45" s="27"/>
      <c r="H45" s="27"/>
      <c r="I45" s="27"/>
      <c r="J45" s="27"/>
      <c r="K45" s="27"/>
    </row>
    <row r="46" spans="1:12">
      <c r="A46" s="113" t="s">
        <v>235</v>
      </c>
      <c r="B46" s="114"/>
      <c r="C46" s="25"/>
      <c r="D46" s="25"/>
      <c r="E46" s="25"/>
      <c r="F46" s="25"/>
      <c r="G46" s="27"/>
      <c r="H46" s="27"/>
      <c r="I46" s="27"/>
      <c r="J46" s="27"/>
      <c r="K46" s="27"/>
    </row>
    <row r="47" spans="1:12">
      <c r="A47" s="113" t="s">
        <v>236</v>
      </c>
      <c r="B47" s="114"/>
      <c r="C47" s="25"/>
      <c r="D47" s="25"/>
      <c r="E47" s="25"/>
      <c r="F47" s="25"/>
      <c r="G47" s="27"/>
      <c r="H47" s="27"/>
      <c r="I47" s="27"/>
      <c r="J47" s="27"/>
      <c r="K47" s="27"/>
    </row>
    <row r="48" spans="1:12">
      <c r="A48" s="113" t="s">
        <v>237</v>
      </c>
      <c r="B48" s="114"/>
      <c r="C48" s="25"/>
      <c r="D48" s="25"/>
      <c r="E48" s="25"/>
      <c r="F48" s="25"/>
      <c r="G48" s="27"/>
      <c r="H48" s="27"/>
      <c r="I48" s="27"/>
      <c r="J48" s="27"/>
      <c r="K48" s="27"/>
    </row>
    <row r="49" spans="1:11">
      <c r="A49" s="29" t="s">
        <v>238</v>
      </c>
      <c r="B49" s="34">
        <v>1740.95</v>
      </c>
      <c r="C49" s="29">
        <v>465.23</v>
      </c>
      <c r="D49" s="34">
        <v>1740.95</v>
      </c>
      <c r="E49" s="29">
        <v>853.68</v>
      </c>
      <c r="F49" s="29">
        <v>987.98</v>
      </c>
      <c r="G49" s="27"/>
      <c r="H49" s="27"/>
      <c r="I49" s="27"/>
      <c r="J49" s="27"/>
      <c r="K49" s="27"/>
    </row>
    <row r="50" spans="1:11">
      <c r="A50" s="29" t="s">
        <v>239</v>
      </c>
      <c r="B50" s="29">
        <v>0</v>
      </c>
      <c r="C50" s="29">
        <v>0</v>
      </c>
      <c r="D50" s="29">
        <v>353.07</v>
      </c>
      <c r="E50" s="29">
        <v>173.5</v>
      </c>
      <c r="F50" s="29">
        <v>199.44</v>
      </c>
      <c r="G50" s="27"/>
      <c r="H50" s="27"/>
      <c r="I50" s="27"/>
      <c r="J50" s="27"/>
      <c r="K50" s="27"/>
    </row>
    <row r="51" spans="1:11">
      <c r="A51" s="29" t="s">
        <v>240</v>
      </c>
      <c r="B51" s="34">
        <v>1915</v>
      </c>
      <c r="C51" s="34">
        <v>1785</v>
      </c>
      <c r="D51" s="34">
        <v>1200</v>
      </c>
      <c r="E51" s="34">
        <v>1050</v>
      </c>
      <c r="F51" s="29">
        <v>870</v>
      </c>
      <c r="G51" s="27"/>
      <c r="H51" s="27"/>
      <c r="I51" s="27"/>
      <c r="J51" s="27"/>
      <c r="K51" s="27"/>
    </row>
    <row r="52" spans="1:11">
      <c r="A52" s="35"/>
      <c r="B52" s="35"/>
      <c r="C52" s="27"/>
      <c r="D52" s="27"/>
      <c r="E52" s="27"/>
      <c r="F52" s="27"/>
      <c r="G52" s="27"/>
      <c r="H52" s="27"/>
      <c r="I52" s="27"/>
      <c r="J52" s="27"/>
      <c r="K52" s="27"/>
    </row>
    <row r="53" spans="1:11">
      <c r="A53" s="115"/>
      <c r="B53" s="115"/>
      <c r="C53" s="115"/>
      <c r="D53" s="115"/>
      <c r="E53" s="115"/>
      <c r="F53" s="115"/>
      <c r="G53" s="27"/>
      <c r="H53" s="27"/>
      <c r="I53" s="27"/>
      <c r="J53" s="27"/>
      <c r="K53" s="27"/>
    </row>
    <row r="54" spans="1:11">
      <c r="A54" s="116"/>
      <c r="B54" s="116"/>
      <c r="C54" s="116"/>
      <c r="D54" s="116"/>
      <c r="E54" s="116"/>
      <c r="F54" s="116"/>
      <c r="G54" s="27"/>
      <c r="H54" s="27"/>
      <c r="I54" s="27"/>
      <c r="J54" s="27"/>
      <c r="K54" s="27"/>
    </row>
    <row r="55" spans="1:11">
      <c r="A55" s="117" t="s">
        <v>241</v>
      </c>
      <c r="B55" s="117"/>
      <c r="C55" s="117"/>
      <c r="D55" s="117"/>
      <c r="E55" s="117"/>
      <c r="F55" s="117"/>
      <c r="G55" s="27"/>
      <c r="H55" s="27"/>
      <c r="I55" s="27"/>
      <c r="J55" s="27"/>
      <c r="K55" s="27"/>
    </row>
    <row r="56" spans="1:11">
      <c r="A56" s="116"/>
      <c r="B56" s="116"/>
      <c r="C56" s="116"/>
      <c r="D56" s="116"/>
      <c r="E56" s="116"/>
      <c r="F56" s="116"/>
      <c r="G56" s="27"/>
      <c r="H56" s="27"/>
      <c r="I56" s="27"/>
      <c r="J56" s="27"/>
      <c r="K56" s="27"/>
    </row>
    <row r="59" spans="1:11">
      <c r="A59" s="37" t="s">
        <v>242</v>
      </c>
      <c r="B59" s="38" t="s">
        <v>243</v>
      </c>
    </row>
    <row r="60" spans="1:11">
      <c r="A60" s="24" t="s">
        <v>244</v>
      </c>
      <c r="B60" s="36" t="s">
        <v>163</v>
      </c>
    </row>
    <row r="61" spans="1:11">
      <c r="A61" s="25" t="s">
        <v>80</v>
      </c>
      <c r="B61" s="25" t="s">
        <v>245</v>
      </c>
      <c r="C61" s="25" t="s">
        <v>246</v>
      </c>
      <c r="D61" s="25" t="s">
        <v>247</v>
      </c>
      <c r="E61" s="25" t="s">
        <v>248</v>
      </c>
      <c r="F61" s="25" t="s">
        <v>249</v>
      </c>
      <c r="G61" s="27"/>
      <c r="H61" s="27"/>
      <c r="I61" s="27"/>
      <c r="J61" s="27"/>
      <c r="K61" s="27"/>
    </row>
    <row r="62" spans="1:11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</row>
    <row r="63" spans="1:11">
      <c r="A63" s="29" t="s">
        <v>80</v>
      </c>
      <c r="B63" s="29" t="s">
        <v>171</v>
      </c>
      <c r="C63" s="29" t="s">
        <v>171</v>
      </c>
      <c r="D63" s="29" t="s">
        <v>171</v>
      </c>
      <c r="E63" s="29" t="s">
        <v>171</v>
      </c>
      <c r="F63" s="29" t="s">
        <v>171</v>
      </c>
      <c r="G63" s="27"/>
      <c r="H63" s="27"/>
      <c r="I63" s="27"/>
      <c r="J63" s="27"/>
      <c r="K63" s="27"/>
    </row>
    <row r="64" spans="1:11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</row>
    <row r="65" spans="1:11">
      <c r="A65" s="113" t="s">
        <v>250</v>
      </c>
      <c r="B65" s="114"/>
      <c r="C65" s="25"/>
      <c r="D65" s="25"/>
      <c r="E65" s="25"/>
      <c r="F65" s="25"/>
      <c r="G65" s="27"/>
      <c r="H65" s="27"/>
      <c r="I65" s="27"/>
      <c r="J65" s="27"/>
      <c r="K65" s="27"/>
    </row>
    <row r="66" spans="1:11">
      <c r="A66" s="29" t="s">
        <v>251</v>
      </c>
      <c r="B66" s="29">
        <v>95.92</v>
      </c>
      <c r="C66" s="29">
        <v>95.92</v>
      </c>
      <c r="D66" s="29">
        <v>95.92</v>
      </c>
      <c r="E66" s="29">
        <v>95.92</v>
      </c>
      <c r="F66" s="29">
        <v>95.92</v>
      </c>
      <c r="G66" s="27"/>
      <c r="H66" s="27"/>
      <c r="I66" s="27"/>
      <c r="J66" s="27"/>
      <c r="K66" s="27"/>
    </row>
    <row r="67" spans="1:11">
      <c r="A67" s="29" t="s">
        <v>252</v>
      </c>
      <c r="B67" s="29">
        <v>95.92</v>
      </c>
      <c r="C67" s="29">
        <v>95.92</v>
      </c>
      <c r="D67" s="29">
        <v>95.92</v>
      </c>
      <c r="E67" s="29">
        <v>95.92</v>
      </c>
      <c r="F67" s="29">
        <v>95.92</v>
      </c>
      <c r="G67" s="27"/>
      <c r="H67" s="27"/>
      <c r="I67" s="27"/>
      <c r="J67" s="27"/>
      <c r="K67" s="27"/>
    </row>
    <row r="68" spans="1:11">
      <c r="A68" s="29" t="s">
        <v>253</v>
      </c>
      <c r="B68" s="34">
        <v>13253.17</v>
      </c>
      <c r="C68" s="34">
        <v>11995.18</v>
      </c>
      <c r="D68" s="34">
        <v>9357.3700000000008</v>
      </c>
      <c r="E68" s="34">
        <v>8747.0400000000009</v>
      </c>
      <c r="F68" s="34">
        <v>7702.24</v>
      </c>
      <c r="G68" s="27"/>
      <c r="H68" s="27"/>
      <c r="I68" s="27"/>
      <c r="J68" s="27"/>
      <c r="K68" s="27"/>
    </row>
    <row r="69" spans="1:11">
      <c r="A69" s="25" t="s">
        <v>254</v>
      </c>
      <c r="B69" s="32">
        <v>13349.09</v>
      </c>
      <c r="C69" s="32">
        <v>12091.1</v>
      </c>
      <c r="D69" s="32">
        <v>9453.2900000000009</v>
      </c>
      <c r="E69" s="32">
        <v>8842.9599999999991</v>
      </c>
      <c r="F69" s="32">
        <v>7798.16</v>
      </c>
      <c r="G69" s="27"/>
      <c r="H69" s="27"/>
      <c r="I69" s="27"/>
      <c r="J69" s="27"/>
      <c r="K69" s="27"/>
    </row>
    <row r="70" spans="1:11">
      <c r="A70" s="29" t="s">
        <v>255</v>
      </c>
      <c r="B70" s="29">
        <v>16.16</v>
      </c>
      <c r="C70" s="29">
        <v>14.31</v>
      </c>
      <c r="D70" s="29">
        <v>18.5</v>
      </c>
      <c r="E70" s="29">
        <v>10.89</v>
      </c>
      <c r="F70" s="29">
        <v>9.8699999999999992</v>
      </c>
      <c r="G70" s="27"/>
      <c r="H70" s="27"/>
      <c r="I70" s="27"/>
      <c r="J70" s="27"/>
      <c r="K70" s="27"/>
    </row>
    <row r="71" spans="1:11">
      <c r="A71" s="29" t="s">
        <v>256</v>
      </c>
      <c r="B71" s="29">
        <v>0</v>
      </c>
      <c r="C71" s="29">
        <v>0</v>
      </c>
      <c r="D71" s="29">
        <v>0</v>
      </c>
      <c r="E71" s="29">
        <v>4.3499999999999996</v>
      </c>
      <c r="F71" s="29">
        <v>0</v>
      </c>
      <c r="G71" s="27"/>
      <c r="H71" s="27"/>
      <c r="I71" s="27"/>
      <c r="J71" s="27"/>
      <c r="K71" s="27"/>
    </row>
    <row r="72" spans="1:11">
      <c r="A72" s="25" t="s">
        <v>257</v>
      </c>
      <c r="B72" s="25">
        <v>16.16</v>
      </c>
      <c r="C72" s="25">
        <v>14.31</v>
      </c>
      <c r="D72" s="25">
        <v>18.5</v>
      </c>
      <c r="E72" s="25">
        <v>15.24</v>
      </c>
      <c r="F72" s="25">
        <v>9.8699999999999992</v>
      </c>
      <c r="G72" s="27"/>
      <c r="H72" s="27"/>
      <c r="I72" s="27"/>
      <c r="J72" s="27"/>
      <c r="K72" s="27"/>
    </row>
    <row r="73" spans="1:11">
      <c r="A73" s="25" t="s">
        <v>258</v>
      </c>
      <c r="B73" s="32">
        <v>13365.25</v>
      </c>
      <c r="C73" s="32">
        <v>12105.41</v>
      </c>
      <c r="D73" s="32">
        <v>9471.7900000000009</v>
      </c>
      <c r="E73" s="32">
        <v>8858.2000000000007</v>
      </c>
      <c r="F73" s="32">
        <v>7808.03</v>
      </c>
      <c r="G73" s="27"/>
      <c r="H73" s="27"/>
      <c r="I73" s="27"/>
      <c r="J73" s="27"/>
      <c r="K73" s="27"/>
    </row>
    <row r="74" spans="1:11">
      <c r="A74" s="25" t="s">
        <v>80</v>
      </c>
      <c r="B74" s="25" t="s">
        <v>245</v>
      </c>
      <c r="C74" s="25" t="s">
        <v>246</v>
      </c>
      <c r="D74" s="25" t="s">
        <v>247</v>
      </c>
      <c r="E74" s="25" t="s">
        <v>248</v>
      </c>
      <c r="F74" s="25" t="s">
        <v>249</v>
      </c>
      <c r="G74" s="27"/>
      <c r="H74" s="27"/>
      <c r="I74" s="27"/>
      <c r="J74" s="27"/>
      <c r="K74" s="27"/>
    </row>
    <row r="75" spans="1:11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</row>
    <row r="76" spans="1:11">
      <c r="A76" s="29" t="s">
        <v>80</v>
      </c>
      <c r="B76" s="29" t="s">
        <v>171</v>
      </c>
      <c r="C76" s="29" t="s">
        <v>171</v>
      </c>
      <c r="D76" s="29" t="s">
        <v>171</v>
      </c>
      <c r="E76" s="29" t="s">
        <v>171</v>
      </c>
      <c r="F76" s="29" t="s">
        <v>171</v>
      </c>
      <c r="G76" s="27"/>
      <c r="H76" s="27"/>
      <c r="I76" s="27"/>
      <c r="J76" s="27"/>
      <c r="K76" s="27"/>
    </row>
    <row r="77" spans="1:11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</row>
    <row r="78" spans="1:11">
      <c r="A78" s="113" t="s">
        <v>259</v>
      </c>
      <c r="B78" s="114"/>
      <c r="C78" s="25"/>
      <c r="D78" s="25"/>
      <c r="E78" s="25"/>
      <c r="F78" s="25"/>
      <c r="G78" s="27"/>
      <c r="H78" s="27"/>
      <c r="I78" s="27"/>
      <c r="J78" s="27"/>
      <c r="K78" s="27"/>
    </row>
    <row r="79" spans="1:11">
      <c r="A79" s="29" t="s">
        <v>260</v>
      </c>
      <c r="B79" s="34">
        <v>7346.54</v>
      </c>
      <c r="C79" s="34">
        <v>6849.26</v>
      </c>
      <c r="D79" s="34">
        <v>6750.7</v>
      </c>
      <c r="E79" s="34">
        <v>6505.65</v>
      </c>
      <c r="F79" s="34">
        <v>3326.16</v>
      </c>
      <c r="G79" s="27"/>
      <c r="H79" s="27"/>
      <c r="I79" s="27"/>
      <c r="J79" s="27"/>
      <c r="K79" s="27"/>
    </row>
    <row r="80" spans="1:11">
      <c r="A80" s="29" t="s">
        <v>261</v>
      </c>
      <c r="B80" s="34">
        <v>2792.6</v>
      </c>
      <c r="C80" s="34">
        <v>2246.65</v>
      </c>
      <c r="D80" s="34">
        <v>1789.84</v>
      </c>
      <c r="E80" s="34">
        <v>1284.45</v>
      </c>
      <c r="F80" s="29">
        <v>757.63</v>
      </c>
      <c r="G80" s="27"/>
      <c r="H80" s="27"/>
      <c r="I80" s="27"/>
      <c r="J80" s="27"/>
      <c r="K80" s="27"/>
    </row>
    <row r="81" spans="1:11">
      <c r="A81" s="25" t="s">
        <v>262</v>
      </c>
      <c r="B81" s="32">
        <v>4553.9399999999996</v>
      </c>
      <c r="C81" s="32">
        <v>4602.6099999999997</v>
      </c>
      <c r="D81" s="32">
        <v>4960.8599999999997</v>
      </c>
      <c r="E81" s="32">
        <v>5221.2</v>
      </c>
      <c r="F81" s="32">
        <v>2568.5300000000002</v>
      </c>
      <c r="G81" s="27"/>
      <c r="H81" s="27"/>
      <c r="I81" s="27"/>
      <c r="J81" s="27"/>
      <c r="K81" s="27"/>
    </row>
    <row r="82" spans="1:11">
      <c r="A82" s="29" t="s">
        <v>263</v>
      </c>
      <c r="B82" s="29">
        <v>225.47</v>
      </c>
      <c r="C82" s="29">
        <v>110.11</v>
      </c>
      <c r="D82" s="29">
        <v>108.09</v>
      </c>
      <c r="E82" s="29">
        <v>179.31</v>
      </c>
      <c r="F82" s="34">
        <v>1391.84</v>
      </c>
      <c r="G82" s="27"/>
      <c r="H82" s="27"/>
      <c r="I82" s="27"/>
      <c r="J82" s="27"/>
      <c r="K82" s="27"/>
    </row>
    <row r="83" spans="1:11">
      <c r="A83" s="25" t="s">
        <v>264</v>
      </c>
      <c r="B83" s="32">
        <v>3810.59</v>
      </c>
      <c r="C83" s="32">
        <v>5340.75</v>
      </c>
      <c r="D83" s="32">
        <v>2657.93</v>
      </c>
      <c r="E83" s="32">
        <v>2964</v>
      </c>
      <c r="F83" s="32">
        <v>2577.34</v>
      </c>
      <c r="G83" s="27"/>
      <c r="H83" s="27"/>
      <c r="I83" s="27"/>
      <c r="J83" s="27"/>
      <c r="K83" s="27"/>
    </row>
    <row r="84" spans="1:11">
      <c r="A84" s="29" t="s">
        <v>265</v>
      </c>
      <c r="B84" s="34">
        <v>5277.61</v>
      </c>
      <c r="C84" s="34">
        <v>3124.61</v>
      </c>
      <c r="D84" s="34">
        <v>2827.47</v>
      </c>
      <c r="E84" s="34">
        <v>2585.1</v>
      </c>
      <c r="F84" s="34">
        <v>2178.4299999999998</v>
      </c>
      <c r="G84" s="27"/>
      <c r="H84" s="27"/>
      <c r="I84" s="27"/>
      <c r="J84" s="27"/>
      <c r="K84" s="27"/>
    </row>
    <row r="85" spans="1:11">
      <c r="A85" s="29" t="s">
        <v>266</v>
      </c>
      <c r="B85" s="34">
        <v>2915.77</v>
      </c>
      <c r="C85" s="34">
        <v>1809.75</v>
      </c>
      <c r="D85" s="34">
        <v>1109.22</v>
      </c>
      <c r="E85" s="34">
        <v>1244.95</v>
      </c>
      <c r="F85" s="34">
        <v>1138.2</v>
      </c>
      <c r="G85" s="27"/>
      <c r="H85" s="27"/>
      <c r="I85" s="27"/>
      <c r="J85" s="27"/>
      <c r="K85" s="27"/>
    </row>
    <row r="86" spans="1:11">
      <c r="A86" s="29" t="s">
        <v>267</v>
      </c>
      <c r="B86" s="29">
        <v>308.57</v>
      </c>
      <c r="C86" s="29">
        <v>134.91</v>
      </c>
      <c r="D86" s="29">
        <v>376.06</v>
      </c>
      <c r="E86" s="29">
        <v>167.52</v>
      </c>
      <c r="F86" s="29">
        <v>120.84</v>
      </c>
      <c r="G86" s="27"/>
      <c r="H86" s="27"/>
      <c r="I86" s="27"/>
      <c r="J86" s="27"/>
      <c r="K86" s="27"/>
    </row>
    <row r="87" spans="1:11">
      <c r="A87" s="29" t="s">
        <v>268</v>
      </c>
      <c r="B87" s="34">
        <v>8501.9500000000007</v>
      </c>
      <c r="C87" s="34">
        <v>5069.2700000000004</v>
      </c>
      <c r="D87" s="34">
        <v>4312.75</v>
      </c>
      <c r="E87" s="34">
        <v>3997.57</v>
      </c>
      <c r="F87" s="34">
        <v>3437.47</v>
      </c>
      <c r="G87" s="27"/>
      <c r="H87" s="27"/>
      <c r="I87" s="27"/>
      <c r="J87" s="27"/>
      <c r="K87" s="27"/>
    </row>
    <row r="88" spans="1:11">
      <c r="A88" s="29" t="s">
        <v>269</v>
      </c>
      <c r="B88" s="34">
        <v>2816.38</v>
      </c>
      <c r="C88" s="34">
        <v>2459.9299999999998</v>
      </c>
      <c r="D88" s="34">
        <v>1547.99</v>
      </c>
      <c r="E88" s="34">
        <v>1320.81</v>
      </c>
      <c r="F88" s="34">
        <v>1612.75</v>
      </c>
      <c r="G88" s="27"/>
      <c r="H88" s="27"/>
      <c r="I88" s="27"/>
      <c r="J88" s="27"/>
      <c r="K88" s="27"/>
    </row>
    <row r="89" spans="1:11">
      <c r="A89" s="29" t="s">
        <v>270</v>
      </c>
      <c r="B89" s="34">
        <v>11318.33</v>
      </c>
      <c r="C89" s="34">
        <v>7529.2</v>
      </c>
      <c r="D89" s="34">
        <v>5860.74</v>
      </c>
      <c r="E89" s="34">
        <v>5318.38</v>
      </c>
      <c r="F89" s="34">
        <v>5050.22</v>
      </c>
      <c r="G89" s="27"/>
      <c r="H89" s="27"/>
      <c r="I89" s="27"/>
      <c r="J89" s="27"/>
      <c r="K89" s="27"/>
    </row>
    <row r="90" spans="1:11">
      <c r="A90" s="29" t="s">
        <v>271</v>
      </c>
      <c r="B90" s="34">
        <v>6336.71</v>
      </c>
      <c r="C90" s="34">
        <v>5255.84</v>
      </c>
      <c r="D90" s="34">
        <v>3934.91</v>
      </c>
      <c r="E90" s="34">
        <v>4653.9399999999996</v>
      </c>
      <c r="F90" s="34">
        <v>3629.7</v>
      </c>
      <c r="G90" s="27"/>
      <c r="H90" s="27"/>
      <c r="I90" s="27"/>
      <c r="J90" s="27"/>
      <c r="K90" s="27"/>
    </row>
    <row r="91" spans="1:11">
      <c r="A91" s="29" t="s">
        <v>272</v>
      </c>
      <c r="B91" s="29">
        <v>206.37</v>
      </c>
      <c r="C91" s="29">
        <v>221.42</v>
      </c>
      <c r="D91" s="29">
        <v>180.92</v>
      </c>
      <c r="E91" s="29">
        <v>170.75</v>
      </c>
      <c r="F91" s="29">
        <v>150.19999999999999</v>
      </c>
      <c r="G91" s="27"/>
      <c r="H91" s="27"/>
      <c r="I91" s="27"/>
      <c r="J91" s="27"/>
      <c r="K91" s="27"/>
    </row>
    <row r="92" spans="1:11">
      <c r="A92" s="29" t="s">
        <v>273</v>
      </c>
      <c r="B92" s="34">
        <v>6543.08</v>
      </c>
      <c r="C92" s="34">
        <v>5477.26</v>
      </c>
      <c r="D92" s="34">
        <v>4115.83</v>
      </c>
      <c r="E92" s="34">
        <v>4824.6899999999996</v>
      </c>
      <c r="F92" s="34">
        <v>3779.9</v>
      </c>
      <c r="G92" s="27"/>
      <c r="H92" s="27"/>
      <c r="I92" s="27"/>
      <c r="J92" s="27"/>
      <c r="K92" s="27"/>
    </row>
    <row r="93" spans="1:11">
      <c r="A93" s="25" t="s">
        <v>274</v>
      </c>
      <c r="B93" s="32">
        <v>4775.25</v>
      </c>
      <c r="C93" s="32">
        <v>2051.94</v>
      </c>
      <c r="D93" s="32">
        <v>1744.91</v>
      </c>
      <c r="E93" s="25">
        <v>493.69</v>
      </c>
      <c r="F93" s="32">
        <v>1270.32</v>
      </c>
      <c r="G93" s="27"/>
      <c r="H93" s="27"/>
      <c r="I93" s="27"/>
      <c r="J93" s="27"/>
      <c r="K93" s="27"/>
    </row>
    <row r="94" spans="1:11">
      <c r="A94" s="25" t="s">
        <v>275</v>
      </c>
      <c r="B94" s="32">
        <v>13365.25</v>
      </c>
      <c r="C94" s="32">
        <v>12105.41</v>
      </c>
      <c r="D94" s="32">
        <v>9471.7900000000009</v>
      </c>
      <c r="E94" s="32">
        <v>8858.2000000000007</v>
      </c>
      <c r="F94" s="32">
        <v>7808.03</v>
      </c>
      <c r="G94" s="27"/>
      <c r="H94" s="27"/>
      <c r="I94" s="27"/>
      <c r="J94" s="27"/>
      <c r="K94" s="27"/>
    </row>
    <row r="95" spans="1:11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8"/>
    </row>
    <row r="96" spans="1:11">
      <c r="A96" s="29" t="s">
        <v>276</v>
      </c>
      <c r="B96" s="34">
        <v>1225.43</v>
      </c>
      <c r="C96" s="29">
        <v>516.36</v>
      </c>
      <c r="D96" s="29">
        <v>390.08</v>
      </c>
      <c r="E96" s="29">
        <v>333.86</v>
      </c>
      <c r="F96" s="29">
        <v>0</v>
      </c>
      <c r="G96" s="27"/>
      <c r="H96" s="27"/>
      <c r="I96" s="27"/>
      <c r="J96" s="27"/>
      <c r="K96" s="27"/>
    </row>
    <row r="97" spans="1:11">
      <c r="A97" s="29" t="s">
        <v>277</v>
      </c>
      <c r="B97" s="29">
        <v>139.16999999999999</v>
      </c>
      <c r="C97" s="29">
        <v>126.05</v>
      </c>
      <c r="D97" s="29">
        <v>98.55</v>
      </c>
      <c r="E97" s="29">
        <v>92.19</v>
      </c>
      <c r="F97" s="29">
        <v>81.3</v>
      </c>
      <c r="G97" s="27"/>
      <c r="H97" s="27"/>
      <c r="I97" s="27"/>
      <c r="J97" s="27"/>
      <c r="K97" s="27"/>
    </row>
  </sheetData>
  <mergeCells count="21">
    <mergeCell ref="A95:K95"/>
    <mergeCell ref="A62:K62"/>
    <mergeCell ref="A64:K64"/>
    <mergeCell ref="A65:B65"/>
    <mergeCell ref="A75:K75"/>
    <mergeCell ref="A77:K77"/>
    <mergeCell ref="A78:B78"/>
    <mergeCell ref="G3:L3"/>
    <mergeCell ref="G9:L9"/>
    <mergeCell ref="G31:L31"/>
    <mergeCell ref="A56:F56"/>
    <mergeCell ref="A39:K39"/>
    <mergeCell ref="A41:K41"/>
    <mergeCell ref="A42:B42"/>
    <mergeCell ref="A43:B43"/>
    <mergeCell ref="A46:B46"/>
    <mergeCell ref="A47:B47"/>
    <mergeCell ref="A48:B48"/>
    <mergeCell ref="A53:F53"/>
    <mergeCell ref="A54:F54"/>
    <mergeCell ref="A55:F55"/>
  </mergeCells>
  <hyperlinks>
    <hyperlink ref="B59" r:id="rId1" xr:uid="{C026C837-AB90-4D05-8921-4E3442E7649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21040-E5D2-40F9-A689-CF6D758EFD00}">
  <dimension ref="A1:M120"/>
  <sheetViews>
    <sheetView workbookViewId="0">
      <selection activeCell="H11" sqref="H11"/>
    </sheetView>
  </sheetViews>
  <sheetFormatPr defaultColWidth="11" defaultRowHeight="15.95"/>
  <cols>
    <col min="1" max="1" width="45.875" bestFit="1" customWidth="1"/>
  </cols>
  <sheetData>
    <row r="1" spans="1:13" ht="15.75">
      <c r="A1" s="24" t="s">
        <v>278</v>
      </c>
      <c r="B1" s="36" t="s">
        <v>163</v>
      </c>
    </row>
    <row r="2" spans="1:13" ht="15.75">
      <c r="A2" s="25" t="s">
        <v>80</v>
      </c>
      <c r="B2" s="26">
        <v>44642</v>
      </c>
      <c r="C2" s="26">
        <v>44641</v>
      </c>
      <c r="D2" s="26">
        <v>44640</v>
      </c>
      <c r="E2" s="26">
        <v>44639</v>
      </c>
      <c r="F2" s="26">
        <v>44638</v>
      </c>
      <c r="G2" s="27"/>
      <c r="H2" s="41" t="s">
        <v>164</v>
      </c>
      <c r="I2" s="41" t="s">
        <v>165</v>
      </c>
      <c r="J2" s="41" t="s">
        <v>166</v>
      </c>
      <c r="K2" s="41" t="s">
        <v>167</v>
      </c>
      <c r="L2" s="41" t="s">
        <v>168</v>
      </c>
      <c r="M2" s="27"/>
    </row>
    <row r="3" spans="1:13" ht="15.75">
      <c r="A3" s="28"/>
      <c r="B3" s="28"/>
      <c r="C3" s="28"/>
      <c r="D3" s="28"/>
      <c r="E3" s="28"/>
      <c r="F3" s="28"/>
      <c r="G3" s="28"/>
      <c r="H3" s="42" t="s">
        <v>80</v>
      </c>
      <c r="I3" s="43" t="s">
        <v>169</v>
      </c>
      <c r="J3" s="43" t="s">
        <v>169</v>
      </c>
      <c r="K3" s="43" t="s">
        <v>169</v>
      </c>
      <c r="L3" s="43" t="s">
        <v>169</v>
      </c>
      <c r="M3" s="43" t="s">
        <v>169</v>
      </c>
    </row>
    <row r="4" spans="1:13" ht="15.75">
      <c r="A4" s="29" t="s">
        <v>80</v>
      </c>
      <c r="B4" s="29" t="s">
        <v>171</v>
      </c>
      <c r="C4" s="29" t="s">
        <v>171</v>
      </c>
      <c r="D4" s="29" t="s">
        <v>171</v>
      </c>
      <c r="E4" s="29" t="s">
        <v>171</v>
      </c>
      <c r="F4" s="29" t="s">
        <v>171</v>
      </c>
      <c r="G4" s="27"/>
      <c r="H4" s="110" t="s">
        <v>170</v>
      </c>
      <c r="I4" s="110"/>
      <c r="J4" s="110"/>
      <c r="K4" s="110"/>
      <c r="L4" s="110"/>
      <c r="M4" s="110"/>
    </row>
    <row r="5" spans="1:13" ht="15.75">
      <c r="A5" s="28"/>
      <c r="B5" s="28"/>
      <c r="C5" s="28"/>
      <c r="D5" s="28"/>
      <c r="E5" s="28"/>
      <c r="F5" s="28"/>
      <c r="G5" s="28"/>
      <c r="H5" s="42" t="s">
        <v>172</v>
      </c>
      <c r="I5" s="43">
        <v>7740.93</v>
      </c>
      <c r="J5" s="43">
        <v>6021.41</v>
      </c>
      <c r="K5" s="43">
        <v>5691.69</v>
      </c>
      <c r="L5" s="43">
        <v>5515.55</v>
      </c>
      <c r="M5" s="43">
        <v>4839.37</v>
      </c>
    </row>
    <row r="6" spans="1:13" ht="15.75">
      <c r="A6" s="30" t="s">
        <v>174</v>
      </c>
      <c r="B6" s="31"/>
      <c r="C6" s="25"/>
      <c r="D6" s="25"/>
      <c r="E6" s="25"/>
      <c r="F6" s="25"/>
      <c r="G6" s="27"/>
      <c r="H6" s="42" t="s">
        <v>173</v>
      </c>
      <c r="I6" s="43">
        <v>0</v>
      </c>
      <c r="J6" s="43">
        <v>0</v>
      </c>
      <c r="K6" s="43">
        <v>0</v>
      </c>
      <c r="L6" s="43">
        <v>0</v>
      </c>
      <c r="M6" s="43">
        <v>115.58</v>
      </c>
    </row>
    <row r="7" spans="1:13" ht="15.75">
      <c r="A7" s="25" t="s">
        <v>176</v>
      </c>
      <c r="B7" s="32">
        <v>7639.16</v>
      </c>
      <c r="C7" s="32">
        <v>5944.34</v>
      </c>
      <c r="D7" s="32">
        <v>5629.07</v>
      </c>
      <c r="E7" s="32">
        <v>5460.4</v>
      </c>
      <c r="F7" s="32">
        <v>4792.67</v>
      </c>
      <c r="G7" s="27"/>
      <c r="H7" s="44" t="s">
        <v>175</v>
      </c>
      <c r="I7" s="45">
        <v>7740.93</v>
      </c>
      <c r="J7" s="45">
        <v>6021.41</v>
      </c>
      <c r="K7" s="45">
        <v>5691.69</v>
      </c>
      <c r="L7" s="45">
        <v>5515.55</v>
      </c>
      <c r="M7" s="45">
        <v>4723.79</v>
      </c>
    </row>
    <row r="8" spans="1:13" ht="15.75">
      <c r="A8" s="29" t="s">
        <v>178</v>
      </c>
      <c r="B8" s="29">
        <v>0</v>
      </c>
      <c r="C8" s="29">
        <v>0</v>
      </c>
      <c r="D8" s="29">
        <v>0</v>
      </c>
      <c r="E8" s="29">
        <v>0</v>
      </c>
      <c r="F8" s="29">
        <v>115.58</v>
      </c>
      <c r="G8" s="27"/>
      <c r="H8" s="42" t="s">
        <v>177</v>
      </c>
      <c r="I8" s="43">
        <v>63.12</v>
      </c>
      <c r="J8" s="43">
        <v>55.77</v>
      </c>
      <c r="K8" s="43">
        <v>150.82</v>
      </c>
      <c r="L8" s="43">
        <v>53.63</v>
      </c>
      <c r="M8" s="43">
        <v>46.53</v>
      </c>
    </row>
    <row r="9" spans="1:13" ht="23.25">
      <c r="A9" s="25" t="s">
        <v>180</v>
      </c>
      <c r="B9" s="32">
        <v>7639.16</v>
      </c>
      <c r="C9" s="32">
        <v>5944.34</v>
      </c>
      <c r="D9" s="32">
        <v>5629.07</v>
      </c>
      <c r="E9" s="32">
        <v>5460.4</v>
      </c>
      <c r="F9" s="32">
        <v>4677.09</v>
      </c>
      <c r="G9" s="27"/>
      <c r="H9" s="46" t="s">
        <v>179</v>
      </c>
      <c r="I9" s="47">
        <v>7804.05</v>
      </c>
      <c r="J9" s="47">
        <v>6077.18</v>
      </c>
      <c r="K9" s="47">
        <v>5842.51</v>
      </c>
      <c r="L9" s="47">
        <v>5569.18</v>
      </c>
      <c r="M9" s="47">
        <v>4770.32</v>
      </c>
    </row>
    <row r="10" spans="1:13" ht="15.75">
      <c r="A10" s="29" t="s">
        <v>182</v>
      </c>
      <c r="B10" s="29">
        <v>101.77</v>
      </c>
      <c r="C10" s="29">
        <v>77.069999999999993</v>
      </c>
      <c r="D10" s="29">
        <v>62.62</v>
      </c>
      <c r="E10" s="29">
        <v>55.15</v>
      </c>
      <c r="F10" s="29">
        <v>46.7</v>
      </c>
      <c r="G10" s="27"/>
      <c r="H10" s="110" t="s">
        <v>181</v>
      </c>
      <c r="I10" s="110"/>
      <c r="J10" s="110"/>
      <c r="K10" s="110"/>
      <c r="L10" s="110"/>
      <c r="M10" s="110"/>
    </row>
    <row r="11" spans="1:13" ht="23.25">
      <c r="A11" s="25" t="s">
        <v>184</v>
      </c>
      <c r="B11" s="32">
        <v>7740.93</v>
      </c>
      <c r="C11" s="32">
        <v>6021.41</v>
      </c>
      <c r="D11" s="32">
        <v>5691.69</v>
      </c>
      <c r="E11" s="32">
        <v>5515.55</v>
      </c>
      <c r="F11" s="32">
        <v>4723.79</v>
      </c>
      <c r="G11" s="27"/>
      <c r="H11" s="42" t="s">
        <v>183</v>
      </c>
      <c r="I11" s="43">
        <v>51.35</v>
      </c>
      <c r="J11" s="43">
        <v>44.75</v>
      </c>
      <c r="K11" s="43">
        <v>47.71</v>
      </c>
      <c r="L11" s="43">
        <v>49.48</v>
      </c>
      <c r="M11" s="43">
        <v>40</v>
      </c>
    </row>
    <row r="12" spans="1:13" ht="23.25">
      <c r="A12" s="29" t="s">
        <v>177</v>
      </c>
      <c r="B12" s="29">
        <v>63.12</v>
      </c>
      <c r="C12" s="29">
        <v>55.77</v>
      </c>
      <c r="D12" s="29">
        <v>150.82</v>
      </c>
      <c r="E12" s="29">
        <v>53.63</v>
      </c>
      <c r="F12" s="29">
        <v>46.53</v>
      </c>
      <c r="G12" s="27"/>
      <c r="H12" s="42" t="s">
        <v>185</v>
      </c>
      <c r="I12" s="43">
        <v>4857.63</v>
      </c>
      <c r="J12" s="43">
        <v>3446.01</v>
      </c>
      <c r="K12" s="43">
        <v>3375.9</v>
      </c>
      <c r="L12" s="43">
        <v>3423.75</v>
      </c>
      <c r="M12" s="43">
        <v>2796.57</v>
      </c>
    </row>
    <row r="13" spans="1:13" ht="23.25">
      <c r="A13" s="24" t="s">
        <v>187</v>
      </c>
      <c r="B13" s="33">
        <v>7804.05</v>
      </c>
      <c r="C13" s="33">
        <v>6077.18</v>
      </c>
      <c r="D13" s="33">
        <v>5842.51</v>
      </c>
      <c r="E13" s="33">
        <v>5569.18</v>
      </c>
      <c r="F13" s="33">
        <v>4770.32</v>
      </c>
      <c r="G13" s="27"/>
      <c r="H13" s="42" t="s">
        <v>186</v>
      </c>
      <c r="I13" s="43">
        <v>400.58</v>
      </c>
      <c r="J13" s="43">
        <v>352.71</v>
      </c>
      <c r="K13" s="43">
        <v>342.52</v>
      </c>
      <c r="L13" s="43">
        <v>311.67</v>
      </c>
      <c r="M13" s="43">
        <v>269.83999999999997</v>
      </c>
    </row>
    <row r="14" spans="1:13" ht="23.25">
      <c r="A14" s="30" t="s">
        <v>189</v>
      </c>
      <c r="B14" s="31"/>
      <c r="C14" s="25"/>
      <c r="D14" s="25"/>
      <c r="E14" s="25"/>
      <c r="F14" s="25"/>
      <c r="G14" s="27"/>
      <c r="H14" s="42" t="s">
        <v>188</v>
      </c>
      <c r="I14" s="43">
        <v>0</v>
      </c>
      <c r="J14" s="43">
        <v>205.16</v>
      </c>
      <c r="K14" s="43">
        <v>236.89</v>
      </c>
      <c r="L14" s="43">
        <v>180.01</v>
      </c>
      <c r="M14" s="43">
        <v>222.23</v>
      </c>
    </row>
    <row r="15" spans="1:13" ht="23.25">
      <c r="A15" s="29" t="s">
        <v>191</v>
      </c>
      <c r="B15" s="34">
        <v>4504.3</v>
      </c>
      <c r="C15" s="34">
        <v>3057.94</v>
      </c>
      <c r="D15" s="34">
        <v>2902.53</v>
      </c>
      <c r="E15" s="34">
        <v>3150.03</v>
      </c>
      <c r="F15" s="34">
        <v>2470.4299999999998</v>
      </c>
      <c r="G15" s="27"/>
      <c r="H15" s="42" t="s">
        <v>190</v>
      </c>
      <c r="I15" s="43">
        <v>1248.8399999999999</v>
      </c>
      <c r="J15" s="43">
        <v>875.83</v>
      </c>
      <c r="K15" s="43">
        <v>730.87</v>
      </c>
      <c r="L15" s="43">
        <v>740.45</v>
      </c>
      <c r="M15" s="43">
        <v>651.75</v>
      </c>
    </row>
    <row r="16" spans="1:13" ht="23.25">
      <c r="A16" s="29" t="s">
        <v>193</v>
      </c>
      <c r="B16" s="29">
        <v>691.4</v>
      </c>
      <c r="C16" s="29">
        <v>564.41</v>
      </c>
      <c r="D16" s="29">
        <v>481.6</v>
      </c>
      <c r="E16" s="29">
        <v>432.46</v>
      </c>
      <c r="F16" s="29">
        <v>405.57</v>
      </c>
      <c r="G16" s="27"/>
      <c r="H16" s="42" t="s">
        <v>192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</row>
    <row r="17" spans="1:13" ht="23.25">
      <c r="A17" s="29" t="s">
        <v>195</v>
      </c>
      <c r="B17" s="29">
        <v>-349.61</v>
      </c>
      <c r="C17" s="29">
        <v>-183.77</v>
      </c>
      <c r="D17" s="29">
        <v>-16.809999999999999</v>
      </c>
      <c r="E17" s="29">
        <v>-168.67</v>
      </c>
      <c r="F17" s="29">
        <v>-87.66</v>
      </c>
      <c r="G17" s="27"/>
      <c r="H17" s="42" t="s">
        <v>194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</row>
    <row r="18" spans="1:13" ht="23.25">
      <c r="A18" s="29" t="s">
        <v>197</v>
      </c>
      <c r="B18" s="29">
        <v>400.58</v>
      </c>
      <c r="C18" s="29">
        <v>352.71</v>
      </c>
      <c r="D18" s="29">
        <v>342.52</v>
      </c>
      <c r="E18" s="29">
        <v>311.67</v>
      </c>
      <c r="F18" s="29">
        <v>269.83999999999997</v>
      </c>
      <c r="G18" s="27"/>
      <c r="H18" s="46" t="s">
        <v>196</v>
      </c>
      <c r="I18" s="47">
        <v>6558.4</v>
      </c>
      <c r="J18" s="47">
        <v>4924.46</v>
      </c>
      <c r="K18" s="47">
        <v>4733.8900000000003</v>
      </c>
      <c r="L18" s="47">
        <v>4705.3599999999997</v>
      </c>
      <c r="M18" s="47">
        <v>3980.39</v>
      </c>
    </row>
    <row r="19" spans="1:13" ht="23.25">
      <c r="A19" s="29" t="s">
        <v>199</v>
      </c>
      <c r="B19" s="29">
        <v>42.93</v>
      </c>
      <c r="C19" s="29">
        <v>33.22</v>
      </c>
      <c r="D19" s="29">
        <v>32.68</v>
      </c>
      <c r="E19" s="29">
        <v>20.79</v>
      </c>
      <c r="F19" s="29">
        <v>16.2</v>
      </c>
      <c r="G19" s="27"/>
      <c r="H19" s="42" t="s">
        <v>198</v>
      </c>
      <c r="I19" s="43">
        <v>1182.53</v>
      </c>
      <c r="J19" s="43">
        <v>1096.95</v>
      </c>
      <c r="K19" s="43">
        <v>957.8</v>
      </c>
      <c r="L19" s="43">
        <v>810.19</v>
      </c>
      <c r="M19" s="43">
        <v>743.4</v>
      </c>
    </row>
    <row r="20" spans="1:13" ht="15.75">
      <c r="A20" s="29" t="s">
        <v>201</v>
      </c>
      <c r="B20" s="29">
        <v>197.53</v>
      </c>
      <c r="C20" s="29">
        <v>186.12</v>
      </c>
      <c r="D20" s="29">
        <v>170.52</v>
      </c>
      <c r="E20" s="29">
        <v>122.17</v>
      </c>
      <c r="F20" s="29">
        <v>111.92</v>
      </c>
      <c r="G20" s="27"/>
      <c r="H20" s="44" t="s">
        <v>200</v>
      </c>
      <c r="I20" s="45">
        <v>1245.6500000000001</v>
      </c>
      <c r="J20" s="45">
        <v>1152.72</v>
      </c>
      <c r="K20" s="45">
        <v>1108.6199999999999</v>
      </c>
      <c r="L20" s="45">
        <v>863.82</v>
      </c>
      <c r="M20" s="45">
        <v>789.93</v>
      </c>
    </row>
    <row r="21" spans="1:13" ht="15.75">
      <c r="A21" s="29" t="s">
        <v>202</v>
      </c>
      <c r="B21" s="34">
        <v>1311.73</v>
      </c>
      <c r="C21" s="34">
        <v>1133.17</v>
      </c>
      <c r="D21" s="34">
        <v>1024.05</v>
      </c>
      <c r="E21" s="29">
        <v>979.87</v>
      </c>
      <c r="F21" s="29">
        <v>922.21</v>
      </c>
      <c r="G21" s="27"/>
      <c r="H21" s="42" t="s">
        <v>131</v>
      </c>
      <c r="I21" s="43">
        <v>197.53</v>
      </c>
      <c r="J21" s="43">
        <v>186.12</v>
      </c>
      <c r="K21" s="43">
        <v>170.52</v>
      </c>
      <c r="L21" s="43">
        <v>122.17</v>
      </c>
      <c r="M21" s="43">
        <v>111.92</v>
      </c>
    </row>
    <row r="22" spans="1:13" ht="23.25">
      <c r="A22" s="24" t="s">
        <v>204</v>
      </c>
      <c r="B22" s="33">
        <v>6798.86</v>
      </c>
      <c r="C22" s="33">
        <v>5143.8</v>
      </c>
      <c r="D22" s="33">
        <v>4937.09</v>
      </c>
      <c r="E22" s="33">
        <v>4848.32</v>
      </c>
      <c r="F22" s="33">
        <v>4108.51</v>
      </c>
      <c r="G22" s="27"/>
      <c r="H22" s="42" t="s">
        <v>203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</row>
    <row r="23" spans="1:13" ht="15.75">
      <c r="A23" s="25" t="s">
        <v>80</v>
      </c>
      <c r="B23" s="26">
        <v>44642</v>
      </c>
      <c r="C23" s="26">
        <v>44641</v>
      </c>
      <c r="D23" s="26">
        <v>44640</v>
      </c>
      <c r="E23" s="26">
        <v>44639</v>
      </c>
      <c r="F23" s="26">
        <v>44638</v>
      </c>
      <c r="G23" s="27"/>
      <c r="H23" s="44" t="s">
        <v>128</v>
      </c>
      <c r="I23" s="45">
        <v>1048.1199999999999</v>
      </c>
      <c r="J23" s="45">
        <v>966.6</v>
      </c>
      <c r="K23" s="45">
        <v>938.1</v>
      </c>
      <c r="L23" s="45">
        <v>741.65</v>
      </c>
      <c r="M23" s="45">
        <v>678.01</v>
      </c>
    </row>
    <row r="24" spans="1:13" ht="15.75">
      <c r="A24" s="28"/>
      <c r="B24" s="28"/>
      <c r="C24" s="28"/>
      <c r="D24" s="28"/>
      <c r="E24" s="28"/>
      <c r="F24" s="28"/>
      <c r="G24" s="28"/>
      <c r="H24" s="42" t="s">
        <v>205</v>
      </c>
      <c r="I24" s="43">
        <v>42.93</v>
      </c>
      <c r="J24" s="43">
        <v>33.22</v>
      </c>
      <c r="K24" s="43">
        <v>32.68</v>
      </c>
      <c r="L24" s="43">
        <v>20.79</v>
      </c>
      <c r="M24" s="43">
        <v>16.2</v>
      </c>
    </row>
    <row r="25" spans="1:13" ht="15.75">
      <c r="A25" s="29" t="s">
        <v>80</v>
      </c>
      <c r="B25" s="29" t="s">
        <v>171</v>
      </c>
      <c r="C25" s="29" t="s">
        <v>171</v>
      </c>
      <c r="D25" s="29" t="s">
        <v>171</v>
      </c>
      <c r="E25" s="29" t="s">
        <v>171</v>
      </c>
      <c r="F25" s="29" t="s">
        <v>171</v>
      </c>
      <c r="G25" s="27"/>
      <c r="H25" s="44" t="s">
        <v>206</v>
      </c>
      <c r="I25" s="45">
        <v>1005.19</v>
      </c>
      <c r="J25" s="45">
        <v>933.38</v>
      </c>
      <c r="K25" s="45">
        <v>905.42</v>
      </c>
      <c r="L25" s="45">
        <v>720.86</v>
      </c>
      <c r="M25" s="45">
        <v>661.81</v>
      </c>
    </row>
    <row r="26" spans="1:13" ht="15.75">
      <c r="A26" s="28"/>
      <c r="B26" s="28"/>
      <c r="C26" s="28"/>
      <c r="D26" s="28"/>
      <c r="E26" s="28"/>
      <c r="F26" s="28"/>
      <c r="G26" s="28"/>
      <c r="H26" s="42" t="s">
        <v>207</v>
      </c>
      <c r="I26" s="43">
        <v>255.33</v>
      </c>
      <c r="J26" s="43">
        <v>237.8</v>
      </c>
      <c r="K26" s="43">
        <v>206.37</v>
      </c>
      <c r="L26" s="43">
        <v>253.23</v>
      </c>
      <c r="M26" s="43">
        <v>229.97</v>
      </c>
    </row>
    <row r="27" spans="1:13" ht="33.75">
      <c r="A27" s="24" t="s">
        <v>209</v>
      </c>
      <c r="B27" s="33">
        <v>1005.19</v>
      </c>
      <c r="C27" s="24">
        <v>933.38</v>
      </c>
      <c r="D27" s="24">
        <v>905.42</v>
      </c>
      <c r="E27" s="24">
        <v>720.86</v>
      </c>
      <c r="F27" s="24">
        <v>661.81</v>
      </c>
      <c r="G27" s="27"/>
      <c r="H27" s="44" t="s">
        <v>208</v>
      </c>
      <c r="I27" s="45">
        <v>749.86</v>
      </c>
      <c r="J27" s="45">
        <v>695.58</v>
      </c>
      <c r="K27" s="45">
        <v>699.05</v>
      </c>
      <c r="L27" s="45">
        <v>467.63</v>
      </c>
      <c r="M27" s="45">
        <v>431.84</v>
      </c>
    </row>
    <row r="28" spans="1:13" ht="23.25">
      <c r="A28" s="29" t="s">
        <v>211</v>
      </c>
      <c r="B28" s="29">
        <v>0</v>
      </c>
      <c r="C28" s="29">
        <v>-14.8</v>
      </c>
      <c r="D28" s="29">
        <v>0</v>
      </c>
      <c r="E28" s="29">
        <v>-28.6</v>
      </c>
      <c r="F28" s="29">
        <v>0</v>
      </c>
      <c r="G28" s="27"/>
      <c r="H28" s="42" t="s">
        <v>210</v>
      </c>
      <c r="I28" s="43">
        <v>0.82</v>
      </c>
      <c r="J28" s="43">
        <v>-14.79</v>
      </c>
      <c r="K28" s="43">
        <v>-6.52</v>
      </c>
      <c r="L28" s="43">
        <v>-30.65</v>
      </c>
      <c r="M28" s="43">
        <v>1.1599999999999999</v>
      </c>
    </row>
    <row r="29" spans="1:13" ht="33.75">
      <c r="A29" s="25" t="s">
        <v>213</v>
      </c>
      <c r="B29" s="32">
        <v>1005.19</v>
      </c>
      <c r="C29" s="25">
        <v>918.58</v>
      </c>
      <c r="D29" s="25">
        <v>905.42</v>
      </c>
      <c r="E29" s="25">
        <v>692.26</v>
      </c>
      <c r="F29" s="25">
        <v>661.81</v>
      </c>
      <c r="G29" s="27"/>
      <c r="H29" s="42" t="s">
        <v>212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</row>
    <row r="30" spans="1:13" ht="23.25">
      <c r="A30" s="30" t="s">
        <v>215</v>
      </c>
      <c r="B30" s="31"/>
      <c r="C30" s="25"/>
      <c r="D30" s="25"/>
      <c r="E30" s="25"/>
      <c r="F30" s="25"/>
      <c r="G30" s="27"/>
      <c r="H30" s="42" t="s">
        <v>214</v>
      </c>
      <c r="I30" s="43">
        <v>-0.82</v>
      </c>
      <c r="J30" s="43">
        <v>-0.01</v>
      </c>
      <c r="K30" s="43">
        <v>6.52</v>
      </c>
      <c r="L30" s="43">
        <v>2.0499999999999998</v>
      </c>
      <c r="M30" s="43">
        <v>-1.1599999999999999</v>
      </c>
    </row>
    <row r="31" spans="1:13" ht="23.25">
      <c r="A31" s="29" t="s">
        <v>217</v>
      </c>
      <c r="B31" s="29">
        <v>258.81</v>
      </c>
      <c r="C31" s="29">
        <v>240.55</v>
      </c>
      <c r="D31" s="29">
        <v>226.47</v>
      </c>
      <c r="E31" s="29">
        <v>249.86</v>
      </c>
      <c r="F31" s="29">
        <v>232.08</v>
      </c>
      <c r="G31" s="27"/>
      <c r="H31" s="44" t="s">
        <v>216</v>
      </c>
      <c r="I31" s="45">
        <v>749.86</v>
      </c>
      <c r="J31" s="45">
        <v>680.78</v>
      </c>
      <c r="K31" s="45">
        <v>699.05</v>
      </c>
      <c r="L31" s="45">
        <v>439.03</v>
      </c>
      <c r="M31" s="45">
        <v>431.84</v>
      </c>
    </row>
    <row r="32" spans="1:13" ht="15.75">
      <c r="A32" s="29" t="s">
        <v>219</v>
      </c>
      <c r="B32" s="29">
        <v>-3.48</v>
      </c>
      <c r="C32" s="29">
        <v>-2.75</v>
      </c>
      <c r="D32" s="29">
        <v>-20.100000000000001</v>
      </c>
      <c r="E32" s="29">
        <v>3.37</v>
      </c>
      <c r="F32" s="29">
        <v>-2.11</v>
      </c>
      <c r="G32" s="27"/>
      <c r="H32" s="110" t="s">
        <v>218</v>
      </c>
      <c r="I32" s="110"/>
      <c r="J32" s="110"/>
      <c r="K32" s="110"/>
      <c r="L32" s="110"/>
      <c r="M32" s="110"/>
    </row>
    <row r="33" spans="1:13" ht="23.25">
      <c r="A33" s="25" t="s">
        <v>223</v>
      </c>
      <c r="B33" s="25">
        <v>255.33</v>
      </c>
      <c r="C33" s="25">
        <v>237.8</v>
      </c>
      <c r="D33" s="25">
        <v>206.37</v>
      </c>
      <c r="E33" s="25">
        <v>253.23</v>
      </c>
      <c r="F33" s="25">
        <v>229.97</v>
      </c>
      <c r="G33" s="27"/>
      <c r="H33" s="42" t="s">
        <v>220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</row>
    <row r="34" spans="1:13" ht="23.25">
      <c r="A34" s="25" t="s">
        <v>225</v>
      </c>
      <c r="B34" s="25">
        <v>749.86</v>
      </c>
      <c r="C34" s="25">
        <v>680.78</v>
      </c>
      <c r="D34" s="25">
        <v>699.05</v>
      </c>
      <c r="E34" s="25">
        <v>439.03</v>
      </c>
      <c r="F34" s="25">
        <v>431.84</v>
      </c>
      <c r="G34" s="27"/>
      <c r="H34" s="42" t="s">
        <v>222</v>
      </c>
      <c r="I34" s="43">
        <v>271.95999999999998</v>
      </c>
      <c r="J34" s="43">
        <v>29.14</v>
      </c>
      <c r="K34" s="43">
        <v>313.77</v>
      </c>
      <c r="L34" s="43">
        <v>138.85</v>
      </c>
      <c r="M34" s="43">
        <v>135.34</v>
      </c>
    </row>
    <row r="35" spans="1:13" ht="23.25">
      <c r="A35" s="25" t="s">
        <v>227</v>
      </c>
      <c r="B35" s="25">
        <v>749.86</v>
      </c>
      <c r="C35" s="25">
        <v>680.78</v>
      </c>
      <c r="D35" s="25">
        <v>699.05</v>
      </c>
      <c r="E35" s="25">
        <v>439.03</v>
      </c>
      <c r="F35" s="25">
        <v>431.84</v>
      </c>
      <c r="G35" s="27"/>
      <c r="H35" s="42" t="s">
        <v>224</v>
      </c>
      <c r="I35" s="43">
        <v>280</v>
      </c>
      <c r="J35" s="43">
        <v>30</v>
      </c>
      <c r="K35" s="43">
        <v>323.07</v>
      </c>
      <c r="L35" s="43">
        <v>142.97999999999999</v>
      </c>
      <c r="M35" s="43">
        <v>139.38</v>
      </c>
    </row>
    <row r="36" spans="1:13" ht="23.25">
      <c r="A36" s="24" t="s">
        <v>229</v>
      </c>
      <c r="B36" s="24">
        <v>749.86</v>
      </c>
      <c r="C36" s="24">
        <v>680.78</v>
      </c>
      <c r="D36" s="24">
        <v>699.05</v>
      </c>
      <c r="E36" s="24">
        <v>439.03</v>
      </c>
      <c r="F36" s="24">
        <v>431.84</v>
      </c>
      <c r="G36" s="27"/>
      <c r="H36" s="42" t="s">
        <v>226</v>
      </c>
      <c r="I36" s="43">
        <v>9712.9500000000007</v>
      </c>
      <c r="J36" s="43">
        <v>9712.9500000000007</v>
      </c>
      <c r="K36" s="43">
        <v>9712.2000000000007</v>
      </c>
      <c r="L36" s="43">
        <v>9711.2999999999993</v>
      </c>
      <c r="M36" s="43">
        <v>9710.31</v>
      </c>
    </row>
    <row r="37" spans="1:13" ht="33.75">
      <c r="A37" s="25" t="s">
        <v>80</v>
      </c>
      <c r="B37" s="26">
        <v>44642</v>
      </c>
      <c r="C37" s="26">
        <v>44641</v>
      </c>
      <c r="D37" s="26">
        <v>44640</v>
      </c>
      <c r="E37" s="26">
        <v>44639</v>
      </c>
      <c r="F37" s="26">
        <v>44638</v>
      </c>
      <c r="G37" s="27"/>
      <c r="H37" s="44" t="s">
        <v>228</v>
      </c>
      <c r="I37" s="45">
        <v>7.72</v>
      </c>
      <c r="J37" s="45">
        <v>7.01</v>
      </c>
      <c r="K37" s="45">
        <v>7.2</v>
      </c>
      <c r="L37" s="45">
        <v>4.5199999999999996</v>
      </c>
      <c r="M37" s="45">
        <v>4.45</v>
      </c>
    </row>
    <row r="38" spans="1:13" ht="15.75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</row>
    <row r="39" spans="1:13">
      <c r="A39" s="29" t="s">
        <v>80</v>
      </c>
      <c r="B39" s="29" t="s">
        <v>171</v>
      </c>
      <c r="C39" s="29" t="s">
        <v>171</v>
      </c>
      <c r="D39" s="29" t="s">
        <v>171</v>
      </c>
      <c r="E39" s="29" t="s">
        <v>171</v>
      </c>
      <c r="F39" s="29" t="s">
        <v>171</v>
      </c>
      <c r="G39" s="27"/>
      <c r="H39" s="27"/>
      <c r="I39" s="27"/>
      <c r="J39" s="27"/>
      <c r="K39" s="27"/>
    </row>
    <row r="40" spans="1:13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</row>
    <row r="41" spans="1:13">
      <c r="A41" s="113" t="s">
        <v>231</v>
      </c>
      <c r="B41" s="114"/>
      <c r="C41" s="25"/>
      <c r="D41" s="25"/>
      <c r="E41" s="25"/>
      <c r="F41" s="25"/>
      <c r="G41" s="27"/>
      <c r="H41" s="27"/>
      <c r="I41" s="27"/>
      <c r="J41" s="27"/>
      <c r="K41" s="27"/>
    </row>
    <row r="42" spans="1:13">
      <c r="A42" s="113" t="s">
        <v>232</v>
      </c>
      <c r="B42" s="114"/>
      <c r="C42" s="25"/>
      <c r="D42" s="25"/>
      <c r="E42" s="25"/>
      <c r="F42" s="25"/>
      <c r="G42" s="27"/>
      <c r="H42" s="27"/>
      <c r="I42" s="27"/>
      <c r="J42" s="27"/>
      <c r="K42" s="27"/>
    </row>
    <row r="43" spans="1:13">
      <c r="A43" s="29" t="s">
        <v>233</v>
      </c>
      <c r="B43" s="29">
        <v>7.72</v>
      </c>
      <c r="C43" s="29">
        <v>7.01</v>
      </c>
      <c r="D43" s="29">
        <v>7.2</v>
      </c>
      <c r="E43" s="29">
        <v>4.5199999999999996</v>
      </c>
      <c r="F43" s="29">
        <v>4.45</v>
      </c>
      <c r="G43" s="27"/>
      <c r="H43" s="27"/>
      <c r="I43" s="27"/>
      <c r="J43" s="27"/>
      <c r="K43" s="27"/>
    </row>
    <row r="44" spans="1:13">
      <c r="A44" s="29" t="s">
        <v>234</v>
      </c>
      <c r="B44" s="29">
        <v>7.72</v>
      </c>
      <c r="C44" s="29">
        <v>7.01</v>
      </c>
      <c r="D44" s="29">
        <v>7.2</v>
      </c>
      <c r="E44" s="29">
        <v>4.5199999999999996</v>
      </c>
      <c r="F44" s="29">
        <v>4.45</v>
      </c>
      <c r="G44" s="27"/>
      <c r="H44" s="27"/>
      <c r="I44" s="27"/>
      <c r="J44" s="27"/>
      <c r="K44" s="27"/>
    </row>
    <row r="45" spans="1:13">
      <c r="A45" s="113" t="s">
        <v>235</v>
      </c>
      <c r="B45" s="114"/>
      <c r="C45" s="25"/>
      <c r="D45" s="25"/>
      <c r="E45" s="25"/>
      <c r="F45" s="25"/>
      <c r="G45" s="27"/>
      <c r="H45" s="27"/>
      <c r="I45" s="27"/>
      <c r="J45" s="27"/>
      <c r="K45" s="27"/>
    </row>
    <row r="46" spans="1:13">
      <c r="A46" s="113" t="s">
        <v>236</v>
      </c>
      <c r="B46" s="114"/>
      <c r="C46" s="25"/>
      <c r="D46" s="25"/>
      <c r="E46" s="25"/>
      <c r="F46" s="25"/>
      <c r="G46" s="27"/>
      <c r="H46" s="27"/>
      <c r="I46" s="27"/>
      <c r="J46" s="27"/>
      <c r="K46" s="27"/>
    </row>
    <row r="47" spans="1:13">
      <c r="A47" s="113" t="s">
        <v>237</v>
      </c>
      <c r="B47" s="114"/>
      <c r="C47" s="25"/>
      <c r="D47" s="25"/>
      <c r="E47" s="25"/>
      <c r="F47" s="25"/>
      <c r="G47" s="27"/>
      <c r="H47" s="27"/>
      <c r="I47" s="27"/>
      <c r="J47" s="27"/>
      <c r="K47" s="27"/>
    </row>
    <row r="48" spans="1:13">
      <c r="A48" s="29" t="s">
        <v>238</v>
      </c>
      <c r="B48" s="29">
        <v>271.95999999999998</v>
      </c>
      <c r="C48" s="29">
        <v>29.14</v>
      </c>
      <c r="D48" s="29">
        <v>369.04</v>
      </c>
      <c r="E48" s="29">
        <v>174.78</v>
      </c>
      <c r="F48" s="29">
        <v>169.93</v>
      </c>
      <c r="G48" s="27"/>
      <c r="H48" s="27"/>
      <c r="I48" s="27"/>
      <c r="J48" s="27"/>
      <c r="K48" s="27"/>
    </row>
    <row r="49" spans="1:11">
      <c r="A49" s="29" t="s">
        <v>239</v>
      </c>
      <c r="B49" s="29">
        <v>0</v>
      </c>
      <c r="C49" s="29">
        <v>0</v>
      </c>
      <c r="D49" s="29">
        <v>55.27</v>
      </c>
      <c r="E49" s="29">
        <v>35.93</v>
      </c>
      <c r="F49" s="29">
        <v>34.590000000000003</v>
      </c>
      <c r="G49" s="27"/>
      <c r="H49" s="27"/>
      <c r="I49" s="27"/>
      <c r="J49" s="27"/>
      <c r="K49" s="27"/>
    </row>
    <row r="50" spans="1:11">
      <c r="A50" s="29" t="s">
        <v>240</v>
      </c>
      <c r="B50" s="29">
        <v>310</v>
      </c>
      <c r="C50" s="29">
        <v>280</v>
      </c>
      <c r="D50" s="29">
        <v>220</v>
      </c>
      <c r="E50" s="29">
        <v>190</v>
      </c>
      <c r="F50" s="29">
        <v>180</v>
      </c>
      <c r="G50" s="27"/>
      <c r="H50" s="27"/>
      <c r="I50" s="27"/>
      <c r="J50" s="27"/>
      <c r="K50" s="27"/>
    </row>
    <row r="51" spans="1:11">
      <c r="A51" s="35"/>
      <c r="B51" s="35"/>
      <c r="C51" s="27"/>
      <c r="D51" s="27"/>
      <c r="E51" s="27"/>
      <c r="F51" s="27"/>
      <c r="G51" s="27"/>
      <c r="H51" s="27"/>
      <c r="I51" s="27"/>
      <c r="J51" s="27"/>
      <c r="K51" s="27"/>
    </row>
    <row r="52" spans="1:11">
      <c r="A52" s="115"/>
      <c r="B52" s="115"/>
      <c r="C52" s="115"/>
      <c r="D52" s="115"/>
      <c r="E52" s="115"/>
      <c r="F52" s="115"/>
      <c r="G52" s="27"/>
      <c r="H52" s="27"/>
      <c r="I52" s="27"/>
      <c r="J52" s="27"/>
      <c r="K52" s="27"/>
    </row>
    <row r="53" spans="1:11">
      <c r="A53" s="116"/>
      <c r="B53" s="116"/>
      <c r="C53" s="116"/>
      <c r="D53" s="116"/>
      <c r="E53" s="116"/>
      <c r="F53" s="116"/>
      <c r="G53" s="27"/>
      <c r="H53" s="27"/>
      <c r="I53" s="27"/>
      <c r="J53" s="27"/>
      <c r="K53" s="27"/>
    </row>
    <row r="54" spans="1:11">
      <c r="A54" s="117" t="s">
        <v>241</v>
      </c>
      <c r="B54" s="117"/>
      <c r="C54" s="117"/>
      <c r="D54" s="117"/>
      <c r="E54" s="117"/>
      <c r="F54" s="117"/>
      <c r="G54" s="27"/>
      <c r="H54" s="27"/>
      <c r="I54" s="27"/>
      <c r="J54" s="27"/>
      <c r="K54" s="27"/>
    </row>
    <row r="55" spans="1:11">
      <c r="A55" s="116"/>
      <c r="B55" s="116"/>
      <c r="C55" s="116"/>
      <c r="D55" s="116"/>
      <c r="E55" s="116"/>
      <c r="F55" s="116"/>
      <c r="G55" s="27"/>
      <c r="H55" s="27"/>
      <c r="I55" s="27"/>
      <c r="J55" s="27"/>
      <c r="K55" s="27"/>
    </row>
    <row r="58" spans="1:11">
      <c r="A58" s="37" t="s">
        <v>279</v>
      </c>
      <c r="B58" s="38" t="s">
        <v>243</v>
      </c>
    </row>
    <row r="59" spans="1:11">
      <c r="A59" s="24" t="s">
        <v>244</v>
      </c>
      <c r="B59" s="36" t="s">
        <v>163</v>
      </c>
    </row>
    <row r="60" spans="1:11">
      <c r="A60" s="25" t="s">
        <v>80</v>
      </c>
      <c r="B60" s="26">
        <v>44642</v>
      </c>
      <c r="C60" s="26">
        <v>44641</v>
      </c>
      <c r="D60" s="26">
        <v>44640</v>
      </c>
      <c r="E60" s="26">
        <v>44639</v>
      </c>
      <c r="F60" s="26">
        <v>44638</v>
      </c>
      <c r="G60" s="27"/>
      <c r="H60" s="27"/>
      <c r="I60" s="27"/>
      <c r="J60" s="27"/>
      <c r="K60" s="27"/>
    </row>
    <row r="61" spans="1:11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</row>
    <row r="62" spans="1:11">
      <c r="A62" s="29" t="s">
        <v>80</v>
      </c>
      <c r="B62" s="29" t="s">
        <v>171</v>
      </c>
      <c r="C62" s="29" t="s">
        <v>171</v>
      </c>
      <c r="D62" s="29" t="s">
        <v>171</v>
      </c>
      <c r="E62" s="29" t="s">
        <v>171</v>
      </c>
      <c r="F62" s="29" t="s">
        <v>171</v>
      </c>
      <c r="G62" s="27"/>
      <c r="H62" s="27"/>
      <c r="I62" s="27"/>
      <c r="J62" s="27"/>
      <c r="K62" s="27"/>
    </row>
    <row r="63" spans="1:11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</row>
    <row r="64" spans="1:11">
      <c r="A64" s="113" t="s">
        <v>280</v>
      </c>
      <c r="B64" s="114"/>
      <c r="C64" s="25"/>
      <c r="D64" s="25"/>
      <c r="E64" s="25"/>
      <c r="F64" s="25"/>
      <c r="G64" s="27"/>
      <c r="H64" s="27"/>
      <c r="I64" s="27"/>
      <c r="J64" s="27"/>
      <c r="K64" s="27"/>
    </row>
    <row r="65" spans="1:11">
      <c r="A65" s="113" t="s">
        <v>281</v>
      </c>
      <c r="B65" s="114"/>
      <c r="C65" s="25"/>
      <c r="D65" s="25"/>
      <c r="E65" s="25"/>
      <c r="F65" s="25"/>
      <c r="G65" s="27"/>
      <c r="H65" s="27"/>
      <c r="I65" s="27"/>
      <c r="J65" s="27"/>
      <c r="K65" s="27"/>
    </row>
    <row r="66" spans="1:11">
      <c r="A66" s="29" t="s">
        <v>252</v>
      </c>
      <c r="B66" s="29">
        <v>97.13</v>
      </c>
      <c r="C66" s="29">
        <v>97.13</v>
      </c>
      <c r="D66" s="29">
        <v>97.12</v>
      </c>
      <c r="E66" s="29">
        <v>97.11</v>
      </c>
      <c r="F66" s="29">
        <v>97.1</v>
      </c>
      <c r="G66" s="27"/>
      <c r="H66" s="27"/>
      <c r="I66" s="27"/>
      <c r="J66" s="27"/>
      <c r="K66" s="27"/>
    </row>
    <row r="67" spans="1:11">
      <c r="A67" s="24" t="s">
        <v>251</v>
      </c>
      <c r="B67" s="24">
        <v>97.13</v>
      </c>
      <c r="C67" s="24">
        <v>97.13</v>
      </c>
      <c r="D67" s="24">
        <v>97.12</v>
      </c>
      <c r="E67" s="24">
        <v>97.11</v>
      </c>
      <c r="F67" s="24">
        <v>97.1</v>
      </c>
      <c r="G67" s="27"/>
      <c r="H67" s="27"/>
      <c r="I67" s="27"/>
      <c r="J67" s="27"/>
      <c r="K67" s="27"/>
    </row>
    <row r="68" spans="1:11">
      <c r="A68" s="29" t="s">
        <v>282</v>
      </c>
      <c r="B68" s="34">
        <v>3666.76</v>
      </c>
      <c r="C68" s="34">
        <v>3182.48</v>
      </c>
      <c r="D68" s="34">
        <v>2527.92</v>
      </c>
      <c r="E68" s="34">
        <v>2275.2399999999998</v>
      </c>
      <c r="F68" s="34">
        <v>2046.51</v>
      </c>
      <c r="G68" s="27"/>
      <c r="H68" s="27"/>
      <c r="I68" s="27"/>
      <c r="J68" s="27"/>
      <c r="K68" s="27"/>
    </row>
    <row r="69" spans="1:11">
      <c r="A69" s="24" t="s">
        <v>283</v>
      </c>
      <c r="B69" s="33">
        <v>3666.76</v>
      </c>
      <c r="C69" s="33">
        <v>3182.48</v>
      </c>
      <c r="D69" s="33">
        <v>2527.92</v>
      </c>
      <c r="E69" s="33">
        <v>2275.2399999999998</v>
      </c>
      <c r="F69" s="33">
        <v>2046.51</v>
      </c>
      <c r="G69" s="27"/>
      <c r="H69" s="27"/>
      <c r="I69" s="27"/>
      <c r="J69" s="27"/>
      <c r="K69" s="27"/>
    </row>
    <row r="70" spans="1:11">
      <c r="A70" s="24" t="s">
        <v>284</v>
      </c>
      <c r="B70" s="33">
        <v>3763.89</v>
      </c>
      <c r="C70" s="33">
        <v>3279.61</v>
      </c>
      <c r="D70" s="33">
        <v>2625.04</v>
      </c>
      <c r="E70" s="33">
        <v>2372.35</v>
      </c>
      <c r="F70" s="33">
        <v>2143.61</v>
      </c>
      <c r="G70" s="27"/>
      <c r="H70" s="27"/>
      <c r="I70" s="27"/>
      <c r="J70" s="27"/>
      <c r="K70" s="27"/>
    </row>
    <row r="71" spans="1:11">
      <c r="A71" s="113" t="s">
        <v>285</v>
      </c>
      <c r="B71" s="114"/>
      <c r="C71" s="25"/>
      <c r="D71" s="25"/>
      <c r="E71" s="25"/>
      <c r="F71" s="25"/>
      <c r="G71" s="27"/>
      <c r="H71" s="27"/>
      <c r="I71" s="27"/>
      <c r="J71" s="27"/>
      <c r="K71" s="27"/>
    </row>
    <row r="72" spans="1:11">
      <c r="A72" s="29" t="s">
        <v>286</v>
      </c>
      <c r="B72" s="29">
        <v>23.18</v>
      </c>
      <c r="C72" s="29">
        <v>26.38</v>
      </c>
      <c r="D72" s="29">
        <v>29.14</v>
      </c>
      <c r="E72" s="29">
        <v>60.87</v>
      </c>
      <c r="F72" s="29">
        <v>58.6</v>
      </c>
      <c r="G72" s="27"/>
      <c r="H72" s="27"/>
      <c r="I72" s="27"/>
      <c r="J72" s="27"/>
      <c r="K72" s="27"/>
    </row>
    <row r="73" spans="1:11">
      <c r="A73" s="29" t="s">
        <v>287</v>
      </c>
      <c r="B73" s="29">
        <v>319.52999999999997</v>
      </c>
      <c r="C73" s="29">
        <v>238.18</v>
      </c>
      <c r="D73" s="29">
        <v>206.79</v>
      </c>
      <c r="E73" s="29">
        <v>14.39</v>
      </c>
      <c r="F73" s="29">
        <v>5.26</v>
      </c>
      <c r="G73" s="27"/>
      <c r="H73" s="27"/>
      <c r="I73" s="27"/>
      <c r="J73" s="27"/>
      <c r="K73" s="27"/>
    </row>
    <row r="74" spans="1:11">
      <c r="A74" s="29" t="s">
        <v>288</v>
      </c>
      <c r="B74" s="29">
        <v>3.98</v>
      </c>
      <c r="C74" s="29">
        <v>3.68</v>
      </c>
      <c r="D74" s="29">
        <v>3.41</v>
      </c>
      <c r="E74" s="29">
        <v>3.16</v>
      </c>
      <c r="F74" s="29">
        <v>2.92</v>
      </c>
      <c r="G74" s="27"/>
      <c r="H74" s="27"/>
      <c r="I74" s="27"/>
      <c r="J74" s="27"/>
      <c r="K74" s="27"/>
    </row>
    <row r="75" spans="1:11">
      <c r="A75" s="24" t="s">
        <v>289</v>
      </c>
      <c r="B75" s="24">
        <v>346.69</v>
      </c>
      <c r="C75" s="24">
        <v>268.24</v>
      </c>
      <c r="D75" s="24">
        <v>239.34</v>
      </c>
      <c r="E75" s="24">
        <v>78.42</v>
      </c>
      <c r="F75" s="24">
        <v>66.78</v>
      </c>
      <c r="G75" s="27"/>
      <c r="H75" s="27"/>
      <c r="I75" s="27"/>
      <c r="J75" s="27"/>
      <c r="K75" s="27"/>
    </row>
    <row r="76" spans="1:11">
      <c r="A76" s="113" t="s">
        <v>290</v>
      </c>
      <c r="B76" s="114"/>
      <c r="C76" s="25"/>
      <c r="D76" s="25"/>
      <c r="E76" s="25"/>
      <c r="F76" s="25"/>
      <c r="G76" s="27"/>
      <c r="H76" s="27"/>
      <c r="I76" s="27"/>
      <c r="J76" s="27"/>
      <c r="K76" s="27"/>
    </row>
    <row r="77" spans="1:11">
      <c r="A77" s="29" t="s">
        <v>291</v>
      </c>
      <c r="B77" s="29">
        <v>515.55999999999995</v>
      </c>
      <c r="C77" s="29">
        <v>155.44</v>
      </c>
      <c r="D77" s="29">
        <v>222.46</v>
      </c>
      <c r="E77" s="29">
        <v>215.34</v>
      </c>
      <c r="F77" s="29">
        <v>143.27000000000001</v>
      </c>
      <c r="G77" s="27"/>
      <c r="H77" s="27"/>
      <c r="I77" s="27"/>
      <c r="J77" s="27"/>
      <c r="K77" s="27"/>
    </row>
    <row r="78" spans="1:11">
      <c r="A78" s="29" t="s">
        <v>292</v>
      </c>
      <c r="B78" s="34">
        <v>1705.09</v>
      </c>
      <c r="C78" s="34">
        <v>1409.22</v>
      </c>
      <c r="D78" s="34">
        <v>1012.92</v>
      </c>
      <c r="E78" s="29">
        <v>968.14</v>
      </c>
      <c r="F78" s="29">
        <v>932.57</v>
      </c>
      <c r="G78" s="27"/>
      <c r="H78" s="27"/>
      <c r="I78" s="27"/>
      <c r="J78" s="27"/>
      <c r="K78" s="27"/>
    </row>
    <row r="79" spans="1:11">
      <c r="A79" s="29" t="s">
        <v>293</v>
      </c>
      <c r="B79" s="29">
        <v>265.95999999999998</v>
      </c>
      <c r="C79" s="29">
        <v>227.96</v>
      </c>
      <c r="D79" s="29">
        <v>212.95</v>
      </c>
      <c r="E79" s="29">
        <v>184.34</v>
      </c>
      <c r="F79" s="29">
        <v>202.49</v>
      </c>
      <c r="G79" s="27"/>
      <c r="H79" s="27"/>
      <c r="I79" s="27"/>
      <c r="J79" s="27"/>
      <c r="K79" s="27"/>
    </row>
    <row r="80" spans="1:11">
      <c r="A80" s="29" t="s">
        <v>294</v>
      </c>
      <c r="B80" s="29">
        <v>28.71</v>
      </c>
      <c r="C80" s="29">
        <v>27.61</v>
      </c>
      <c r="D80" s="29">
        <v>29.99</v>
      </c>
      <c r="E80" s="29">
        <v>18.670000000000002</v>
      </c>
      <c r="F80" s="29">
        <v>15.98</v>
      </c>
      <c r="G80" s="27"/>
      <c r="H80" s="27"/>
      <c r="I80" s="27"/>
      <c r="J80" s="27"/>
      <c r="K80" s="27"/>
    </row>
    <row r="81" spans="1:11">
      <c r="A81" s="24" t="s">
        <v>295</v>
      </c>
      <c r="B81" s="33">
        <v>2515.3200000000002</v>
      </c>
      <c r="C81" s="33">
        <v>1820.23</v>
      </c>
      <c r="D81" s="33">
        <v>1478.32</v>
      </c>
      <c r="E81" s="33">
        <v>1386.49</v>
      </c>
      <c r="F81" s="33">
        <v>1294.31</v>
      </c>
      <c r="G81" s="27"/>
      <c r="H81" s="27"/>
      <c r="I81" s="27"/>
      <c r="J81" s="27"/>
      <c r="K81" s="27"/>
    </row>
    <row r="82" spans="1:11">
      <c r="A82" s="24" t="s">
        <v>296</v>
      </c>
      <c r="B82" s="33">
        <v>6625.9</v>
      </c>
      <c r="C82" s="33">
        <v>5368.08</v>
      </c>
      <c r="D82" s="33">
        <v>4342.7</v>
      </c>
      <c r="E82" s="33">
        <v>3837.26</v>
      </c>
      <c r="F82" s="33">
        <v>3504.7</v>
      </c>
      <c r="G82" s="27"/>
      <c r="H82" s="27"/>
      <c r="I82" s="27"/>
      <c r="J82" s="27"/>
      <c r="K82" s="27"/>
    </row>
    <row r="83" spans="1:11">
      <c r="A83" s="113" t="s">
        <v>297</v>
      </c>
      <c r="B83" s="114"/>
      <c r="C83" s="25"/>
      <c r="D83" s="25"/>
      <c r="E83" s="25"/>
      <c r="F83" s="25"/>
      <c r="G83" s="27"/>
      <c r="H83" s="27"/>
      <c r="I83" s="27"/>
      <c r="J83" s="27"/>
      <c r="K83" s="27"/>
    </row>
    <row r="84" spans="1:11">
      <c r="A84" s="113" t="s">
        <v>298</v>
      </c>
      <c r="B84" s="114"/>
      <c r="C84" s="25"/>
      <c r="D84" s="25"/>
      <c r="E84" s="25"/>
      <c r="F84" s="25"/>
      <c r="G84" s="27"/>
      <c r="H84" s="27"/>
      <c r="I84" s="27"/>
      <c r="J84" s="27"/>
      <c r="K84" s="27"/>
    </row>
    <row r="85" spans="1:11">
      <c r="A85" s="29" t="s">
        <v>299</v>
      </c>
      <c r="B85" s="34">
        <v>1635.46</v>
      </c>
      <c r="C85" s="34">
        <v>1495.2</v>
      </c>
      <c r="D85" s="34">
        <v>1379.3</v>
      </c>
      <c r="E85" s="29">
        <v>996.56</v>
      </c>
      <c r="F85" s="29">
        <v>911.04</v>
      </c>
      <c r="G85" s="27"/>
      <c r="H85" s="27"/>
      <c r="I85" s="27"/>
      <c r="J85" s="27"/>
      <c r="K85" s="27"/>
    </row>
    <row r="86" spans="1:11">
      <c r="A86" s="29" t="s">
        <v>300</v>
      </c>
      <c r="B86" s="29">
        <v>9.26</v>
      </c>
      <c r="C86" s="29">
        <v>6.39</v>
      </c>
      <c r="D86" s="29">
        <v>6.93</v>
      </c>
      <c r="E86" s="29">
        <v>7.36</v>
      </c>
      <c r="F86" s="29">
        <v>4.29</v>
      </c>
      <c r="G86" s="27"/>
      <c r="H86" s="27"/>
      <c r="I86" s="27"/>
      <c r="J86" s="27"/>
      <c r="K86" s="27"/>
    </row>
    <row r="87" spans="1:11">
      <c r="A87" s="29" t="s">
        <v>301</v>
      </c>
      <c r="B87" s="29">
        <v>568.87</v>
      </c>
      <c r="C87" s="29">
        <v>97.6</v>
      </c>
      <c r="D87" s="29">
        <v>168.29</v>
      </c>
      <c r="E87" s="29">
        <v>147.72999999999999</v>
      </c>
      <c r="F87" s="29">
        <v>87.27</v>
      </c>
      <c r="G87" s="27"/>
      <c r="H87" s="27"/>
      <c r="I87" s="27"/>
      <c r="J87" s="27"/>
      <c r="K87" s="27"/>
    </row>
    <row r="88" spans="1:11">
      <c r="A88" s="24" t="s">
        <v>302</v>
      </c>
      <c r="B88" s="33">
        <v>2213.59</v>
      </c>
      <c r="C88" s="33">
        <v>1599.19</v>
      </c>
      <c r="D88" s="33">
        <v>1554.52</v>
      </c>
      <c r="E88" s="33">
        <v>1151.6500000000001</v>
      </c>
      <c r="F88" s="33">
        <v>1002.6</v>
      </c>
      <c r="G88" s="27"/>
      <c r="H88" s="27"/>
      <c r="I88" s="27"/>
      <c r="J88" s="27"/>
      <c r="K88" s="27"/>
    </row>
    <row r="89" spans="1:11">
      <c r="A89" s="29" t="s">
        <v>303</v>
      </c>
      <c r="B89" s="29">
        <v>681.42</v>
      </c>
      <c r="C89" s="29">
        <v>585.87</v>
      </c>
      <c r="D89" s="29">
        <v>468.63</v>
      </c>
      <c r="E89" s="29">
        <v>331.8</v>
      </c>
      <c r="F89" s="29">
        <v>303.18</v>
      </c>
      <c r="G89" s="27"/>
      <c r="H89" s="27"/>
      <c r="I89" s="27"/>
      <c r="J89" s="27"/>
      <c r="K89" s="27"/>
    </row>
    <row r="90" spans="1:11">
      <c r="A90" s="29" t="s">
        <v>304</v>
      </c>
      <c r="B90" s="29">
        <v>10.96</v>
      </c>
      <c r="C90" s="29">
        <v>24.76</v>
      </c>
      <c r="D90" s="29">
        <v>18.010000000000002</v>
      </c>
      <c r="E90" s="29">
        <v>16.420000000000002</v>
      </c>
      <c r="F90" s="29">
        <v>19.989999999999998</v>
      </c>
      <c r="G90" s="27"/>
      <c r="H90" s="27"/>
      <c r="I90" s="27"/>
      <c r="J90" s="27"/>
      <c r="K90" s="27"/>
    </row>
    <row r="91" spans="1:11">
      <c r="A91" s="29" t="s">
        <v>305</v>
      </c>
      <c r="B91" s="29">
        <v>197.09</v>
      </c>
      <c r="C91" s="29">
        <v>73</v>
      </c>
      <c r="D91" s="29">
        <v>92.43</v>
      </c>
      <c r="E91" s="29">
        <v>56.31</v>
      </c>
      <c r="F91" s="29">
        <v>79.72</v>
      </c>
      <c r="G91" s="27"/>
      <c r="H91" s="27"/>
      <c r="I91" s="27"/>
      <c r="J91" s="27"/>
      <c r="K91" s="27"/>
    </row>
    <row r="92" spans="1:11">
      <c r="A92" s="24" t="s">
        <v>306</v>
      </c>
      <c r="B92" s="33">
        <v>3103.06</v>
      </c>
      <c r="C92" s="33">
        <v>2282.8200000000002</v>
      </c>
      <c r="D92" s="33">
        <v>2133.59</v>
      </c>
      <c r="E92" s="33">
        <v>1556.18</v>
      </c>
      <c r="F92" s="33">
        <v>1405.49</v>
      </c>
      <c r="G92" s="27"/>
      <c r="H92" s="27"/>
      <c r="I92" s="27"/>
      <c r="J92" s="27"/>
      <c r="K92" s="27"/>
    </row>
    <row r="93" spans="1:11">
      <c r="A93" s="113" t="s">
        <v>307</v>
      </c>
      <c r="B93" s="114"/>
      <c r="C93" s="25"/>
      <c r="D93" s="25"/>
      <c r="E93" s="25"/>
      <c r="F93" s="25"/>
      <c r="G93" s="27"/>
      <c r="H93" s="27"/>
      <c r="I93" s="27"/>
      <c r="J93" s="27"/>
      <c r="K93" s="27"/>
    </row>
    <row r="94" spans="1:11">
      <c r="A94" s="29" t="s">
        <v>308</v>
      </c>
      <c r="B94" s="29">
        <v>62.75</v>
      </c>
      <c r="C94" s="29">
        <v>201.82</v>
      </c>
      <c r="D94" s="29">
        <v>179.35</v>
      </c>
      <c r="E94" s="29">
        <v>245.51</v>
      </c>
      <c r="F94" s="29">
        <v>227.59</v>
      </c>
      <c r="G94" s="27"/>
      <c r="H94" s="27"/>
      <c r="I94" s="27"/>
      <c r="J94" s="27"/>
      <c r="K94" s="27"/>
    </row>
    <row r="95" spans="1:11">
      <c r="A95" s="29" t="s">
        <v>265</v>
      </c>
      <c r="B95" s="34">
        <v>2149.9699999999998</v>
      </c>
      <c r="C95" s="34">
        <v>1499</v>
      </c>
      <c r="D95" s="34">
        <v>1167.24</v>
      </c>
      <c r="E95" s="34">
        <v>1149.1300000000001</v>
      </c>
      <c r="F95" s="29">
        <v>939.36</v>
      </c>
      <c r="G95" s="27"/>
      <c r="H95" s="27"/>
      <c r="I95" s="27"/>
      <c r="J95" s="27"/>
      <c r="K95" s="27"/>
    </row>
    <row r="96" spans="1:11">
      <c r="A96" s="29" t="s">
        <v>309</v>
      </c>
      <c r="B96" s="29">
        <v>835.58</v>
      </c>
      <c r="C96" s="29">
        <v>838.61</v>
      </c>
      <c r="D96" s="29">
        <v>558.57000000000005</v>
      </c>
      <c r="E96" s="29">
        <v>574.33000000000004</v>
      </c>
      <c r="F96" s="29">
        <v>598.01</v>
      </c>
      <c r="G96" s="27"/>
      <c r="H96" s="27"/>
      <c r="I96" s="27"/>
      <c r="J96" s="27"/>
      <c r="K96" s="27"/>
    </row>
    <row r="97" spans="1:11">
      <c r="A97" s="29" t="s">
        <v>310</v>
      </c>
      <c r="B97" s="29">
        <v>206.88</v>
      </c>
      <c r="C97" s="29">
        <v>338.55</v>
      </c>
      <c r="D97" s="29">
        <v>125.55</v>
      </c>
      <c r="E97" s="29">
        <v>131.77000000000001</v>
      </c>
      <c r="F97" s="29">
        <v>120.57</v>
      </c>
      <c r="G97" s="27"/>
      <c r="H97" s="27"/>
      <c r="I97" s="27"/>
      <c r="J97" s="27"/>
      <c r="K97" s="27"/>
    </row>
    <row r="98" spans="1:11">
      <c r="A98" s="29" t="s">
        <v>311</v>
      </c>
      <c r="B98" s="29">
        <v>0</v>
      </c>
      <c r="C98" s="29">
        <v>11.08</v>
      </c>
      <c r="D98" s="29">
        <v>9.01</v>
      </c>
      <c r="E98" s="29">
        <v>7.98</v>
      </c>
      <c r="F98" s="29">
        <v>1.96</v>
      </c>
      <c r="G98" s="27"/>
      <c r="H98" s="27"/>
      <c r="I98" s="27"/>
      <c r="J98" s="27"/>
      <c r="K98" s="27"/>
    </row>
    <row r="99" spans="1:11">
      <c r="A99" s="29" t="s">
        <v>312</v>
      </c>
      <c r="B99" s="29">
        <v>267.66000000000003</v>
      </c>
      <c r="C99" s="29">
        <v>196.2</v>
      </c>
      <c r="D99" s="29">
        <v>169.39</v>
      </c>
      <c r="E99" s="29">
        <v>172.36</v>
      </c>
      <c r="F99" s="29">
        <v>211.72</v>
      </c>
      <c r="G99" s="27"/>
      <c r="H99" s="27"/>
      <c r="I99" s="27"/>
      <c r="J99" s="27"/>
      <c r="K99" s="27"/>
    </row>
    <row r="100" spans="1:11">
      <c r="A100" s="24" t="s">
        <v>268</v>
      </c>
      <c r="B100" s="33">
        <v>3522.84</v>
      </c>
      <c r="C100" s="33">
        <v>3085.26</v>
      </c>
      <c r="D100" s="33">
        <v>2209.11</v>
      </c>
      <c r="E100" s="33">
        <v>2281.08</v>
      </c>
      <c r="F100" s="33">
        <v>2099.21</v>
      </c>
      <c r="G100" s="27"/>
      <c r="H100" s="27"/>
      <c r="I100" s="27"/>
      <c r="J100" s="27"/>
      <c r="K100" s="27"/>
    </row>
    <row r="101" spans="1:11">
      <c r="A101" s="24" t="s">
        <v>275</v>
      </c>
      <c r="B101" s="33">
        <v>6625.9</v>
      </c>
      <c r="C101" s="33">
        <v>5368.08</v>
      </c>
      <c r="D101" s="33">
        <v>4342.7</v>
      </c>
      <c r="E101" s="33">
        <v>3837.26</v>
      </c>
      <c r="F101" s="33">
        <v>3504.7</v>
      </c>
      <c r="G101" s="27"/>
      <c r="H101" s="27"/>
      <c r="I101" s="27"/>
      <c r="J101" s="27"/>
      <c r="K101" s="27"/>
    </row>
    <row r="102" spans="1:11">
      <c r="A102" s="113" t="s">
        <v>231</v>
      </c>
      <c r="B102" s="114"/>
      <c r="C102" s="25"/>
      <c r="D102" s="25"/>
      <c r="E102" s="25"/>
      <c r="F102" s="25"/>
      <c r="G102" s="27"/>
      <c r="H102" s="27"/>
      <c r="I102" s="27"/>
      <c r="J102" s="27"/>
      <c r="K102" s="27"/>
    </row>
    <row r="103" spans="1:11">
      <c r="A103" s="113" t="s">
        <v>313</v>
      </c>
      <c r="B103" s="114"/>
      <c r="C103" s="25"/>
      <c r="D103" s="25"/>
      <c r="E103" s="25"/>
      <c r="F103" s="25"/>
      <c r="G103" s="27"/>
      <c r="H103" s="27"/>
      <c r="I103" s="27"/>
      <c r="J103" s="27"/>
      <c r="K103" s="27"/>
    </row>
    <row r="104" spans="1:11">
      <c r="A104" s="29" t="s">
        <v>276</v>
      </c>
      <c r="B104" s="29">
        <v>748.33</v>
      </c>
      <c r="C104" s="29">
        <v>823.12</v>
      </c>
      <c r="D104" s="29">
        <v>470.91</v>
      </c>
      <c r="E104" s="29">
        <v>434.81</v>
      </c>
      <c r="F104" s="29">
        <v>361.61</v>
      </c>
      <c r="G104" s="27"/>
      <c r="H104" s="27"/>
      <c r="I104" s="27"/>
      <c r="J104" s="27"/>
      <c r="K104" s="27"/>
    </row>
    <row r="105" spans="1:11">
      <c r="A105" s="113" t="s">
        <v>314</v>
      </c>
      <c r="B105" s="114"/>
      <c r="C105" s="25"/>
      <c r="D105" s="25"/>
      <c r="E105" s="25"/>
      <c r="F105" s="25"/>
      <c r="G105" s="27"/>
      <c r="H105" s="27"/>
      <c r="I105" s="27"/>
      <c r="J105" s="27"/>
      <c r="K105" s="27"/>
    </row>
    <row r="106" spans="1:11">
      <c r="A106" s="113" t="s">
        <v>315</v>
      </c>
      <c r="B106" s="114"/>
      <c r="C106" s="25"/>
      <c r="D106" s="25"/>
      <c r="E106" s="25"/>
      <c r="F106" s="25"/>
      <c r="G106" s="27"/>
      <c r="H106" s="27"/>
      <c r="I106" s="27"/>
      <c r="J106" s="27"/>
      <c r="K106" s="27"/>
    </row>
    <row r="107" spans="1:11">
      <c r="A107" s="29" t="s">
        <v>316</v>
      </c>
      <c r="B107" s="34">
        <v>1167.45</v>
      </c>
      <c r="C107" s="29">
        <v>672.17</v>
      </c>
      <c r="D107" s="29">
        <v>714.37</v>
      </c>
      <c r="E107" s="29">
        <v>740.29</v>
      </c>
      <c r="F107" s="29">
        <v>0</v>
      </c>
      <c r="G107" s="27"/>
      <c r="H107" s="27"/>
      <c r="I107" s="27"/>
      <c r="J107" s="27"/>
      <c r="K107" s="27"/>
    </row>
    <row r="108" spans="1:11">
      <c r="A108" s="113" t="s">
        <v>317</v>
      </c>
      <c r="B108" s="114"/>
      <c r="C108" s="25"/>
      <c r="D108" s="25"/>
      <c r="E108" s="25"/>
      <c r="F108" s="25"/>
      <c r="G108" s="27"/>
      <c r="H108" s="27"/>
      <c r="I108" s="27"/>
      <c r="J108" s="27"/>
      <c r="K108" s="27"/>
    </row>
    <row r="109" spans="1:11">
      <c r="A109" s="29" t="s">
        <v>318</v>
      </c>
      <c r="B109" s="39" t="s">
        <v>319</v>
      </c>
      <c r="C109" s="39" t="s">
        <v>319</v>
      </c>
      <c r="D109" s="39" t="s">
        <v>319</v>
      </c>
      <c r="E109" s="39" t="s">
        <v>319</v>
      </c>
      <c r="F109" s="39" t="s">
        <v>319</v>
      </c>
      <c r="G109" s="27"/>
      <c r="H109" s="27"/>
      <c r="I109" s="27"/>
      <c r="J109" s="27"/>
      <c r="K109" s="27"/>
    </row>
    <row r="110" spans="1:11">
      <c r="A110" s="113" t="s">
        <v>320</v>
      </c>
      <c r="B110" s="114"/>
      <c r="C110" s="25"/>
      <c r="D110" s="25"/>
      <c r="E110" s="25"/>
      <c r="F110" s="25"/>
      <c r="G110" s="27"/>
      <c r="H110" s="27"/>
      <c r="I110" s="27"/>
      <c r="J110" s="27"/>
      <c r="K110" s="27"/>
    </row>
    <row r="111" spans="1:11">
      <c r="A111" s="29" t="s">
        <v>321</v>
      </c>
      <c r="B111" s="39" t="s">
        <v>319</v>
      </c>
      <c r="C111" s="39" t="s">
        <v>319</v>
      </c>
      <c r="D111" s="39" t="s">
        <v>319</v>
      </c>
      <c r="E111" s="39" t="s">
        <v>319</v>
      </c>
      <c r="F111" s="39" t="s">
        <v>319</v>
      </c>
      <c r="G111" s="27"/>
      <c r="H111" s="27"/>
      <c r="I111" s="27"/>
      <c r="J111" s="27"/>
      <c r="K111" s="27"/>
    </row>
    <row r="112" spans="1:11">
      <c r="A112" s="29" t="s">
        <v>322</v>
      </c>
      <c r="B112" s="29">
        <v>8.66</v>
      </c>
      <c r="C112" s="29">
        <v>7.41</v>
      </c>
      <c r="D112" s="29">
        <v>6</v>
      </c>
      <c r="E112" s="29">
        <v>8.07</v>
      </c>
      <c r="F112" s="39" t="s">
        <v>319</v>
      </c>
      <c r="G112" s="27"/>
      <c r="H112" s="27"/>
      <c r="I112" s="27"/>
      <c r="J112" s="27"/>
      <c r="K112" s="27"/>
    </row>
    <row r="113" spans="1:11">
      <c r="A113" s="113" t="s">
        <v>323</v>
      </c>
      <c r="B113" s="114"/>
      <c r="C113" s="25"/>
      <c r="D113" s="25"/>
      <c r="E113" s="25"/>
      <c r="F113" s="25"/>
      <c r="G113" s="27"/>
      <c r="H113" s="27"/>
      <c r="I113" s="27"/>
      <c r="J113" s="27"/>
      <c r="K113" s="27"/>
    </row>
    <row r="114" spans="1:11">
      <c r="A114" s="29" t="s">
        <v>324</v>
      </c>
      <c r="B114" s="29">
        <v>78.63</v>
      </c>
      <c r="C114" s="29">
        <v>78.63</v>
      </c>
      <c r="D114" s="29">
        <v>78.63</v>
      </c>
      <c r="E114" s="29">
        <v>78.63</v>
      </c>
      <c r="F114" s="29">
        <v>78.63</v>
      </c>
      <c r="G114" s="27"/>
      <c r="H114" s="27"/>
      <c r="I114" s="27"/>
      <c r="J114" s="27"/>
      <c r="K114" s="27"/>
    </row>
    <row r="115" spans="1:11">
      <c r="A115" s="113" t="s">
        <v>325</v>
      </c>
      <c r="B115" s="114"/>
      <c r="C115" s="25"/>
      <c r="D115" s="25"/>
      <c r="E115" s="25"/>
      <c r="F115" s="25"/>
      <c r="G115" s="27"/>
      <c r="H115" s="27"/>
      <c r="I115" s="27"/>
      <c r="J115" s="27"/>
      <c r="K115" s="27"/>
    </row>
    <row r="116" spans="1:11">
      <c r="A116" s="29" t="s">
        <v>326</v>
      </c>
      <c r="B116" s="39" t="s">
        <v>319</v>
      </c>
      <c r="C116" s="39" t="s">
        <v>319</v>
      </c>
      <c r="D116" s="39" t="s">
        <v>319</v>
      </c>
      <c r="E116" s="39" t="s">
        <v>319</v>
      </c>
      <c r="F116" s="39" t="s">
        <v>319</v>
      </c>
      <c r="G116" s="27"/>
      <c r="H116" s="27"/>
      <c r="I116" s="27"/>
      <c r="J116" s="27"/>
      <c r="K116" s="27"/>
    </row>
    <row r="117" spans="1:11">
      <c r="A117" s="29" t="s">
        <v>327</v>
      </c>
      <c r="B117" s="29">
        <v>681.42</v>
      </c>
      <c r="C117" s="29">
        <v>585.87</v>
      </c>
      <c r="D117" s="29">
        <v>468.63</v>
      </c>
      <c r="E117" s="29">
        <v>331.8</v>
      </c>
      <c r="F117" s="29">
        <v>303.18</v>
      </c>
      <c r="G117" s="27"/>
      <c r="H117" s="27"/>
      <c r="I117" s="27"/>
      <c r="J117" s="27"/>
      <c r="K117" s="27"/>
    </row>
    <row r="118" spans="1:11">
      <c r="A118" s="113" t="s">
        <v>328</v>
      </c>
      <c r="B118" s="114"/>
      <c r="C118" s="25"/>
      <c r="D118" s="25"/>
      <c r="E118" s="25"/>
      <c r="F118" s="25"/>
      <c r="G118" s="27"/>
      <c r="H118" s="27"/>
      <c r="I118" s="27"/>
      <c r="J118" s="27"/>
      <c r="K118" s="27"/>
    </row>
    <row r="119" spans="1:11">
      <c r="A119" s="29" t="s">
        <v>329</v>
      </c>
      <c r="B119" s="39" t="s">
        <v>319</v>
      </c>
      <c r="C119" s="39" t="s">
        <v>319</v>
      </c>
      <c r="D119" s="39" t="s">
        <v>319</v>
      </c>
      <c r="E119" s="39" t="s">
        <v>319</v>
      </c>
      <c r="F119" s="39" t="s">
        <v>319</v>
      </c>
      <c r="G119" s="27"/>
      <c r="H119" s="27"/>
      <c r="I119" s="27"/>
      <c r="J119" s="27"/>
      <c r="K119" s="27"/>
    </row>
    <row r="120" spans="1:11">
      <c r="A120" s="29" t="s">
        <v>330</v>
      </c>
      <c r="B120" s="27"/>
      <c r="C120" s="27"/>
      <c r="D120" s="27"/>
      <c r="E120" s="27"/>
      <c r="F120" s="27"/>
      <c r="G120" s="27"/>
      <c r="H120" s="27"/>
      <c r="I120" s="27"/>
      <c r="J120" s="27"/>
      <c r="K120" s="27"/>
    </row>
  </sheetData>
  <mergeCells count="32">
    <mergeCell ref="A113:B113"/>
    <mergeCell ref="A115:B115"/>
    <mergeCell ref="A118:B118"/>
    <mergeCell ref="A84:B84"/>
    <mergeCell ref="A93:B93"/>
    <mergeCell ref="A102:B102"/>
    <mergeCell ref="A106:B106"/>
    <mergeCell ref="A108:B108"/>
    <mergeCell ref="A110:B110"/>
    <mergeCell ref="A105:B105"/>
    <mergeCell ref="A65:B65"/>
    <mergeCell ref="A103:B103"/>
    <mergeCell ref="A61:K61"/>
    <mergeCell ref="A63:K63"/>
    <mergeCell ref="A64:B64"/>
    <mergeCell ref="A71:B71"/>
    <mergeCell ref="A76:B76"/>
    <mergeCell ref="A83:B83"/>
    <mergeCell ref="H4:M4"/>
    <mergeCell ref="H10:M10"/>
    <mergeCell ref="H32:M32"/>
    <mergeCell ref="A55:F55"/>
    <mergeCell ref="A38:K38"/>
    <mergeCell ref="A40:K40"/>
    <mergeCell ref="A41:B41"/>
    <mergeCell ref="A42:B42"/>
    <mergeCell ref="A45:B45"/>
    <mergeCell ref="A46:B46"/>
    <mergeCell ref="A47:B47"/>
    <mergeCell ref="A52:F52"/>
    <mergeCell ref="A53:F53"/>
    <mergeCell ref="A54:F54"/>
  </mergeCells>
  <hyperlinks>
    <hyperlink ref="B58" r:id="rId1" xr:uid="{39CB1BCD-A76B-430D-BBD9-D873234B745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AEE9-6009-4CA0-88B6-E38E08A442DB}">
  <dimension ref="A1:Q112"/>
  <sheetViews>
    <sheetView workbookViewId="0"/>
  </sheetViews>
  <sheetFormatPr defaultColWidth="11" defaultRowHeight="15.95"/>
  <sheetData>
    <row r="1" spans="1:17">
      <c r="A1" s="37" t="s">
        <v>331</v>
      </c>
      <c r="B1" s="38" t="s">
        <v>243</v>
      </c>
    </row>
    <row r="2" spans="1:17" ht="15.75">
      <c r="A2" s="24" t="s">
        <v>162</v>
      </c>
      <c r="B2" s="36" t="s">
        <v>163</v>
      </c>
      <c r="L2" s="41" t="s">
        <v>164</v>
      </c>
      <c r="M2" s="41" t="s">
        <v>165</v>
      </c>
      <c r="N2" s="41" t="s">
        <v>166</v>
      </c>
      <c r="O2" s="41" t="s">
        <v>167</v>
      </c>
      <c r="P2" s="41" t="s">
        <v>168</v>
      </c>
      <c r="Q2" s="27"/>
    </row>
    <row r="3" spans="1:17" ht="15.75">
      <c r="A3" s="25" t="s">
        <v>80</v>
      </c>
      <c r="B3" s="26">
        <v>44642</v>
      </c>
      <c r="C3" s="26">
        <v>44641</v>
      </c>
      <c r="D3" s="26">
        <v>44640</v>
      </c>
      <c r="E3" s="26">
        <v>44639</v>
      </c>
      <c r="F3" s="26">
        <v>44638</v>
      </c>
      <c r="G3" s="27"/>
      <c r="H3" s="27"/>
      <c r="I3" s="27"/>
      <c r="J3" s="27"/>
      <c r="K3" s="27"/>
      <c r="L3" s="42" t="s">
        <v>80</v>
      </c>
      <c r="M3" s="43" t="s">
        <v>169</v>
      </c>
      <c r="N3" s="43" t="s">
        <v>169</v>
      </c>
      <c r="O3" s="43" t="s">
        <v>169</v>
      </c>
      <c r="P3" s="43" t="s">
        <v>169</v>
      </c>
      <c r="Q3" s="43" t="s">
        <v>169</v>
      </c>
    </row>
    <row r="4" spans="1:17" ht="15.95" customHeight="1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0" t="s">
        <v>170</v>
      </c>
      <c r="M4" s="110"/>
      <c r="N4" s="110"/>
      <c r="O4" s="110"/>
      <c r="P4" s="110"/>
      <c r="Q4" s="110"/>
    </row>
    <row r="5" spans="1:17" ht="15.75">
      <c r="A5" s="29" t="s">
        <v>80</v>
      </c>
      <c r="B5" s="29" t="s">
        <v>171</v>
      </c>
      <c r="C5" s="29" t="s">
        <v>171</v>
      </c>
      <c r="D5" s="29" t="s">
        <v>171</v>
      </c>
      <c r="E5" s="29" t="s">
        <v>171</v>
      </c>
      <c r="F5" s="29" t="s">
        <v>171</v>
      </c>
      <c r="G5" s="27"/>
      <c r="H5" s="27"/>
      <c r="I5" s="27"/>
      <c r="J5" s="27"/>
      <c r="K5" s="27"/>
      <c r="L5" s="42" t="s">
        <v>172</v>
      </c>
      <c r="M5" s="43">
        <v>5948.9</v>
      </c>
      <c r="N5" s="43">
        <v>4690</v>
      </c>
      <c r="O5" s="43">
        <v>4943.17</v>
      </c>
      <c r="P5" s="43">
        <v>5173.62</v>
      </c>
      <c r="Q5" s="43">
        <v>4737.01</v>
      </c>
    </row>
    <row r="6" spans="1:17" ht="15.75">
      <c r="A6" s="112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42" t="s">
        <v>173</v>
      </c>
      <c r="M6" s="43">
        <v>0</v>
      </c>
      <c r="N6" s="43">
        <v>0</v>
      </c>
      <c r="O6" s="43">
        <v>0</v>
      </c>
      <c r="P6" s="43">
        <v>0</v>
      </c>
      <c r="Q6" s="43">
        <v>150.44</v>
      </c>
    </row>
    <row r="7" spans="1:17" ht="15.75">
      <c r="A7" s="113" t="s">
        <v>174</v>
      </c>
      <c r="B7" s="114"/>
      <c r="C7" s="25"/>
      <c r="D7" s="25"/>
      <c r="E7" s="25"/>
      <c r="F7" s="25"/>
      <c r="G7" s="27"/>
      <c r="H7" s="27"/>
      <c r="I7" s="27"/>
      <c r="J7" s="27"/>
      <c r="K7" s="27"/>
      <c r="L7" s="44" t="s">
        <v>175</v>
      </c>
      <c r="M7" s="45">
        <v>5948.9</v>
      </c>
      <c r="N7" s="45">
        <v>4690</v>
      </c>
      <c r="O7" s="45">
        <v>4943.17</v>
      </c>
      <c r="P7" s="45">
        <v>5173.62</v>
      </c>
      <c r="Q7" s="45">
        <v>4586.57</v>
      </c>
    </row>
    <row r="8" spans="1:17" ht="15.75">
      <c r="A8" s="25" t="s">
        <v>176</v>
      </c>
      <c r="B8" s="32">
        <v>5859.47</v>
      </c>
      <c r="C8" s="32">
        <v>4655.6899999999996</v>
      </c>
      <c r="D8" s="32">
        <v>4915.2</v>
      </c>
      <c r="E8" s="32">
        <v>5138.8599999999997</v>
      </c>
      <c r="F8" s="32">
        <v>4720.03</v>
      </c>
      <c r="G8" s="27"/>
      <c r="H8" s="27"/>
      <c r="I8" s="27"/>
      <c r="J8" s="27"/>
      <c r="K8" s="27"/>
      <c r="L8" s="42" t="s">
        <v>177</v>
      </c>
      <c r="M8" s="43">
        <v>32.86</v>
      </c>
      <c r="N8" s="43">
        <v>38.71</v>
      </c>
      <c r="O8" s="43">
        <v>26.86</v>
      </c>
      <c r="P8" s="43">
        <v>61.88</v>
      </c>
      <c r="Q8" s="43">
        <v>72.42</v>
      </c>
    </row>
    <row r="9" spans="1:17" ht="23.25">
      <c r="A9" s="29" t="s">
        <v>178</v>
      </c>
      <c r="B9" s="29">
        <v>0</v>
      </c>
      <c r="C9" s="29">
        <v>0</v>
      </c>
      <c r="D9" s="29">
        <v>0</v>
      </c>
      <c r="E9" s="29">
        <v>0</v>
      </c>
      <c r="F9" s="29">
        <v>150.44</v>
      </c>
      <c r="G9" s="27"/>
      <c r="H9" s="27"/>
      <c r="I9" s="27"/>
      <c r="J9" s="27"/>
      <c r="K9" s="27"/>
      <c r="L9" s="46" t="s">
        <v>179</v>
      </c>
      <c r="M9" s="47">
        <v>5981.76</v>
      </c>
      <c r="N9" s="47">
        <v>4728.71</v>
      </c>
      <c r="O9" s="47">
        <v>4970.03</v>
      </c>
      <c r="P9" s="47">
        <v>5235.5</v>
      </c>
      <c r="Q9" s="47">
        <v>4658.99</v>
      </c>
    </row>
    <row r="10" spans="1:17" ht="15.95" customHeight="1">
      <c r="A10" s="25" t="s">
        <v>180</v>
      </c>
      <c r="B10" s="32">
        <v>5859.47</v>
      </c>
      <c r="C10" s="32">
        <v>4655.6899999999996</v>
      </c>
      <c r="D10" s="32">
        <v>4915.2</v>
      </c>
      <c r="E10" s="32">
        <v>5138.8599999999997</v>
      </c>
      <c r="F10" s="32">
        <v>4569.59</v>
      </c>
      <c r="G10" s="27"/>
      <c r="H10" s="27"/>
      <c r="I10" s="27"/>
      <c r="J10" s="27"/>
      <c r="K10" s="27"/>
      <c r="L10" s="110" t="s">
        <v>181</v>
      </c>
      <c r="M10" s="110"/>
      <c r="N10" s="110"/>
      <c r="O10" s="110"/>
      <c r="P10" s="110"/>
      <c r="Q10" s="110"/>
    </row>
    <row r="11" spans="1:17" ht="23.25">
      <c r="A11" s="29" t="s">
        <v>182</v>
      </c>
      <c r="B11" s="29">
        <v>89.43</v>
      </c>
      <c r="C11" s="29">
        <v>34.31</v>
      </c>
      <c r="D11" s="29">
        <v>27.97</v>
      </c>
      <c r="E11" s="29">
        <v>34.76</v>
      </c>
      <c r="F11" s="29">
        <v>16.98</v>
      </c>
      <c r="G11" s="27"/>
      <c r="H11" s="27"/>
      <c r="I11" s="27"/>
      <c r="J11" s="27"/>
      <c r="K11" s="27"/>
      <c r="L11" s="42" t="s">
        <v>183</v>
      </c>
      <c r="M11" s="43">
        <v>69.09</v>
      </c>
      <c r="N11" s="43">
        <v>60.41</v>
      </c>
      <c r="O11" s="43">
        <v>69.78</v>
      </c>
      <c r="P11" s="43">
        <v>82.9</v>
      </c>
      <c r="Q11" s="43">
        <v>75.38</v>
      </c>
    </row>
    <row r="12" spans="1:17" ht="23.25">
      <c r="A12" s="25" t="s">
        <v>184</v>
      </c>
      <c r="B12" s="32">
        <v>5948.9</v>
      </c>
      <c r="C12" s="32">
        <v>4690</v>
      </c>
      <c r="D12" s="32">
        <v>4943.17</v>
      </c>
      <c r="E12" s="32">
        <v>5173.62</v>
      </c>
      <c r="F12" s="32">
        <v>4586.57</v>
      </c>
      <c r="G12" s="27"/>
      <c r="H12" s="27"/>
      <c r="I12" s="27"/>
      <c r="J12" s="27"/>
      <c r="K12" s="27"/>
      <c r="L12" s="42" t="s">
        <v>185</v>
      </c>
      <c r="M12" s="43">
        <v>4158.24</v>
      </c>
      <c r="N12" s="43">
        <v>2933.52</v>
      </c>
      <c r="O12" s="43">
        <v>3085.36</v>
      </c>
      <c r="P12" s="43">
        <v>3331.67</v>
      </c>
      <c r="Q12" s="43">
        <v>2798.14</v>
      </c>
    </row>
    <row r="13" spans="1:17" ht="23.25">
      <c r="A13" s="29" t="s">
        <v>177</v>
      </c>
      <c r="B13" s="29">
        <v>32.86</v>
      </c>
      <c r="C13" s="29">
        <v>38.71</v>
      </c>
      <c r="D13" s="29">
        <v>26.86</v>
      </c>
      <c r="E13" s="29">
        <v>61.88</v>
      </c>
      <c r="F13" s="29">
        <v>72.42</v>
      </c>
      <c r="G13" s="27"/>
      <c r="H13" s="27"/>
      <c r="I13" s="27"/>
      <c r="J13" s="27"/>
      <c r="K13" s="27"/>
      <c r="L13" s="42" t="s">
        <v>186</v>
      </c>
      <c r="M13" s="43">
        <v>312.37</v>
      </c>
      <c r="N13" s="43">
        <v>258.58</v>
      </c>
      <c r="O13" s="43">
        <v>269.38</v>
      </c>
      <c r="P13" s="43">
        <v>255.38</v>
      </c>
      <c r="Q13" s="43">
        <v>226.56</v>
      </c>
    </row>
    <row r="14" spans="1:17" ht="23.25">
      <c r="A14" s="24" t="s">
        <v>187</v>
      </c>
      <c r="B14" s="33">
        <v>5981.76</v>
      </c>
      <c r="C14" s="33">
        <v>4728.71</v>
      </c>
      <c r="D14" s="33">
        <v>4970.03</v>
      </c>
      <c r="E14" s="33">
        <v>5235.5</v>
      </c>
      <c r="F14" s="33">
        <v>4658.99</v>
      </c>
      <c r="G14" s="27"/>
      <c r="H14" s="27"/>
      <c r="I14" s="27"/>
      <c r="J14" s="27"/>
      <c r="K14" s="27"/>
      <c r="L14" s="42" t="s">
        <v>188</v>
      </c>
      <c r="M14" s="43">
        <v>210.75</v>
      </c>
      <c r="N14" s="43">
        <v>147.03</v>
      </c>
      <c r="O14" s="43">
        <v>245.99</v>
      </c>
      <c r="P14" s="43">
        <v>260.98</v>
      </c>
      <c r="Q14" s="43">
        <v>275.14</v>
      </c>
    </row>
    <row r="15" spans="1:17" ht="23.25">
      <c r="A15" s="113" t="s">
        <v>189</v>
      </c>
      <c r="B15" s="114"/>
      <c r="C15" s="25"/>
      <c r="D15" s="25"/>
      <c r="E15" s="25"/>
      <c r="F15" s="25"/>
      <c r="G15" s="27"/>
      <c r="H15" s="27"/>
      <c r="I15" s="27"/>
      <c r="J15" s="27"/>
      <c r="K15" s="27"/>
      <c r="L15" s="42" t="s">
        <v>190</v>
      </c>
      <c r="M15" s="43">
        <v>551.11</v>
      </c>
      <c r="N15" s="43">
        <v>457.38</v>
      </c>
      <c r="O15" s="43">
        <v>491.04</v>
      </c>
      <c r="P15" s="43">
        <v>500.69</v>
      </c>
      <c r="Q15" s="43">
        <v>421.58</v>
      </c>
    </row>
    <row r="16" spans="1:17" ht="23.25">
      <c r="A16" s="29" t="s">
        <v>191</v>
      </c>
      <c r="B16" s="34">
        <v>4013.98</v>
      </c>
      <c r="C16" s="34">
        <v>2694.59</v>
      </c>
      <c r="D16" s="34">
        <v>2722.18</v>
      </c>
      <c r="E16" s="34">
        <v>3241.77</v>
      </c>
      <c r="F16" s="34">
        <v>2674.88</v>
      </c>
      <c r="G16" s="27"/>
      <c r="H16" s="27"/>
      <c r="I16" s="27"/>
      <c r="J16" s="27"/>
      <c r="K16" s="27"/>
      <c r="L16" s="42" t="s">
        <v>192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</row>
    <row r="17" spans="1:17" ht="23.25">
      <c r="A17" s="29" t="s">
        <v>193</v>
      </c>
      <c r="B17" s="29">
        <v>396.22</v>
      </c>
      <c r="C17" s="29">
        <v>315.33</v>
      </c>
      <c r="D17" s="29">
        <v>284.23</v>
      </c>
      <c r="E17" s="29">
        <v>258.74</v>
      </c>
      <c r="F17" s="29">
        <v>213.64</v>
      </c>
      <c r="G17" s="27"/>
      <c r="H17" s="27"/>
      <c r="I17" s="27"/>
      <c r="J17" s="27"/>
      <c r="K17" s="27"/>
      <c r="L17" s="42" t="s">
        <v>194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</row>
    <row r="18" spans="1:17" ht="23.25">
      <c r="A18" s="29" t="s">
        <v>195</v>
      </c>
      <c r="B18" s="29">
        <v>-280.94</v>
      </c>
      <c r="C18" s="29">
        <v>-98.49</v>
      </c>
      <c r="D18" s="29">
        <v>51.21</v>
      </c>
      <c r="E18" s="29">
        <v>-197.98</v>
      </c>
      <c r="F18" s="29">
        <v>-114.45</v>
      </c>
      <c r="G18" s="27"/>
      <c r="H18" s="27"/>
      <c r="I18" s="27"/>
      <c r="J18" s="27"/>
      <c r="K18" s="27"/>
      <c r="L18" s="46" t="s">
        <v>196</v>
      </c>
      <c r="M18" s="47">
        <v>5301.56</v>
      </c>
      <c r="N18" s="47">
        <v>3856.92</v>
      </c>
      <c r="O18" s="47">
        <v>4161.55</v>
      </c>
      <c r="P18" s="47">
        <v>4431.62</v>
      </c>
      <c r="Q18" s="47">
        <v>3796.8</v>
      </c>
    </row>
    <row r="19" spans="1:17" ht="23.25">
      <c r="A19" s="29" t="s">
        <v>197</v>
      </c>
      <c r="B19" s="29">
        <v>312.37</v>
      </c>
      <c r="C19" s="29">
        <v>258.58</v>
      </c>
      <c r="D19" s="29">
        <v>269.38</v>
      </c>
      <c r="E19" s="29">
        <v>255.38</v>
      </c>
      <c r="F19" s="29">
        <v>226.56</v>
      </c>
      <c r="G19" s="27"/>
      <c r="H19" s="27"/>
      <c r="I19" s="27"/>
      <c r="J19" s="27"/>
      <c r="K19" s="27"/>
      <c r="L19" s="42" t="s">
        <v>198</v>
      </c>
      <c r="M19" s="43">
        <v>647.34</v>
      </c>
      <c r="N19" s="43">
        <v>833.08</v>
      </c>
      <c r="O19" s="43">
        <v>781.62</v>
      </c>
      <c r="P19" s="43">
        <v>742</v>
      </c>
      <c r="Q19" s="43">
        <v>789.77</v>
      </c>
    </row>
    <row r="20" spans="1:17" ht="15.75">
      <c r="A20" s="29" t="s">
        <v>199</v>
      </c>
      <c r="B20" s="29">
        <v>9.8699999999999992</v>
      </c>
      <c r="C20" s="29">
        <v>7.49</v>
      </c>
      <c r="D20" s="29">
        <v>5</v>
      </c>
      <c r="E20" s="29">
        <v>0</v>
      </c>
      <c r="F20" s="29">
        <v>0</v>
      </c>
      <c r="G20" s="27"/>
      <c r="H20" s="27"/>
      <c r="I20" s="27"/>
      <c r="J20" s="27"/>
      <c r="K20" s="27"/>
      <c r="L20" s="44" t="s">
        <v>200</v>
      </c>
      <c r="M20" s="45">
        <v>680.2</v>
      </c>
      <c r="N20" s="45">
        <v>871.79</v>
      </c>
      <c r="O20" s="45">
        <v>808.48</v>
      </c>
      <c r="P20" s="45">
        <v>803.88</v>
      </c>
      <c r="Q20" s="45">
        <v>862.19</v>
      </c>
    </row>
    <row r="21" spans="1:17" ht="15.75">
      <c r="A21" s="29" t="s">
        <v>201</v>
      </c>
      <c r="B21" s="29">
        <v>153.82</v>
      </c>
      <c r="C21" s="29">
        <v>138.97</v>
      </c>
      <c r="D21" s="29">
        <v>119.88</v>
      </c>
      <c r="E21" s="29">
        <v>90.47</v>
      </c>
      <c r="F21" s="29">
        <v>75.790000000000006</v>
      </c>
      <c r="G21" s="27"/>
      <c r="H21" s="27"/>
      <c r="I21" s="27"/>
      <c r="J21" s="27"/>
      <c r="K21" s="27"/>
      <c r="L21" s="42" t="s">
        <v>131</v>
      </c>
      <c r="M21" s="43">
        <v>153.82</v>
      </c>
      <c r="N21" s="43">
        <v>138.97</v>
      </c>
      <c r="O21" s="43">
        <v>119.88</v>
      </c>
      <c r="P21" s="43">
        <v>90.47</v>
      </c>
      <c r="Q21" s="43">
        <v>75.790000000000006</v>
      </c>
    </row>
    <row r="22" spans="1:17" ht="23.25">
      <c r="A22" s="29" t="s">
        <v>202</v>
      </c>
      <c r="B22" s="29">
        <v>859.93</v>
      </c>
      <c r="C22" s="29">
        <v>686.91</v>
      </c>
      <c r="D22" s="29">
        <v>834.55</v>
      </c>
      <c r="E22" s="29">
        <v>873.71</v>
      </c>
      <c r="F22" s="29">
        <v>796.17</v>
      </c>
      <c r="G22" s="27"/>
      <c r="H22" s="27"/>
      <c r="I22" s="27"/>
      <c r="J22" s="27"/>
      <c r="K22" s="27"/>
      <c r="L22" s="42" t="s">
        <v>203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</row>
    <row r="23" spans="1:17" ht="15.75">
      <c r="A23" s="24" t="s">
        <v>204</v>
      </c>
      <c r="B23" s="33">
        <v>5465.25</v>
      </c>
      <c r="C23" s="33">
        <v>4003.38</v>
      </c>
      <c r="D23" s="33">
        <v>4286.43</v>
      </c>
      <c r="E23" s="33">
        <v>4522.09</v>
      </c>
      <c r="F23" s="33">
        <v>3872.59</v>
      </c>
      <c r="G23" s="27"/>
      <c r="H23" s="27"/>
      <c r="I23" s="27"/>
      <c r="J23" s="27"/>
      <c r="K23" s="27"/>
      <c r="L23" s="44" t="s">
        <v>128</v>
      </c>
      <c r="M23" s="45">
        <v>526.38</v>
      </c>
      <c r="N23" s="45">
        <v>732.82</v>
      </c>
      <c r="O23" s="45">
        <v>688.6</v>
      </c>
      <c r="P23" s="45">
        <v>713.41</v>
      </c>
      <c r="Q23" s="45">
        <v>786.4</v>
      </c>
    </row>
    <row r="24" spans="1:17" ht="15.75">
      <c r="A24" s="25" t="s">
        <v>80</v>
      </c>
      <c r="B24" s="26">
        <v>44642</v>
      </c>
      <c r="C24" s="26">
        <v>44641</v>
      </c>
      <c r="D24" s="26">
        <v>44640</v>
      </c>
      <c r="E24" s="26">
        <v>44639</v>
      </c>
      <c r="F24" s="26">
        <v>44638</v>
      </c>
      <c r="G24" s="27"/>
      <c r="H24" s="27"/>
      <c r="I24" s="27"/>
      <c r="J24" s="27"/>
      <c r="K24" s="27"/>
      <c r="L24" s="42" t="s">
        <v>205</v>
      </c>
      <c r="M24" s="43">
        <v>9.8699999999999992</v>
      </c>
      <c r="N24" s="43">
        <v>7.49</v>
      </c>
      <c r="O24" s="43">
        <v>5</v>
      </c>
      <c r="P24" s="43">
        <v>0</v>
      </c>
      <c r="Q24" s="43">
        <v>0</v>
      </c>
    </row>
    <row r="25" spans="1:17" ht="15.75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44" t="s">
        <v>206</v>
      </c>
      <c r="M25" s="45">
        <v>516.51</v>
      </c>
      <c r="N25" s="45">
        <v>725.33</v>
      </c>
      <c r="O25" s="45">
        <v>683.6</v>
      </c>
      <c r="P25" s="45">
        <v>713.41</v>
      </c>
      <c r="Q25" s="45">
        <v>786.4</v>
      </c>
    </row>
    <row r="26" spans="1:17" ht="15.75">
      <c r="A26" s="29" t="s">
        <v>80</v>
      </c>
      <c r="B26" s="29" t="s">
        <v>171</v>
      </c>
      <c r="C26" s="29" t="s">
        <v>171</v>
      </c>
      <c r="D26" s="29" t="s">
        <v>171</v>
      </c>
      <c r="E26" s="29" t="s">
        <v>171</v>
      </c>
      <c r="F26" s="29" t="s">
        <v>171</v>
      </c>
      <c r="G26" s="27"/>
      <c r="H26" s="27"/>
      <c r="I26" s="27"/>
      <c r="J26" s="27"/>
      <c r="K26" s="27"/>
      <c r="L26" s="42" t="s">
        <v>207</v>
      </c>
      <c r="M26" s="43">
        <v>130.79</v>
      </c>
      <c r="N26" s="43">
        <v>183.52</v>
      </c>
      <c r="O26" s="43">
        <v>148.19999999999999</v>
      </c>
      <c r="P26" s="43">
        <v>246.06</v>
      </c>
      <c r="Q26" s="43">
        <v>270</v>
      </c>
    </row>
    <row r="27" spans="1:17" ht="33.75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44" t="s">
        <v>208</v>
      </c>
      <c r="M27" s="45">
        <v>385.72</v>
      </c>
      <c r="N27" s="45">
        <v>541.80999999999995</v>
      </c>
      <c r="O27" s="45">
        <v>535.4</v>
      </c>
      <c r="P27" s="45">
        <v>467.35</v>
      </c>
      <c r="Q27" s="45">
        <v>516.4</v>
      </c>
    </row>
    <row r="28" spans="1:17" ht="23.25">
      <c r="A28" s="24" t="s">
        <v>209</v>
      </c>
      <c r="B28" s="24">
        <v>516.51</v>
      </c>
      <c r="C28" s="24">
        <v>725.33</v>
      </c>
      <c r="D28" s="24">
        <v>683.6</v>
      </c>
      <c r="E28" s="24">
        <v>713.41</v>
      </c>
      <c r="F28" s="24">
        <v>786.4</v>
      </c>
      <c r="G28" s="27"/>
      <c r="H28" s="27"/>
      <c r="I28" s="27"/>
      <c r="J28" s="27"/>
      <c r="K28" s="27"/>
      <c r="L28" s="42" t="s">
        <v>210</v>
      </c>
      <c r="M28" s="43">
        <v>-8.8800000000000008</v>
      </c>
      <c r="N28" s="43">
        <v>-10.63</v>
      </c>
      <c r="O28" s="43">
        <v>-1.02</v>
      </c>
      <c r="P28" s="43">
        <v>0.92</v>
      </c>
      <c r="Q28" s="43">
        <v>-1.0900000000000001</v>
      </c>
    </row>
    <row r="29" spans="1:17" ht="33.75">
      <c r="A29" s="29" t="s">
        <v>211</v>
      </c>
      <c r="B29" s="29">
        <v>-11.39</v>
      </c>
      <c r="C29" s="29">
        <v>-10.82</v>
      </c>
      <c r="D29" s="29">
        <v>0</v>
      </c>
      <c r="E29" s="29">
        <v>0</v>
      </c>
      <c r="F29" s="29">
        <v>0</v>
      </c>
      <c r="G29" s="27"/>
      <c r="H29" s="27"/>
      <c r="I29" s="27"/>
      <c r="J29" s="27"/>
      <c r="K29" s="27"/>
      <c r="L29" s="42" t="s">
        <v>212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</row>
    <row r="30" spans="1:17" ht="23.25">
      <c r="A30" s="25" t="s">
        <v>213</v>
      </c>
      <c r="B30" s="25">
        <v>505.12</v>
      </c>
      <c r="C30" s="25">
        <v>714.51</v>
      </c>
      <c r="D30" s="25">
        <v>683.6</v>
      </c>
      <c r="E30" s="25">
        <v>713.41</v>
      </c>
      <c r="F30" s="25">
        <v>786.4</v>
      </c>
      <c r="G30" s="27"/>
      <c r="H30" s="27"/>
      <c r="I30" s="27"/>
      <c r="J30" s="27"/>
      <c r="K30" s="27"/>
      <c r="L30" s="42" t="s">
        <v>214</v>
      </c>
      <c r="M30" s="43">
        <v>-2.5099999999999998</v>
      </c>
      <c r="N30" s="43">
        <v>-0.19</v>
      </c>
      <c r="O30" s="43">
        <v>1.02</v>
      </c>
      <c r="P30" s="43">
        <v>-0.92</v>
      </c>
      <c r="Q30" s="43">
        <v>1.0900000000000001</v>
      </c>
    </row>
    <row r="31" spans="1:17" ht="23.25">
      <c r="A31" s="113" t="s">
        <v>215</v>
      </c>
      <c r="B31" s="114"/>
      <c r="C31" s="25"/>
      <c r="D31" s="25"/>
      <c r="E31" s="25"/>
      <c r="F31" s="25"/>
      <c r="G31" s="27"/>
      <c r="H31" s="27"/>
      <c r="I31" s="27"/>
      <c r="J31" s="27"/>
      <c r="K31" s="27"/>
      <c r="L31" s="44" t="s">
        <v>216</v>
      </c>
      <c r="M31" s="45">
        <v>374.33</v>
      </c>
      <c r="N31" s="45">
        <v>530.99</v>
      </c>
      <c r="O31" s="45">
        <v>535.4</v>
      </c>
      <c r="P31" s="45">
        <v>467.35</v>
      </c>
      <c r="Q31" s="45">
        <v>516.4</v>
      </c>
    </row>
    <row r="32" spans="1:17" ht="15.95" customHeight="1">
      <c r="A32" s="29" t="s">
        <v>217</v>
      </c>
      <c r="B32" s="29">
        <v>132.35</v>
      </c>
      <c r="C32" s="29">
        <v>180.18</v>
      </c>
      <c r="D32" s="29">
        <v>166.33</v>
      </c>
      <c r="E32" s="29">
        <v>221.87</v>
      </c>
      <c r="F32" s="29">
        <v>268.20999999999998</v>
      </c>
      <c r="G32" s="27"/>
      <c r="H32" s="27"/>
      <c r="I32" s="27"/>
      <c r="J32" s="27"/>
      <c r="K32" s="27"/>
      <c r="L32" s="110" t="s">
        <v>218</v>
      </c>
      <c r="M32" s="110"/>
      <c r="N32" s="110"/>
      <c r="O32" s="110"/>
      <c r="P32" s="110"/>
      <c r="Q32" s="110"/>
    </row>
    <row r="33" spans="1:17" ht="23.25">
      <c r="A33" s="29" t="s">
        <v>219</v>
      </c>
      <c r="B33" s="29">
        <v>-1.56</v>
      </c>
      <c r="C33" s="29">
        <v>3.34</v>
      </c>
      <c r="D33" s="29">
        <v>-18.13</v>
      </c>
      <c r="E33" s="29">
        <v>24.19</v>
      </c>
      <c r="F33" s="29">
        <v>1.79</v>
      </c>
      <c r="G33" s="27"/>
      <c r="H33" s="27"/>
      <c r="I33" s="27"/>
      <c r="J33" s="27"/>
      <c r="K33" s="27"/>
      <c r="L33" s="42" t="s">
        <v>220</v>
      </c>
      <c r="M33" s="43">
        <v>0</v>
      </c>
      <c r="N33" s="43">
        <v>0</v>
      </c>
      <c r="O33" s="43">
        <v>0</v>
      </c>
      <c r="P33" s="43">
        <v>0</v>
      </c>
      <c r="Q33" s="43">
        <v>0</v>
      </c>
    </row>
    <row r="34" spans="1:17" ht="23.25">
      <c r="A34" s="25" t="s">
        <v>223</v>
      </c>
      <c r="B34" s="25">
        <v>130.79</v>
      </c>
      <c r="C34" s="25">
        <v>183.52</v>
      </c>
      <c r="D34" s="25">
        <v>148.19999999999999</v>
      </c>
      <c r="E34" s="25">
        <v>246.06</v>
      </c>
      <c r="F34" s="25">
        <v>270</v>
      </c>
      <c r="G34" s="27"/>
      <c r="H34" s="27"/>
      <c r="I34" s="27"/>
      <c r="J34" s="27"/>
      <c r="K34" s="27"/>
      <c r="L34" s="42" t="s">
        <v>222</v>
      </c>
      <c r="M34" s="43">
        <v>282.93</v>
      </c>
      <c r="N34" s="43">
        <v>237.12</v>
      </c>
      <c r="O34" s="43">
        <v>111.32</v>
      </c>
      <c r="P34" s="43">
        <v>111.32</v>
      </c>
      <c r="Q34" s="43">
        <v>127.85</v>
      </c>
    </row>
    <row r="35" spans="1:17" ht="23.25">
      <c r="A35" s="25" t="s">
        <v>225</v>
      </c>
      <c r="B35" s="25">
        <v>374.33</v>
      </c>
      <c r="C35" s="25">
        <v>530.99</v>
      </c>
      <c r="D35" s="25">
        <v>535.4</v>
      </c>
      <c r="E35" s="25">
        <v>467.35</v>
      </c>
      <c r="F35" s="25">
        <v>516.4</v>
      </c>
      <c r="G35" s="27"/>
      <c r="H35" s="27"/>
      <c r="I35" s="27"/>
      <c r="J35" s="27"/>
      <c r="K35" s="27"/>
      <c r="L35" s="42" t="s">
        <v>224</v>
      </c>
      <c r="M35" s="43">
        <v>525.01</v>
      </c>
      <c r="N35" s="43">
        <v>440.01</v>
      </c>
      <c r="O35" s="43">
        <v>206.57</v>
      </c>
      <c r="P35" s="43">
        <v>206.57</v>
      </c>
      <c r="Q35" s="43">
        <v>237.24</v>
      </c>
    </row>
    <row r="36" spans="1:17" ht="23.25">
      <c r="A36" s="25" t="s">
        <v>227</v>
      </c>
      <c r="B36" s="25">
        <v>374.33</v>
      </c>
      <c r="C36" s="25">
        <v>530.99</v>
      </c>
      <c r="D36" s="25">
        <v>535.4</v>
      </c>
      <c r="E36" s="25">
        <v>467.35</v>
      </c>
      <c r="F36" s="25">
        <v>516.4</v>
      </c>
      <c r="G36" s="27"/>
      <c r="H36" s="27"/>
      <c r="I36" s="27"/>
      <c r="J36" s="27"/>
      <c r="K36" s="27"/>
      <c r="L36" s="42" t="s">
        <v>226</v>
      </c>
      <c r="M36" s="43">
        <v>5389.2</v>
      </c>
      <c r="N36" s="43">
        <v>5389.2</v>
      </c>
      <c r="O36" s="43">
        <v>5389.2</v>
      </c>
      <c r="P36" s="43">
        <v>5389.2</v>
      </c>
      <c r="Q36" s="43">
        <v>5389.2</v>
      </c>
    </row>
    <row r="37" spans="1:17" ht="33.75">
      <c r="A37" s="24" t="s">
        <v>229</v>
      </c>
      <c r="B37" s="24">
        <v>374.33</v>
      </c>
      <c r="C37" s="24">
        <v>530.99</v>
      </c>
      <c r="D37" s="24">
        <v>535.4</v>
      </c>
      <c r="E37" s="24">
        <v>467.35</v>
      </c>
      <c r="F37" s="24">
        <v>516.4</v>
      </c>
      <c r="G37" s="27"/>
      <c r="H37" s="27"/>
      <c r="I37" s="27"/>
      <c r="J37" s="27"/>
      <c r="K37" s="27"/>
      <c r="L37" s="44" t="s">
        <v>228</v>
      </c>
      <c r="M37" s="45">
        <v>6.95</v>
      </c>
      <c r="N37" s="45">
        <v>9.85</v>
      </c>
      <c r="O37" s="45">
        <v>9.93</v>
      </c>
      <c r="P37" s="45">
        <v>8.67</v>
      </c>
      <c r="Q37" s="45">
        <v>9.58</v>
      </c>
    </row>
    <row r="38" spans="1:17">
      <c r="A38" s="25" t="s">
        <v>80</v>
      </c>
      <c r="B38" s="26">
        <v>44642</v>
      </c>
      <c r="C38" s="26">
        <v>44641</v>
      </c>
      <c r="D38" s="26">
        <v>44640</v>
      </c>
      <c r="E38" s="26">
        <v>44639</v>
      </c>
      <c r="F38" s="26">
        <v>44638</v>
      </c>
      <c r="G38" s="27"/>
      <c r="H38" s="27"/>
      <c r="I38" s="27"/>
      <c r="J38" s="27"/>
      <c r="K38" s="27"/>
    </row>
    <row r="39" spans="1:17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</row>
    <row r="40" spans="1:17">
      <c r="A40" s="29" t="s">
        <v>80</v>
      </c>
      <c r="B40" s="29" t="s">
        <v>171</v>
      </c>
      <c r="C40" s="29" t="s">
        <v>171</v>
      </c>
      <c r="D40" s="29" t="s">
        <v>171</v>
      </c>
      <c r="E40" s="29" t="s">
        <v>171</v>
      </c>
      <c r="F40" s="29" t="s">
        <v>171</v>
      </c>
      <c r="G40" s="27"/>
      <c r="H40" s="27"/>
      <c r="I40" s="27"/>
      <c r="J40" s="27"/>
      <c r="K40" s="27"/>
    </row>
    <row r="41" spans="1:17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</row>
    <row r="42" spans="1:17">
      <c r="A42" s="113" t="s">
        <v>231</v>
      </c>
      <c r="B42" s="114"/>
      <c r="C42" s="25"/>
      <c r="D42" s="25"/>
      <c r="E42" s="25"/>
      <c r="F42" s="25"/>
      <c r="G42" s="27"/>
      <c r="H42" s="27"/>
      <c r="I42" s="27"/>
      <c r="J42" s="27"/>
      <c r="K42" s="27"/>
    </row>
    <row r="43" spans="1:17">
      <c r="A43" s="113" t="s">
        <v>232</v>
      </c>
      <c r="B43" s="114"/>
      <c r="C43" s="25"/>
      <c r="D43" s="25"/>
      <c r="E43" s="25"/>
      <c r="F43" s="25"/>
      <c r="G43" s="27"/>
      <c r="H43" s="27"/>
      <c r="I43" s="27"/>
      <c r="J43" s="27"/>
      <c r="K43" s="27"/>
    </row>
    <row r="44" spans="1:17">
      <c r="A44" s="29" t="s">
        <v>233</v>
      </c>
      <c r="B44" s="29">
        <v>6.95</v>
      </c>
      <c r="C44" s="29">
        <v>9.85</v>
      </c>
      <c r="D44" s="29">
        <v>9.94</v>
      </c>
      <c r="E44" s="29">
        <v>8.67</v>
      </c>
      <c r="F44" s="29">
        <v>9.58</v>
      </c>
      <c r="G44" s="27"/>
      <c r="H44" s="27"/>
      <c r="I44" s="27"/>
      <c r="J44" s="27"/>
      <c r="K44" s="27"/>
    </row>
    <row r="45" spans="1:17">
      <c r="A45" s="29" t="s">
        <v>234</v>
      </c>
      <c r="B45" s="29">
        <v>6.95</v>
      </c>
      <c r="C45" s="29">
        <v>9.85</v>
      </c>
      <c r="D45" s="29">
        <v>9.94</v>
      </c>
      <c r="E45" s="29">
        <v>8.67</v>
      </c>
      <c r="F45" s="29">
        <v>9.58</v>
      </c>
      <c r="G45" s="27"/>
      <c r="H45" s="27"/>
      <c r="I45" s="27"/>
      <c r="J45" s="27"/>
      <c r="K45" s="27"/>
    </row>
    <row r="46" spans="1:17">
      <c r="A46" s="113" t="s">
        <v>235</v>
      </c>
      <c r="B46" s="114"/>
      <c r="C46" s="25"/>
      <c r="D46" s="25"/>
      <c r="E46" s="25"/>
      <c r="F46" s="25"/>
      <c r="G46" s="27"/>
      <c r="H46" s="27"/>
      <c r="I46" s="27"/>
      <c r="J46" s="27"/>
      <c r="K46" s="27"/>
    </row>
    <row r="47" spans="1:17">
      <c r="A47" s="113" t="s">
        <v>236</v>
      </c>
      <c r="B47" s="114"/>
      <c r="C47" s="25"/>
      <c r="D47" s="25"/>
      <c r="E47" s="25"/>
      <c r="F47" s="25"/>
      <c r="G47" s="27"/>
      <c r="H47" s="27"/>
      <c r="I47" s="27"/>
      <c r="J47" s="27"/>
      <c r="K47" s="27"/>
    </row>
    <row r="48" spans="1:17">
      <c r="A48" s="113" t="s">
        <v>237</v>
      </c>
      <c r="B48" s="114"/>
      <c r="C48" s="25"/>
      <c r="D48" s="25"/>
      <c r="E48" s="25"/>
      <c r="F48" s="25"/>
      <c r="G48" s="27"/>
      <c r="H48" s="27"/>
      <c r="I48" s="27"/>
      <c r="J48" s="27"/>
      <c r="K48" s="27"/>
    </row>
    <row r="49" spans="1:11">
      <c r="A49" s="29" t="s">
        <v>238</v>
      </c>
      <c r="B49" s="29">
        <v>282.93</v>
      </c>
      <c r="C49" s="29">
        <v>237.12</v>
      </c>
      <c r="D49" s="29">
        <v>140.12</v>
      </c>
      <c r="E49" s="29">
        <v>140.12</v>
      </c>
      <c r="F49" s="29">
        <v>161.68</v>
      </c>
      <c r="G49" s="27"/>
      <c r="H49" s="27"/>
      <c r="I49" s="27"/>
      <c r="J49" s="27"/>
      <c r="K49" s="27"/>
    </row>
    <row r="50" spans="1:11">
      <c r="A50" s="29" t="s">
        <v>239</v>
      </c>
      <c r="B50" s="29">
        <v>0</v>
      </c>
      <c r="C50" s="29">
        <v>0</v>
      </c>
      <c r="D50" s="29">
        <v>28.8</v>
      </c>
      <c r="E50" s="29">
        <v>28.8</v>
      </c>
      <c r="F50" s="29">
        <v>33.83</v>
      </c>
      <c r="G50" s="27"/>
      <c r="H50" s="27"/>
      <c r="I50" s="27"/>
      <c r="J50" s="27"/>
      <c r="K50" s="27"/>
    </row>
    <row r="51" spans="1:11">
      <c r="A51" s="29" t="s">
        <v>240</v>
      </c>
      <c r="B51" s="29">
        <v>225</v>
      </c>
      <c r="C51" s="29">
        <v>525</v>
      </c>
      <c r="D51" s="29">
        <v>315</v>
      </c>
      <c r="E51" s="29">
        <v>260</v>
      </c>
      <c r="F51" s="29">
        <v>260</v>
      </c>
      <c r="G51" s="27"/>
      <c r="H51" s="27"/>
      <c r="I51" s="27"/>
      <c r="J51" s="27"/>
      <c r="K51" s="27"/>
    </row>
    <row r="52" spans="1:11">
      <c r="A52" s="35"/>
      <c r="B52" s="35"/>
      <c r="C52" s="27"/>
      <c r="D52" s="27"/>
      <c r="E52" s="27"/>
      <c r="F52" s="27"/>
      <c r="G52" s="27"/>
      <c r="H52" s="27"/>
      <c r="I52" s="27"/>
      <c r="J52" s="27"/>
      <c r="K52" s="27"/>
    </row>
    <row r="53" spans="1:11">
      <c r="A53" s="115"/>
      <c r="B53" s="115"/>
      <c r="C53" s="115"/>
      <c r="D53" s="115"/>
      <c r="E53" s="115"/>
      <c r="F53" s="115"/>
      <c r="G53" s="27"/>
      <c r="H53" s="27"/>
      <c r="I53" s="27"/>
      <c r="J53" s="27"/>
      <c r="K53" s="27"/>
    </row>
    <row r="54" spans="1:11">
      <c r="A54" s="116"/>
      <c r="B54" s="116"/>
      <c r="C54" s="116"/>
      <c r="D54" s="116"/>
      <c r="E54" s="116"/>
      <c r="F54" s="116"/>
      <c r="G54" s="27"/>
      <c r="H54" s="27"/>
      <c r="I54" s="27"/>
      <c r="J54" s="27"/>
      <c r="K54" s="27"/>
    </row>
    <row r="55" spans="1:11">
      <c r="A55" s="117" t="s">
        <v>241</v>
      </c>
      <c r="B55" s="117"/>
      <c r="C55" s="117"/>
      <c r="D55" s="117"/>
      <c r="E55" s="117"/>
      <c r="F55" s="117"/>
      <c r="G55" s="27"/>
      <c r="H55" s="27"/>
      <c r="I55" s="27"/>
      <c r="J55" s="27"/>
      <c r="K55" s="27"/>
    </row>
    <row r="58" spans="1:11">
      <c r="A58" s="37" t="s">
        <v>331</v>
      </c>
      <c r="B58" s="38" t="s">
        <v>243</v>
      </c>
    </row>
    <row r="59" spans="1:11">
      <c r="A59" s="24" t="s">
        <v>162</v>
      </c>
      <c r="B59" s="36" t="s">
        <v>163</v>
      </c>
    </row>
    <row r="60" spans="1:11">
      <c r="A60" s="25" t="s">
        <v>80</v>
      </c>
      <c r="B60" s="26">
        <v>44642</v>
      </c>
      <c r="C60" s="26">
        <v>44641</v>
      </c>
      <c r="D60" s="26">
        <v>44640</v>
      </c>
      <c r="E60" s="26">
        <v>44639</v>
      </c>
      <c r="F60" s="26">
        <v>44638</v>
      </c>
      <c r="G60" s="27"/>
      <c r="H60" s="27"/>
      <c r="I60" s="27"/>
      <c r="J60" s="27"/>
      <c r="K60" s="27"/>
    </row>
    <row r="61" spans="1:11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</row>
    <row r="62" spans="1:11">
      <c r="A62" s="29" t="s">
        <v>80</v>
      </c>
      <c r="B62" s="29" t="s">
        <v>171</v>
      </c>
      <c r="C62" s="29" t="s">
        <v>171</v>
      </c>
      <c r="D62" s="29" t="s">
        <v>171</v>
      </c>
      <c r="E62" s="29" t="s">
        <v>171</v>
      </c>
      <c r="F62" s="29" t="s">
        <v>171</v>
      </c>
      <c r="G62" s="27"/>
      <c r="H62" s="27"/>
      <c r="I62" s="27"/>
      <c r="J62" s="27"/>
      <c r="K62" s="27"/>
    </row>
    <row r="63" spans="1:11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</row>
    <row r="64" spans="1:11">
      <c r="A64" s="113" t="s">
        <v>174</v>
      </c>
      <c r="B64" s="114"/>
      <c r="C64" s="25"/>
      <c r="D64" s="25"/>
      <c r="E64" s="25"/>
      <c r="F64" s="25"/>
      <c r="G64" s="27"/>
      <c r="H64" s="27"/>
      <c r="I64" s="27"/>
      <c r="J64" s="27"/>
      <c r="K64" s="27"/>
    </row>
    <row r="65" spans="1:11">
      <c r="A65" s="25" t="s">
        <v>176</v>
      </c>
      <c r="B65" s="32">
        <v>5859.47</v>
      </c>
      <c r="C65" s="32">
        <v>4655.6899999999996</v>
      </c>
      <c r="D65" s="32">
        <v>4915.2</v>
      </c>
      <c r="E65" s="32">
        <v>5138.8599999999997</v>
      </c>
      <c r="F65" s="32">
        <v>4720.03</v>
      </c>
      <c r="G65" s="27"/>
      <c r="H65" s="27"/>
      <c r="I65" s="27"/>
      <c r="J65" s="27"/>
      <c r="K65" s="27"/>
    </row>
    <row r="66" spans="1:11">
      <c r="A66" s="29" t="s">
        <v>178</v>
      </c>
      <c r="B66" s="29">
        <v>0</v>
      </c>
      <c r="C66" s="29">
        <v>0</v>
      </c>
      <c r="D66" s="29">
        <v>0</v>
      </c>
      <c r="E66" s="29">
        <v>0</v>
      </c>
      <c r="F66" s="29">
        <v>150.44</v>
      </c>
      <c r="G66" s="27"/>
      <c r="H66" s="27"/>
      <c r="I66" s="27"/>
      <c r="J66" s="27"/>
      <c r="K66" s="27"/>
    </row>
    <row r="67" spans="1:11">
      <c r="A67" s="25" t="s">
        <v>180</v>
      </c>
      <c r="B67" s="32">
        <v>5859.47</v>
      </c>
      <c r="C67" s="32">
        <v>4655.6899999999996</v>
      </c>
      <c r="D67" s="32">
        <v>4915.2</v>
      </c>
      <c r="E67" s="32">
        <v>5138.8599999999997</v>
      </c>
      <c r="F67" s="32">
        <v>4569.59</v>
      </c>
      <c r="G67" s="27"/>
      <c r="H67" s="27"/>
      <c r="I67" s="27"/>
      <c r="J67" s="27"/>
      <c r="K67" s="27"/>
    </row>
    <row r="68" spans="1:11">
      <c r="A68" s="29" t="s">
        <v>182</v>
      </c>
      <c r="B68" s="29">
        <v>89.43</v>
      </c>
      <c r="C68" s="29">
        <v>34.31</v>
      </c>
      <c r="D68" s="29">
        <v>27.97</v>
      </c>
      <c r="E68" s="29">
        <v>34.76</v>
      </c>
      <c r="F68" s="29">
        <v>16.98</v>
      </c>
      <c r="G68" s="27"/>
      <c r="H68" s="27"/>
      <c r="I68" s="27"/>
      <c r="J68" s="27"/>
      <c r="K68" s="27"/>
    </row>
    <row r="69" spans="1:11">
      <c r="A69" s="25" t="s">
        <v>184</v>
      </c>
      <c r="B69" s="32">
        <v>5948.9</v>
      </c>
      <c r="C69" s="32">
        <v>4690</v>
      </c>
      <c r="D69" s="32">
        <v>4943.17</v>
      </c>
      <c r="E69" s="32">
        <v>5173.62</v>
      </c>
      <c r="F69" s="32">
        <v>4586.57</v>
      </c>
      <c r="G69" s="27"/>
      <c r="H69" s="27"/>
      <c r="I69" s="27"/>
      <c r="J69" s="27"/>
      <c r="K69" s="27"/>
    </row>
    <row r="70" spans="1:11">
      <c r="A70" s="29" t="s">
        <v>177</v>
      </c>
      <c r="B70" s="29">
        <v>32.86</v>
      </c>
      <c r="C70" s="29">
        <v>38.71</v>
      </c>
      <c r="D70" s="29">
        <v>26.86</v>
      </c>
      <c r="E70" s="29">
        <v>61.88</v>
      </c>
      <c r="F70" s="29">
        <v>72.42</v>
      </c>
      <c r="G70" s="27"/>
      <c r="H70" s="27"/>
      <c r="I70" s="27"/>
      <c r="J70" s="27"/>
      <c r="K70" s="27"/>
    </row>
    <row r="71" spans="1:11">
      <c r="A71" s="24" t="s">
        <v>187</v>
      </c>
      <c r="B71" s="33">
        <v>5981.76</v>
      </c>
      <c r="C71" s="33">
        <v>4728.71</v>
      </c>
      <c r="D71" s="33">
        <v>4970.03</v>
      </c>
      <c r="E71" s="33">
        <v>5235.5</v>
      </c>
      <c r="F71" s="33">
        <v>4658.99</v>
      </c>
      <c r="G71" s="27"/>
      <c r="H71" s="27"/>
      <c r="I71" s="27"/>
      <c r="J71" s="27"/>
      <c r="K71" s="27"/>
    </row>
    <row r="72" spans="1:11">
      <c r="A72" s="113" t="s">
        <v>189</v>
      </c>
      <c r="B72" s="114"/>
      <c r="C72" s="25"/>
      <c r="D72" s="25"/>
      <c r="E72" s="25"/>
      <c r="F72" s="25"/>
      <c r="G72" s="27"/>
      <c r="H72" s="27"/>
      <c r="I72" s="27"/>
      <c r="J72" s="27"/>
      <c r="K72" s="27"/>
    </row>
    <row r="73" spans="1:11">
      <c r="A73" s="29" t="s">
        <v>191</v>
      </c>
      <c r="B73" s="34">
        <v>4013.98</v>
      </c>
      <c r="C73" s="34">
        <v>2694.59</v>
      </c>
      <c r="D73" s="34">
        <v>2722.18</v>
      </c>
      <c r="E73" s="34">
        <v>3241.77</v>
      </c>
      <c r="F73" s="34">
        <v>2674.88</v>
      </c>
      <c r="G73" s="27"/>
      <c r="H73" s="27"/>
      <c r="I73" s="27"/>
      <c r="J73" s="27"/>
      <c r="K73" s="27"/>
    </row>
    <row r="74" spans="1:11">
      <c r="A74" s="29" t="s">
        <v>193</v>
      </c>
      <c r="B74" s="29">
        <v>396.22</v>
      </c>
      <c r="C74" s="29">
        <v>315.33</v>
      </c>
      <c r="D74" s="29">
        <v>284.23</v>
      </c>
      <c r="E74" s="29">
        <v>258.74</v>
      </c>
      <c r="F74" s="29">
        <v>213.64</v>
      </c>
      <c r="G74" s="27"/>
      <c r="H74" s="27"/>
      <c r="I74" s="27"/>
      <c r="J74" s="27"/>
      <c r="K74" s="27"/>
    </row>
    <row r="75" spans="1:11">
      <c r="A75" s="29" t="s">
        <v>195</v>
      </c>
      <c r="B75" s="29">
        <v>-280.94</v>
      </c>
      <c r="C75" s="29">
        <v>-98.49</v>
      </c>
      <c r="D75" s="29">
        <v>51.21</v>
      </c>
      <c r="E75" s="29">
        <v>-197.98</v>
      </c>
      <c r="F75" s="29">
        <v>-114.45</v>
      </c>
      <c r="G75" s="27"/>
      <c r="H75" s="27"/>
      <c r="I75" s="27"/>
      <c r="J75" s="27"/>
      <c r="K75" s="27"/>
    </row>
    <row r="76" spans="1:11">
      <c r="A76" s="29" t="s">
        <v>197</v>
      </c>
      <c r="B76" s="29">
        <v>312.37</v>
      </c>
      <c r="C76" s="29">
        <v>258.58</v>
      </c>
      <c r="D76" s="29">
        <v>269.38</v>
      </c>
      <c r="E76" s="29">
        <v>255.38</v>
      </c>
      <c r="F76" s="29">
        <v>226.56</v>
      </c>
      <c r="G76" s="27"/>
      <c r="H76" s="27"/>
      <c r="I76" s="27"/>
      <c r="J76" s="27"/>
      <c r="K76" s="27"/>
    </row>
    <row r="77" spans="1:11">
      <c r="A77" s="29" t="s">
        <v>199</v>
      </c>
      <c r="B77" s="29">
        <v>9.8699999999999992</v>
      </c>
      <c r="C77" s="29">
        <v>7.49</v>
      </c>
      <c r="D77" s="29">
        <v>5</v>
      </c>
      <c r="E77" s="29">
        <v>0</v>
      </c>
      <c r="F77" s="29">
        <v>0</v>
      </c>
      <c r="G77" s="27"/>
      <c r="H77" s="27"/>
      <c r="I77" s="27"/>
      <c r="J77" s="27"/>
      <c r="K77" s="27"/>
    </row>
    <row r="78" spans="1:11">
      <c r="A78" s="29" t="s">
        <v>201</v>
      </c>
      <c r="B78" s="29">
        <v>153.82</v>
      </c>
      <c r="C78" s="29">
        <v>138.97</v>
      </c>
      <c r="D78" s="29">
        <v>119.88</v>
      </c>
      <c r="E78" s="29">
        <v>90.47</v>
      </c>
      <c r="F78" s="29">
        <v>75.790000000000006</v>
      </c>
      <c r="G78" s="27"/>
      <c r="H78" s="27"/>
      <c r="I78" s="27"/>
      <c r="J78" s="27"/>
      <c r="K78" s="27"/>
    </row>
    <row r="79" spans="1:11">
      <c r="A79" s="29" t="s">
        <v>202</v>
      </c>
      <c r="B79" s="29">
        <v>859.93</v>
      </c>
      <c r="C79" s="29">
        <v>686.91</v>
      </c>
      <c r="D79" s="29">
        <v>834.55</v>
      </c>
      <c r="E79" s="29">
        <v>873.71</v>
      </c>
      <c r="F79" s="29">
        <v>796.17</v>
      </c>
      <c r="G79" s="27"/>
      <c r="H79" s="27"/>
      <c r="I79" s="27"/>
      <c r="J79" s="27"/>
      <c r="K79" s="27"/>
    </row>
    <row r="80" spans="1:11">
      <c r="A80" s="24" t="s">
        <v>204</v>
      </c>
      <c r="B80" s="33">
        <v>5465.25</v>
      </c>
      <c r="C80" s="33">
        <v>4003.38</v>
      </c>
      <c r="D80" s="33">
        <v>4286.43</v>
      </c>
      <c r="E80" s="33">
        <v>4522.09</v>
      </c>
      <c r="F80" s="33">
        <v>3872.59</v>
      </c>
      <c r="G80" s="27"/>
      <c r="H80" s="27"/>
      <c r="I80" s="27"/>
      <c r="J80" s="27"/>
      <c r="K80" s="27"/>
    </row>
    <row r="81" spans="1:11">
      <c r="A81" s="25" t="s">
        <v>80</v>
      </c>
      <c r="B81" s="26">
        <v>44642</v>
      </c>
      <c r="C81" s="26">
        <v>44641</v>
      </c>
      <c r="D81" s="26">
        <v>44640</v>
      </c>
      <c r="E81" s="26">
        <v>44639</v>
      </c>
      <c r="F81" s="26">
        <v>44638</v>
      </c>
      <c r="G81" s="27"/>
      <c r="H81" s="27"/>
      <c r="I81" s="27"/>
      <c r="J81" s="27"/>
      <c r="K81" s="27"/>
    </row>
    <row r="82" spans="1:11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</row>
    <row r="83" spans="1:11">
      <c r="A83" s="29" t="s">
        <v>80</v>
      </c>
      <c r="B83" s="29" t="s">
        <v>171</v>
      </c>
      <c r="C83" s="29" t="s">
        <v>171</v>
      </c>
      <c r="D83" s="29" t="s">
        <v>171</v>
      </c>
      <c r="E83" s="29" t="s">
        <v>171</v>
      </c>
      <c r="F83" s="29" t="s">
        <v>171</v>
      </c>
      <c r="G83" s="27"/>
      <c r="H83" s="27"/>
      <c r="I83" s="27"/>
      <c r="J83" s="27"/>
      <c r="K83" s="27"/>
    </row>
    <row r="84" spans="1:11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</row>
    <row r="85" spans="1:11">
      <c r="A85" s="24" t="s">
        <v>209</v>
      </c>
      <c r="B85" s="24">
        <v>516.51</v>
      </c>
      <c r="C85" s="24">
        <v>725.33</v>
      </c>
      <c r="D85" s="24">
        <v>683.6</v>
      </c>
      <c r="E85" s="24">
        <v>713.41</v>
      </c>
      <c r="F85" s="24">
        <v>786.4</v>
      </c>
      <c r="G85" s="27"/>
      <c r="H85" s="27"/>
      <c r="I85" s="27"/>
      <c r="J85" s="27"/>
      <c r="K85" s="27"/>
    </row>
    <row r="86" spans="1:11">
      <c r="A86" s="29" t="s">
        <v>211</v>
      </c>
      <c r="B86" s="29">
        <v>-11.39</v>
      </c>
      <c r="C86" s="29">
        <v>-10.82</v>
      </c>
      <c r="D86" s="29">
        <v>0</v>
      </c>
      <c r="E86" s="29">
        <v>0</v>
      </c>
      <c r="F86" s="29">
        <v>0</v>
      </c>
      <c r="G86" s="27"/>
      <c r="H86" s="27"/>
      <c r="I86" s="27"/>
      <c r="J86" s="27"/>
      <c r="K86" s="27"/>
    </row>
    <row r="87" spans="1:11">
      <c r="A87" s="25" t="s">
        <v>213</v>
      </c>
      <c r="B87" s="25">
        <v>505.12</v>
      </c>
      <c r="C87" s="25">
        <v>714.51</v>
      </c>
      <c r="D87" s="25">
        <v>683.6</v>
      </c>
      <c r="E87" s="25">
        <v>713.41</v>
      </c>
      <c r="F87" s="25">
        <v>786.4</v>
      </c>
      <c r="G87" s="27"/>
      <c r="H87" s="27"/>
      <c r="I87" s="27"/>
      <c r="J87" s="27"/>
      <c r="K87" s="27"/>
    </row>
    <row r="88" spans="1:11">
      <c r="A88" s="113" t="s">
        <v>215</v>
      </c>
      <c r="B88" s="114"/>
      <c r="C88" s="25"/>
      <c r="D88" s="25"/>
      <c r="E88" s="25"/>
      <c r="F88" s="25"/>
      <c r="G88" s="27"/>
      <c r="H88" s="27"/>
      <c r="I88" s="27"/>
      <c r="J88" s="27"/>
      <c r="K88" s="27"/>
    </row>
    <row r="89" spans="1:11">
      <c r="A89" s="29" t="s">
        <v>217</v>
      </c>
      <c r="B89" s="29">
        <v>132.35</v>
      </c>
      <c r="C89" s="29">
        <v>180.18</v>
      </c>
      <c r="D89" s="29">
        <v>166.33</v>
      </c>
      <c r="E89" s="29">
        <v>221.87</v>
      </c>
      <c r="F89" s="29">
        <v>268.20999999999998</v>
      </c>
      <c r="G89" s="27"/>
      <c r="H89" s="27"/>
      <c r="I89" s="27"/>
      <c r="J89" s="27"/>
      <c r="K89" s="27"/>
    </row>
    <row r="90" spans="1:11">
      <c r="A90" s="29" t="s">
        <v>219</v>
      </c>
      <c r="B90" s="29">
        <v>-1.56</v>
      </c>
      <c r="C90" s="29">
        <v>3.34</v>
      </c>
      <c r="D90" s="29">
        <v>-18.13</v>
      </c>
      <c r="E90" s="29">
        <v>24.19</v>
      </c>
      <c r="F90" s="29">
        <v>1.79</v>
      </c>
      <c r="G90" s="27"/>
      <c r="H90" s="27"/>
      <c r="I90" s="27"/>
      <c r="J90" s="27"/>
      <c r="K90" s="27"/>
    </row>
    <row r="91" spans="1:11">
      <c r="A91" s="25" t="s">
        <v>223</v>
      </c>
      <c r="B91" s="25">
        <v>130.79</v>
      </c>
      <c r="C91" s="25">
        <v>183.52</v>
      </c>
      <c r="D91" s="25">
        <v>148.19999999999999</v>
      </c>
      <c r="E91" s="25">
        <v>246.06</v>
      </c>
      <c r="F91" s="25">
        <v>270</v>
      </c>
      <c r="G91" s="27"/>
      <c r="H91" s="27"/>
      <c r="I91" s="27"/>
      <c r="J91" s="27"/>
      <c r="K91" s="27"/>
    </row>
    <row r="92" spans="1:11">
      <c r="A92" s="25" t="s">
        <v>225</v>
      </c>
      <c r="B92" s="25">
        <v>374.33</v>
      </c>
      <c r="C92" s="25">
        <v>530.99</v>
      </c>
      <c r="D92" s="25">
        <v>535.4</v>
      </c>
      <c r="E92" s="25">
        <v>467.35</v>
      </c>
      <c r="F92" s="25">
        <v>516.4</v>
      </c>
      <c r="G92" s="27"/>
      <c r="H92" s="27"/>
      <c r="I92" s="27"/>
      <c r="J92" s="27"/>
      <c r="K92" s="27"/>
    </row>
    <row r="93" spans="1:11">
      <c r="A93" s="25" t="s">
        <v>227</v>
      </c>
      <c r="B93" s="25">
        <v>374.33</v>
      </c>
      <c r="C93" s="25">
        <v>530.99</v>
      </c>
      <c r="D93" s="25">
        <v>535.4</v>
      </c>
      <c r="E93" s="25">
        <v>467.35</v>
      </c>
      <c r="F93" s="25">
        <v>516.4</v>
      </c>
      <c r="G93" s="27"/>
      <c r="H93" s="27"/>
      <c r="I93" s="27"/>
      <c r="J93" s="27"/>
      <c r="K93" s="27"/>
    </row>
    <row r="94" spans="1:11">
      <c r="A94" s="24" t="s">
        <v>229</v>
      </c>
      <c r="B94" s="24">
        <v>374.33</v>
      </c>
      <c r="C94" s="24">
        <v>530.99</v>
      </c>
      <c r="D94" s="24">
        <v>535.4</v>
      </c>
      <c r="E94" s="24">
        <v>467.35</v>
      </c>
      <c r="F94" s="24">
        <v>516.4</v>
      </c>
      <c r="G94" s="27"/>
      <c r="H94" s="27"/>
      <c r="I94" s="27"/>
      <c r="J94" s="27"/>
      <c r="K94" s="27"/>
    </row>
    <row r="95" spans="1:11">
      <c r="A95" s="25" t="s">
        <v>80</v>
      </c>
      <c r="B95" s="26">
        <v>44642</v>
      </c>
      <c r="C95" s="26">
        <v>44641</v>
      </c>
      <c r="D95" s="26">
        <v>44640</v>
      </c>
      <c r="E95" s="26">
        <v>44639</v>
      </c>
      <c r="F95" s="26">
        <v>44638</v>
      </c>
      <c r="G95" s="27"/>
      <c r="H95" s="27"/>
      <c r="I95" s="27"/>
      <c r="J95" s="27"/>
      <c r="K95" s="27"/>
    </row>
    <row r="96" spans="1:11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</row>
    <row r="97" spans="1:11">
      <c r="A97" s="29" t="s">
        <v>80</v>
      </c>
      <c r="B97" s="29" t="s">
        <v>171</v>
      </c>
      <c r="C97" s="29" t="s">
        <v>171</v>
      </c>
      <c r="D97" s="29" t="s">
        <v>171</v>
      </c>
      <c r="E97" s="29" t="s">
        <v>171</v>
      </c>
      <c r="F97" s="29" t="s">
        <v>171</v>
      </c>
      <c r="G97" s="27"/>
      <c r="H97" s="27"/>
      <c r="I97" s="27"/>
      <c r="J97" s="27"/>
      <c r="K97" s="27"/>
    </row>
    <row r="98" spans="1:11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</row>
    <row r="99" spans="1:11">
      <c r="A99" s="113" t="s">
        <v>231</v>
      </c>
      <c r="B99" s="114"/>
      <c r="C99" s="25"/>
      <c r="D99" s="25"/>
      <c r="E99" s="25"/>
      <c r="F99" s="25"/>
      <c r="G99" s="27"/>
      <c r="H99" s="27"/>
      <c r="I99" s="27"/>
      <c r="J99" s="27"/>
      <c r="K99" s="27"/>
    </row>
    <row r="100" spans="1:11">
      <c r="A100" s="113" t="s">
        <v>232</v>
      </c>
      <c r="B100" s="114"/>
      <c r="C100" s="25"/>
      <c r="D100" s="25"/>
      <c r="E100" s="25"/>
      <c r="F100" s="25"/>
      <c r="G100" s="27"/>
      <c r="H100" s="27"/>
      <c r="I100" s="27"/>
      <c r="J100" s="27"/>
      <c r="K100" s="27"/>
    </row>
    <row r="101" spans="1:11">
      <c r="A101" s="29" t="s">
        <v>233</v>
      </c>
      <c r="B101" s="29">
        <v>6.95</v>
      </c>
      <c r="C101" s="29">
        <v>9.85</v>
      </c>
      <c r="D101" s="29">
        <v>9.94</v>
      </c>
      <c r="E101" s="29">
        <v>8.67</v>
      </c>
      <c r="F101" s="29">
        <v>9.58</v>
      </c>
      <c r="G101" s="27"/>
      <c r="H101" s="27"/>
      <c r="I101" s="27"/>
      <c r="J101" s="27"/>
      <c r="K101" s="27"/>
    </row>
    <row r="102" spans="1:11">
      <c r="A102" s="29" t="s">
        <v>234</v>
      </c>
      <c r="B102" s="29">
        <v>6.95</v>
      </c>
      <c r="C102" s="29">
        <v>9.85</v>
      </c>
      <c r="D102" s="29">
        <v>9.94</v>
      </c>
      <c r="E102" s="29">
        <v>8.67</v>
      </c>
      <c r="F102" s="29">
        <v>9.58</v>
      </c>
      <c r="G102" s="27"/>
      <c r="H102" s="27"/>
      <c r="I102" s="27"/>
      <c r="J102" s="27"/>
      <c r="K102" s="27"/>
    </row>
    <row r="103" spans="1:11">
      <c r="A103" s="113" t="s">
        <v>235</v>
      </c>
      <c r="B103" s="114"/>
      <c r="C103" s="25"/>
      <c r="D103" s="25"/>
      <c r="E103" s="25"/>
      <c r="F103" s="25"/>
      <c r="G103" s="27"/>
      <c r="H103" s="27"/>
      <c r="I103" s="27"/>
      <c r="J103" s="27"/>
      <c r="K103" s="27"/>
    </row>
    <row r="104" spans="1:11">
      <c r="A104" s="113" t="s">
        <v>236</v>
      </c>
      <c r="B104" s="114"/>
      <c r="C104" s="25"/>
      <c r="D104" s="25"/>
      <c r="E104" s="25"/>
      <c r="F104" s="25"/>
      <c r="G104" s="27"/>
      <c r="H104" s="27"/>
      <c r="I104" s="27"/>
      <c r="J104" s="27"/>
      <c r="K104" s="27"/>
    </row>
    <row r="105" spans="1:11">
      <c r="A105" s="113" t="s">
        <v>237</v>
      </c>
      <c r="B105" s="114"/>
      <c r="C105" s="25"/>
      <c r="D105" s="25"/>
      <c r="E105" s="25"/>
      <c r="F105" s="25"/>
      <c r="G105" s="27"/>
      <c r="H105" s="27"/>
      <c r="I105" s="27"/>
      <c r="J105" s="27"/>
      <c r="K105" s="27"/>
    </row>
    <row r="106" spans="1:11">
      <c r="A106" s="29" t="s">
        <v>238</v>
      </c>
      <c r="B106" s="29">
        <v>282.93</v>
      </c>
      <c r="C106" s="29">
        <v>237.12</v>
      </c>
      <c r="D106" s="29">
        <v>140.12</v>
      </c>
      <c r="E106" s="29">
        <v>140.12</v>
      </c>
      <c r="F106" s="29">
        <v>161.68</v>
      </c>
      <c r="G106" s="27"/>
      <c r="H106" s="27"/>
      <c r="I106" s="27"/>
      <c r="J106" s="27"/>
      <c r="K106" s="27"/>
    </row>
    <row r="107" spans="1:11">
      <c r="A107" s="29" t="s">
        <v>239</v>
      </c>
      <c r="B107" s="29">
        <v>0</v>
      </c>
      <c r="C107" s="29">
        <v>0</v>
      </c>
      <c r="D107" s="29">
        <v>28.8</v>
      </c>
      <c r="E107" s="29">
        <v>28.8</v>
      </c>
      <c r="F107" s="29">
        <v>33.83</v>
      </c>
      <c r="G107" s="27"/>
      <c r="H107" s="27"/>
      <c r="I107" s="27"/>
      <c r="J107" s="27"/>
      <c r="K107" s="27"/>
    </row>
    <row r="108" spans="1:11">
      <c r="A108" s="29" t="s">
        <v>240</v>
      </c>
      <c r="B108" s="29">
        <v>225</v>
      </c>
      <c r="C108" s="29">
        <v>525</v>
      </c>
      <c r="D108" s="29">
        <v>315</v>
      </c>
      <c r="E108" s="29">
        <v>260</v>
      </c>
      <c r="F108" s="29">
        <v>260</v>
      </c>
      <c r="G108" s="27"/>
      <c r="H108" s="27"/>
      <c r="I108" s="27"/>
      <c r="J108" s="27"/>
      <c r="K108" s="27"/>
    </row>
    <row r="109" spans="1:11">
      <c r="A109" s="35"/>
      <c r="B109" s="35"/>
      <c r="C109" s="27"/>
      <c r="D109" s="27"/>
      <c r="E109" s="27"/>
      <c r="F109" s="27"/>
      <c r="G109" s="27"/>
      <c r="H109" s="27"/>
      <c r="I109" s="27"/>
      <c r="J109" s="27"/>
      <c r="K109" s="27"/>
    </row>
    <row r="110" spans="1:11">
      <c r="A110" s="115"/>
      <c r="B110" s="115"/>
      <c r="C110" s="115"/>
      <c r="D110" s="115"/>
      <c r="E110" s="115"/>
      <c r="F110" s="115"/>
      <c r="G110" s="27"/>
      <c r="H110" s="27"/>
      <c r="I110" s="27"/>
      <c r="J110" s="27"/>
      <c r="K110" s="27"/>
    </row>
    <row r="111" spans="1:11">
      <c r="A111" s="116"/>
      <c r="B111" s="116"/>
      <c r="C111" s="116"/>
      <c r="D111" s="116"/>
      <c r="E111" s="116"/>
      <c r="F111" s="116"/>
      <c r="G111" s="27"/>
      <c r="H111" s="27"/>
      <c r="I111" s="27"/>
      <c r="J111" s="27"/>
      <c r="K111" s="27"/>
    </row>
    <row r="112" spans="1:11">
      <c r="A112" s="117" t="s">
        <v>241</v>
      </c>
      <c r="B112" s="117"/>
      <c r="C112" s="117"/>
      <c r="D112" s="117"/>
      <c r="E112" s="117"/>
      <c r="F112" s="117"/>
      <c r="G112" s="27"/>
      <c r="H112" s="27"/>
      <c r="I112" s="27"/>
      <c r="J112" s="27"/>
      <c r="K112" s="27"/>
    </row>
  </sheetData>
  <mergeCells count="37">
    <mergeCell ref="A105:B105"/>
    <mergeCell ref="A110:F110"/>
    <mergeCell ref="A111:F111"/>
    <mergeCell ref="A112:F112"/>
    <mergeCell ref="A96:K96"/>
    <mergeCell ref="A98:K98"/>
    <mergeCell ref="A99:B99"/>
    <mergeCell ref="A100:B100"/>
    <mergeCell ref="A103:B103"/>
    <mergeCell ref="A104:B104"/>
    <mergeCell ref="A88:B88"/>
    <mergeCell ref="A47:B47"/>
    <mergeCell ref="A48:B48"/>
    <mergeCell ref="A53:F53"/>
    <mergeCell ref="A54:F54"/>
    <mergeCell ref="A55:F55"/>
    <mergeCell ref="A61:K61"/>
    <mergeCell ref="A63:K63"/>
    <mergeCell ref="A64:B64"/>
    <mergeCell ref="A72:B72"/>
    <mergeCell ref="A82:K82"/>
    <mergeCell ref="A84:K84"/>
    <mergeCell ref="L4:Q4"/>
    <mergeCell ref="L10:Q10"/>
    <mergeCell ref="L32:Q32"/>
    <mergeCell ref="A46:B46"/>
    <mergeCell ref="A4:K4"/>
    <mergeCell ref="A6:K6"/>
    <mergeCell ref="A7:B7"/>
    <mergeCell ref="A15:B15"/>
    <mergeCell ref="A25:K25"/>
    <mergeCell ref="A27:K27"/>
    <mergeCell ref="A31:B31"/>
    <mergeCell ref="A39:K39"/>
    <mergeCell ref="A41:K41"/>
    <mergeCell ref="A42:B42"/>
    <mergeCell ref="A43:B43"/>
  </mergeCells>
  <hyperlinks>
    <hyperlink ref="B1" r:id="rId1" xr:uid="{0250B30E-ACE6-4C1E-8A6E-5352AB8214F2}"/>
    <hyperlink ref="B58" r:id="rId2" xr:uid="{D311E659-909F-47CD-8468-23AC6B81909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32D29-E424-6342-BCE6-0EBF9C39E990}">
  <dimension ref="A1:U33"/>
  <sheetViews>
    <sheetView workbookViewId="0">
      <selection activeCell="B9" sqref="B9"/>
    </sheetView>
  </sheetViews>
  <sheetFormatPr defaultColWidth="11" defaultRowHeight="15.95"/>
  <cols>
    <col min="1" max="1" width="30.625" customWidth="1"/>
    <col min="2" max="2" width="13.625" customWidth="1"/>
  </cols>
  <sheetData>
    <row r="1" spans="1:21">
      <c r="B1">
        <v>18</v>
      </c>
      <c r="C1">
        <v>19</v>
      </c>
      <c r="D1">
        <v>20</v>
      </c>
      <c r="E1">
        <v>21</v>
      </c>
      <c r="F1">
        <v>22</v>
      </c>
    </row>
    <row r="2" spans="1:21">
      <c r="A2" t="s">
        <v>33</v>
      </c>
      <c r="B2">
        <v>1.8</v>
      </c>
      <c r="C2">
        <v>1.9</v>
      </c>
      <c r="D2">
        <v>2.2000000000000002</v>
      </c>
      <c r="E2">
        <v>2.8</v>
      </c>
      <c r="F2">
        <v>3.1</v>
      </c>
    </row>
    <row r="3" spans="1:21">
      <c r="A3" t="s">
        <v>7</v>
      </c>
      <c r="B3">
        <v>4.75</v>
      </c>
      <c r="C3">
        <v>5.13</v>
      </c>
      <c r="D3">
        <v>6.76</v>
      </c>
      <c r="E3">
        <v>7.41</v>
      </c>
      <c r="F3">
        <v>8.58</v>
      </c>
    </row>
    <row r="4" spans="1:21">
      <c r="A4" t="s">
        <v>34</v>
      </c>
      <c r="B4">
        <f>B2/B3</f>
        <v>0.37894736842105264</v>
      </c>
      <c r="C4">
        <f>C2/C3</f>
        <v>0.37037037037037035</v>
      </c>
      <c r="D4">
        <f>D2/D3</f>
        <v>0.32544378698224857</v>
      </c>
      <c r="E4">
        <f>E2/E3</f>
        <v>0.37786774628879888</v>
      </c>
      <c r="F4">
        <f>F2/F3</f>
        <v>0.36130536130536134</v>
      </c>
      <c r="I4" s="6"/>
      <c r="J4" s="6"/>
      <c r="K4" s="6"/>
      <c r="L4" s="6"/>
      <c r="M4" s="6"/>
    </row>
    <row r="5" spans="1:21">
      <c r="A5" t="s">
        <v>35</v>
      </c>
      <c r="B5">
        <f>1-B4</f>
        <v>0.6210526315789473</v>
      </c>
      <c r="C5">
        <f>1-C4</f>
        <v>0.62962962962962965</v>
      </c>
      <c r="D5">
        <f>1-D4</f>
        <v>0.67455621301775137</v>
      </c>
      <c r="E5">
        <f>1-E4</f>
        <v>0.62213225371120107</v>
      </c>
      <c r="F5">
        <f>1-F4</f>
        <v>0.63869463869463861</v>
      </c>
      <c r="I5" s="6"/>
    </row>
    <row r="6" spans="1:21">
      <c r="A6" t="s">
        <v>36</v>
      </c>
      <c r="B6" s="6">
        <v>0.2099</v>
      </c>
      <c r="C6" s="6">
        <v>0.20130000000000001</v>
      </c>
      <c r="D6" s="6">
        <v>0.2472</v>
      </c>
      <c r="E6" s="6">
        <v>0.21310000000000001</v>
      </c>
      <c r="F6" s="6">
        <v>0.21199999999999999</v>
      </c>
    </row>
    <row r="7" spans="1:21">
      <c r="A7" t="s">
        <v>13</v>
      </c>
      <c r="B7">
        <f>B6*B5</f>
        <v>0.13035894736842105</v>
      </c>
      <c r="C7">
        <f>C6*C5</f>
        <v>0.12674444444444447</v>
      </c>
      <c r="D7">
        <f>D6*D5</f>
        <v>0.16675029585798815</v>
      </c>
      <c r="E7">
        <f>E6*E5</f>
        <v>0.13257638326585697</v>
      </c>
      <c r="F7">
        <f>F6*F5</f>
        <v>0.13540326340326339</v>
      </c>
    </row>
    <row r="8" spans="1:21">
      <c r="A8" t="s">
        <v>37</v>
      </c>
      <c r="B8" s="6">
        <v>0.1</v>
      </c>
    </row>
    <row r="9" spans="1:21">
      <c r="A9" t="s">
        <v>38</v>
      </c>
      <c r="B9">
        <f>GEOMEAN(B7:F7)</f>
        <v>0.13767222703531662</v>
      </c>
    </row>
    <row r="10" spans="1:21">
      <c r="A10" s="7" t="s">
        <v>39</v>
      </c>
      <c r="B10" s="8"/>
      <c r="C10" s="8"/>
      <c r="D10" s="8"/>
      <c r="E10" s="8"/>
      <c r="F10" s="8"/>
      <c r="G10" s="8"/>
      <c r="H10" s="8" t="s">
        <v>40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>
      <c r="A11" s="18" t="s">
        <v>41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21">
      <c r="A12" t="s">
        <v>42</v>
      </c>
      <c r="B12" s="10" t="s">
        <v>43</v>
      </c>
      <c r="C12">
        <v>23</v>
      </c>
      <c r="D12">
        <v>24</v>
      </c>
      <c r="E12">
        <v>25</v>
      </c>
      <c r="F12">
        <v>26</v>
      </c>
      <c r="G12">
        <v>27</v>
      </c>
      <c r="H12">
        <v>28</v>
      </c>
      <c r="I12" t="s">
        <v>24</v>
      </c>
    </row>
    <row r="13" spans="1:21">
      <c r="A13" s="13" t="s">
        <v>33</v>
      </c>
      <c r="B13">
        <v>3.1</v>
      </c>
      <c r="C13">
        <f>B13*(1+$B$9)</f>
        <v>3.5267839038094815</v>
      </c>
      <c r="D13">
        <f>C13*(1+$B$9)</f>
        <v>4.0123240981192403</v>
      </c>
      <c r="E13">
        <f>D13*(1+$B$9)</f>
        <v>4.5647096922947838</v>
      </c>
      <c r="F13">
        <f>E13*(1+$B$9)</f>
        <v>5.1931434414027011</v>
      </c>
      <c r="G13">
        <f>F13*(1+$B$9)</f>
        <v>5.908095064294459</v>
      </c>
      <c r="H13">
        <f>G13*(1+$B$8)</f>
        <v>6.498904570723905</v>
      </c>
      <c r="I13">
        <f>SUM(B13:H13)</f>
        <v>32.803960770644565</v>
      </c>
    </row>
    <row r="14" spans="1:21">
      <c r="A14" s="13" t="s">
        <v>7</v>
      </c>
      <c r="B14">
        <v>8.58</v>
      </c>
      <c r="C14">
        <f>B14*(1+$B$9)</f>
        <v>9.7612277079630161</v>
      </c>
      <c r="D14">
        <f>C14*(1+$B$9)</f>
        <v>11.105077665117124</v>
      </c>
      <c r="E14">
        <f>D14*(1+$B$9)</f>
        <v>12.633938438673951</v>
      </c>
      <c r="F14">
        <f>E14*(1+$B$9)</f>
        <v>14.373280879753285</v>
      </c>
      <c r="G14">
        <f>F14*(1+$B$9)</f>
        <v>16.352082468273053</v>
      </c>
      <c r="H14">
        <f>G14*(1+$B$8)</f>
        <v>17.987290715100361</v>
      </c>
    </row>
    <row r="15" spans="1:21">
      <c r="A15" s="13" t="s">
        <v>34</v>
      </c>
      <c r="B15">
        <f>B13/B14</f>
        <v>0.36130536130536134</v>
      </c>
      <c r="C15">
        <f>B15</f>
        <v>0.36130536130536134</v>
      </c>
      <c r="D15">
        <f>C15</f>
        <v>0.36130536130536134</v>
      </c>
      <c r="E15">
        <f>D15</f>
        <v>0.36130536130536134</v>
      </c>
      <c r="F15">
        <f>E15</f>
        <v>0.36130536130536134</v>
      </c>
      <c r="G15">
        <f>F15</f>
        <v>0.36130536130536134</v>
      </c>
      <c r="H15">
        <f>G15</f>
        <v>0.36130536130536134</v>
      </c>
    </row>
    <row r="16" spans="1:21">
      <c r="A16" s="13" t="s">
        <v>35</v>
      </c>
      <c r="B16">
        <f>1-B15</f>
        <v>0.63869463869463861</v>
      </c>
      <c r="C16">
        <f>B16</f>
        <v>0.63869463869463861</v>
      </c>
      <c r="D16">
        <f>C16</f>
        <v>0.63869463869463861</v>
      </c>
      <c r="E16">
        <f>D16</f>
        <v>0.63869463869463861</v>
      </c>
      <c r="F16">
        <f>E16</f>
        <v>0.63869463869463861</v>
      </c>
      <c r="G16">
        <f>F16</f>
        <v>0.63869463869463861</v>
      </c>
      <c r="H16">
        <f>G16</f>
        <v>0.63869463869463861</v>
      </c>
    </row>
    <row r="17" spans="1:21">
      <c r="A17" s="13" t="s">
        <v>36</v>
      </c>
      <c r="B17" s="6">
        <v>0.216</v>
      </c>
      <c r="C17">
        <f>$B$9/$B$16</f>
        <v>0.21555250145310526</v>
      </c>
      <c r="D17">
        <f>$B$9/$B$16</f>
        <v>0.21555250145310526</v>
      </c>
      <c r="E17">
        <f>$B$9/$B$16</f>
        <v>0.21555250145310526</v>
      </c>
      <c r="F17">
        <f>$B$9/$B$16</f>
        <v>0.21555250145310526</v>
      </c>
      <c r="G17">
        <f>$B$9/$B$16</f>
        <v>0.21555250145310526</v>
      </c>
      <c r="H17">
        <f>$B$9/$B$16</f>
        <v>0.21555250145310526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3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>
      <c r="A19" t="s">
        <v>44</v>
      </c>
      <c r="B19" s="6">
        <v>8.6999999999999994E-2</v>
      </c>
    </row>
    <row r="20" spans="1:21">
      <c r="A20" s="13" t="s">
        <v>45</v>
      </c>
      <c r="B20">
        <f>I13</f>
        <v>32.803960770644565</v>
      </c>
    </row>
    <row r="22" spans="1:21">
      <c r="A22" s="19" t="s">
        <v>46</v>
      </c>
    </row>
    <row r="23" spans="1:21">
      <c r="A23" t="s">
        <v>13</v>
      </c>
      <c r="B23" s="6">
        <v>0.1</v>
      </c>
      <c r="C23">
        <v>1.1000000000000001</v>
      </c>
    </row>
    <row r="24" spans="1:21">
      <c r="A24" t="s">
        <v>47</v>
      </c>
      <c r="B24" s="11">
        <v>0.15</v>
      </c>
    </row>
    <row r="25" spans="1:21">
      <c r="A25" t="s">
        <v>7</v>
      </c>
      <c r="B25">
        <f>H14*C23</f>
        <v>19.7860197866104</v>
      </c>
    </row>
    <row r="26" spans="1:21">
      <c r="A26" t="s">
        <v>18</v>
      </c>
      <c r="B26" s="6">
        <v>8.6999999999999994E-2</v>
      </c>
      <c r="C26">
        <v>1.08</v>
      </c>
    </row>
    <row r="27" spans="1:21">
      <c r="A27" t="s">
        <v>48</v>
      </c>
      <c r="B27">
        <v>0.33</v>
      </c>
    </row>
    <row r="28" spans="1:21">
      <c r="A28" t="s">
        <v>30</v>
      </c>
      <c r="B28" s="6">
        <v>3.7499999999999999E-2</v>
      </c>
    </row>
    <row r="29" spans="1:21">
      <c r="A29" t="s">
        <v>21</v>
      </c>
      <c r="B29">
        <f>B27*B25</f>
        <v>6.5293865295814317</v>
      </c>
    </row>
    <row r="30" spans="1:21">
      <c r="A30" t="s">
        <v>49</v>
      </c>
      <c r="B30">
        <f>B29/B28</f>
        <v>174.11697412217151</v>
      </c>
    </row>
    <row r="31" spans="1:21">
      <c r="A31" t="s">
        <v>49</v>
      </c>
      <c r="B31">
        <f>B30/C26^5</f>
        <v>118.50108690591073</v>
      </c>
    </row>
    <row r="33" spans="1:2">
      <c r="A33" t="s">
        <v>50</v>
      </c>
      <c r="B33">
        <f>B31+B20</f>
        <v>151.30504767655529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AFDB7-8C15-4046-B817-DB8B366657E0}">
  <dimension ref="A2:U28"/>
  <sheetViews>
    <sheetView workbookViewId="0">
      <selection activeCell="J18" sqref="J18"/>
    </sheetView>
  </sheetViews>
  <sheetFormatPr defaultColWidth="11" defaultRowHeight="15.95"/>
  <cols>
    <col min="1" max="1" width="25" customWidth="1"/>
    <col min="2" max="2" width="15.125" customWidth="1"/>
    <col min="8" max="8" width="14.625" customWidth="1"/>
  </cols>
  <sheetData>
    <row r="2" spans="1:21">
      <c r="A2" s="14"/>
      <c r="B2" s="14">
        <v>18</v>
      </c>
      <c r="C2" s="14">
        <v>19</v>
      </c>
      <c r="D2" s="14">
        <v>20</v>
      </c>
      <c r="E2" s="14">
        <v>21</v>
      </c>
      <c r="F2" s="14">
        <v>22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>
      <c r="A3" s="13" t="s">
        <v>33</v>
      </c>
      <c r="B3" s="15">
        <v>2.6</v>
      </c>
      <c r="C3" s="15">
        <v>2.6</v>
      </c>
      <c r="D3" s="15">
        <v>3.15</v>
      </c>
      <c r="E3" s="15">
        <v>5.25</v>
      </c>
      <c r="F3" s="15">
        <v>2.25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21">
      <c r="A4" s="13" t="s">
        <v>7</v>
      </c>
      <c r="B4" s="15">
        <v>9.5500000000000007</v>
      </c>
      <c r="C4" s="15">
        <v>8.4</v>
      </c>
      <c r="D4" s="15">
        <v>9.67</v>
      </c>
      <c r="E4" s="15">
        <v>9.83</v>
      </c>
      <c r="F4" s="15">
        <v>6.66</v>
      </c>
    </row>
    <row r="5" spans="1:21">
      <c r="A5" s="13" t="s">
        <v>34</v>
      </c>
      <c r="B5" s="15">
        <f>B3/B4</f>
        <v>0.27225130890052357</v>
      </c>
      <c r="C5" s="15">
        <f>C3/C4</f>
        <v>0.30952380952380953</v>
      </c>
      <c r="D5" s="15">
        <f>D3/D4</f>
        <v>0.32574974146845914</v>
      </c>
      <c r="E5" s="15">
        <f>E3/E4</f>
        <v>0.53407934893184128</v>
      </c>
      <c r="F5" s="15">
        <f>F3/F4</f>
        <v>0.33783783783783783</v>
      </c>
    </row>
    <row r="6" spans="1:21">
      <c r="A6" s="13" t="s">
        <v>35</v>
      </c>
      <c r="B6" s="15">
        <f>1-B5</f>
        <v>0.72774869109947637</v>
      </c>
      <c r="C6" s="15">
        <f>1-C5</f>
        <v>0.69047619047619047</v>
      </c>
      <c r="D6" s="15">
        <f>1-D5</f>
        <v>0.67425025853154086</v>
      </c>
      <c r="E6" s="15">
        <f>1-E5</f>
        <v>0.46592065106815872</v>
      </c>
      <c r="F6" s="15">
        <f>1-F5</f>
        <v>0.66216216216216217</v>
      </c>
    </row>
    <row r="7" spans="1:21">
      <c r="A7" s="13" t="s">
        <v>36</v>
      </c>
      <c r="B7" s="16">
        <v>0.16420000000000001</v>
      </c>
      <c r="C7" s="16">
        <v>0.13250000000000001</v>
      </c>
      <c r="D7" s="16">
        <v>0.13850000000000001</v>
      </c>
      <c r="E7" s="16">
        <v>0.13070000000000001</v>
      </c>
      <c r="F7" s="16">
        <v>8.6800000000000002E-2</v>
      </c>
    </row>
    <row r="8" spans="1:21">
      <c r="A8" s="13" t="s">
        <v>13</v>
      </c>
      <c r="B8" s="16">
        <f>B7*B6</f>
        <v>0.11949633507853404</v>
      </c>
      <c r="C8" s="16">
        <f>C7*C6</f>
        <v>9.1488095238095243E-2</v>
      </c>
      <c r="D8" s="16">
        <f>D7*D6</f>
        <v>9.3383660806618418E-2</v>
      </c>
      <c r="E8" s="16">
        <f>E7*E6</f>
        <v>6.0895829094608347E-2</v>
      </c>
      <c r="F8" s="16">
        <f>F7*F6</f>
        <v>5.7475675675675679E-2</v>
      </c>
    </row>
    <row r="9" spans="1:21">
      <c r="A9" s="13"/>
      <c r="B9" s="15"/>
      <c r="C9" s="15"/>
      <c r="D9" s="15"/>
      <c r="E9" s="15"/>
      <c r="F9" s="15"/>
    </row>
    <row r="10" spans="1:21">
      <c r="A10" s="13" t="s">
        <v>51</v>
      </c>
      <c r="B10" s="17">
        <f>GEOMEAN(B8:F8)</f>
        <v>8.1397738698059122E-2</v>
      </c>
      <c r="C10" s="15"/>
      <c r="D10" s="15"/>
      <c r="E10" s="15"/>
      <c r="F10" s="15"/>
    </row>
    <row r="11" spans="1:21">
      <c r="A11" t="s">
        <v>52</v>
      </c>
      <c r="B11" s="11">
        <v>7.0000000000000007E-2</v>
      </c>
    </row>
    <row r="12" spans="1:21">
      <c r="A12" t="s">
        <v>53</v>
      </c>
      <c r="B12" s="6">
        <v>8.6699999999999999E-2</v>
      </c>
    </row>
    <row r="13" spans="1:21">
      <c r="A13" t="s">
        <v>54</v>
      </c>
      <c r="B13" s="6">
        <v>8.7099999999999997E-2</v>
      </c>
    </row>
    <row r="14" spans="1:21">
      <c r="A14" s="18" t="s">
        <v>41</v>
      </c>
    </row>
    <row r="15" spans="1:21">
      <c r="A15" s="13" t="s">
        <v>42</v>
      </c>
      <c r="B15" s="22" t="s">
        <v>43</v>
      </c>
      <c r="C15" s="13">
        <v>23</v>
      </c>
      <c r="D15" s="13">
        <v>24</v>
      </c>
      <c r="E15" s="13">
        <v>25</v>
      </c>
      <c r="F15" s="13">
        <v>26</v>
      </c>
      <c r="G15" s="13">
        <v>27</v>
      </c>
      <c r="H15" s="13">
        <v>28</v>
      </c>
    </row>
    <row r="16" spans="1:21">
      <c r="A16" s="13" t="s">
        <v>33</v>
      </c>
      <c r="B16" s="15">
        <v>2.25</v>
      </c>
      <c r="C16" s="14">
        <f>B16*(1+$B$10)</f>
        <v>2.4331449120706328</v>
      </c>
      <c r="D16" s="14">
        <f>C16*(1+$B$10)</f>
        <v>2.6311974058378702</v>
      </c>
      <c r="E16" s="14">
        <f>D16*(1+$B$10)</f>
        <v>2.845370924741272</v>
      </c>
      <c r="F16" s="14">
        <f>E16*(1+$B$10)</f>
        <v>3.0769776837724168</v>
      </c>
      <c r="G16" s="14">
        <f>F16*(1+$B$10)</f>
        <v>3.327436709255883</v>
      </c>
      <c r="H16" s="14">
        <f>G16*(1+$B$11)</f>
        <v>3.5603572789037949</v>
      </c>
    </row>
    <row r="17" spans="1:8">
      <c r="A17" s="13" t="s">
        <v>7</v>
      </c>
      <c r="B17" s="15">
        <v>6.66</v>
      </c>
      <c r="C17" s="14">
        <f>B17*(1+$B$10)</f>
        <v>7.2021089397290741</v>
      </c>
      <c r="D17" s="14">
        <f>C17*(1+$B$10)</f>
        <v>7.7883443212800971</v>
      </c>
      <c r="E17" s="14">
        <f>D17*(1+$B$10)</f>
        <v>8.4222979372341662</v>
      </c>
      <c r="F17" s="14">
        <f>E17*(1+$B$10)</f>
        <v>9.1078539439663544</v>
      </c>
      <c r="G17" s="14">
        <f>F17*(1+$B$10)</f>
        <v>9.8492126593974145</v>
      </c>
      <c r="H17" s="14">
        <f t="shared" ref="H17:H21" si="0">G17*(1+$B$11)</f>
        <v>10.538657545555234</v>
      </c>
    </row>
    <row r="18" spans="1:8">
      <c r="A18" s="13" t="s">
        <v>34</v>
      </c>
      <c r="B18" s="15">
        <f>B16/B17</f>
        <v>0.33783783783783783</v>
      </c>
      <c r="C18" s="23">
        <f>C16/C17</f>
        <v>0.33783783783783777</v>
      </c>
      <c r="D18" s="23">
        <f>D16/D17</f>
        <v>0.33783783783783777</v>
      </c>
      <c r="E18" s="23">
        <f>E16/E17</f>
        <v>0.33783783783783777</v>
      </c>
      <c r="F18" s="23">
        <f>F16/F17</f>
        <v>0.33783783783783783</v>
      </c>
      <c r="G18" s="23">
        <f>G16/G17</f>
        <v>0.33783783783783783</v>
      </c>
      <c r="H18" s="14">
        <f t="shared" si="0"/>
        <v>0.36148648648648651</v>
      </c>
    </row>
    <row r="19" spans="1:8">
      <c r="A19" s="13" t="s">
        <v>35</v>
      </c>
      <c r="B19" s="15">
        <f>1-B18</f>
        <v>0.66216216216216217</v>
      </c>
      <c r="C19" s="23">
        <f>1-C18</f>
        <v>0.66216216216216228</v>
      </c>
      <c r="D19" s="23">
        <f>1-D18</f>
        <v>0.66216216216216228</v>
      </c>
      <c r="E19" s="23">
        <f>1-E18</f>
        <v>0.66216216216216228</v>
      </c>
      <c r="F19" s="23">
        <f>1-F18</f>
        <v>0.66216216216216217</v>
      </c>
      <c r="G19" s="23">
        <f>1-G18</f>
        <v>0.66216216216216217</v>
      </c>
      <c r="H19" s="14">
        <f t="shared" si="0"/>
        <v>0.70851351351351355</v>
      </c>
    </row>
    <row r="20" spans="1:8">
      <c r="A20" s="13" t="s">
        <v>36</v>
      </c>
      <c r="B20" s="16">
        <v>8.6800000000000002E-2</v>
      </c>
      <c r="C20" s="23">
        <f>$B$10/C19</f>
        <v>0.12292719721747702</v>
      </c>
      <c r="D20" s="23">
        <f>$B$10/D19</f>
        <v>0.12292719721747702</v>
      </c>
      <c r="E20" s="23">
        <f>$B$10/E19</f>
        <v>0.12292719721747702</v>
      </c>
      <c r="F20" s="23">
        <f>$B$10/F19</f>
        <v>0.12292719721747704</v>
      </c>
      <c r="G20" s="23">
        <f>$B$10/G19</f>
        <v>0.12292719721747704</v>
      </c>
      <c r="H20" s="14">
        <f>G20*(1+$B$11)</f>
        <v>0.13153210102270044</v>
      </c>
    </row>
    <row r="21" spans="1:8">
      <c r="B21" s="6"/>
    </row>
    <row r="22" spans="1:8">
      <c r="A22" t="s">
        <v>55</v>
      </c>
      <c r="B22">
        <f>H16/(B13-B11)</f>
        <v>208.20802800607001</v>
      </c>
    </row>
    <row r="24" spans="1:8">
      <c r="A24" s="15" t="s">
        <v>56</v>
      </c>
      <c r="B24" s="15">
        <v>1</v>
      </c>
      <c r="C24" s="15">
        <v>2</v>
      </c>
      <c r="D24" s="15">
        <v>3</v>
      </c>
      <c r="E24" s="15">
        <v>4</v>
      </c>
      <c r="F24" s="15">
        <v>5</v>
      </c>
      <c r="G24" s="15" t="s">
        <v>57</v>
      </c>
    </row>
    <row r="25" spans="1:8">
      <c r="A25" s="15" t="s">
        <v>58</v>
      </c>
      <c r="B25" s="15">
        <f>C16</f>
        <v>2.4331449120706328</v>
      </c>
      <c r="C25" s="15">
        <f>D16</f>
        <v>2.6311974058378702</v>
      </c>
      <c r="D25" s="15">
        <f>E16</f>
        <v>2.845370924741272</v>
      </c>
      <c r="E25" s="15">
        <f>F16</f>
        <v>3.0769776837724168</v>
      </c>
      <c r="F25" s="15">
        <f>G16</f>
        <v>3.327436709255883</v>
      </c>
      <c r="G25" s="15">
        <f>B22</f>
        <v>208.20802800607001</v>
      </c>
    </row>
    <row r="26" spans="1:8">
      <c r="A26" s="15"/>
      <c r="B26" s="15"/>
      <c r="C26" s="15"/>
      <c r="D26" s="15"/>
      <c r="E26" s="15"/>
      <c r="F26" s="15"/>
      <c r="G26" s="15"/>
    </row>
    <row r="27" spans="1:8">
      <c r="A27" s="15" t="s">
        <v>59</v>
      </c>
      <c r="B27" s="15">
        <f>(B25/(1+B12)^B24)</f>
        <v>2.2390217282328453</v>
      </c>
      <c r="C27" s="15">
        <f>(C25/(1+B12)^C24)</f>
        <v>2.2280970219994654</v>
      </c>
      <c r="D27" s="15">
        <f>(D25/(1+$B$12)^D24)</f>
        <v>2.2172256199411993</v>
      </c>
      <c r="E27" s="15">
        <f>(E25/(1+$B$12)^E24)</f>
        <v>2.2064072619746158</v>
      </c>
      <c r="F27" s="15">
        <f>(F25/(1+$B$12)^F24)</f>
        <v>2.1956416892852912</v>
      </c>
      <c r="G27" s="15">
        <f>(G25/(1+B13)^5)</f>
        <v>137.13553089267054</v>
      </c>
    </row>
    <row r="28" spans="1:8">
      <c r="A28" s="14" t="s">
        <v>60</v>
      </c>
      <c r="B28" s="14">
        <f>SUM(B27:G27)</f>
        <v>148.22192421410398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1DE1-0BA4-4194-929A-41049833D653}">
  <dimension ref="A1:I53"/>
  <sheetViews>
    <sheetView topLeftCell="A32" workbookViewId="0">
      <selection activeCell="F34" sqref="F34"/>
    </sheetView>
  </sheetViews>
  <sheetFormatPr defaultColWidth="11" defaultRowHeight="15.95"/>
  <cols>
    <col min="2" max="2" width="13.625" customWidth="1"/>
  </cols>
  <sheetData>
    <row r="1" spans="1:9">
      <c r="A1" s="3" t="s">
        <v>19</v>
      </c>
      <c r="B1" s="3">
        <f>'ASIAN 2 STAGE MODEL'!B11</f>
        <v>18</v>
      </c>
      <c r="C1" s="3">
        <f>'ASIAN 2 STAGE MODEL'!C11</f>
        <v>19</v>
      </c>
      <c r="D1" s="3">
        <f>'ASIAN 2 STAGE MODEL'!D11</f>
        <v>20</v>
      </c>
      <c r="E1" s="3">
        <f>'ASIAN 2 STAGE MODEL'!E11</f>
        <v>21</v>
      </c>
      <c r="F1" s="3">
        <f>'ASIAN 2 STAGE MODEL'!F11</f>
        <v>22</v>
      </c>
      <c r="G1" s="3"/>
      <c r="H1" s="3"/>
      <c r="I1" s="3"/>
    </row>
    <row r="2" spans="1:9">
      <c r="A2" s="3">
        <f>'ASIAN 2 STAGE MODEL'!A12</f>
        <v>0</v>
      </c>
      <c r="B2" s="3">
        <f>'ASIAN 2 STAGE MODEL'!B12</f>
        <v>0</v>
      </c>
      <c r="C2" s="3">
        <f>'ASIAN 2 STAGE MODEL'!C12</f>
        <v>0</v>
      </c>
      <c r="D2" s="3">
        <f>'ASIAN 2 STAGE MODEL'!D12</f>
        <v>0</v>
      </c>
      <c r="E2" s="3">
        <f>'ASIAN 2 STAGE MODEL'!E12</f>
        <v>0</v>
      </c>
      <c r="F2" s="3">
        <f>'ASIAN 2 STAGE MODEL'!F12</f>
        <v>0</v>
      </c>
      <c r="G2" s="3"/>
      <c r="H2" s="3"/>
      <c r="I2" s="3"/>
    </row>
    <row r="3" spans="1:9">
      <c r="A3" s="3" t="str">
        <f>'ASIAN 2 STAGE MODEL'!A13</f>
        <v>EPS</v>
      </c>
      <c r="B3" s="3">
        <f>'ASIAN 2 STAGE MODEL'!B13</f>
        <v>21.26</v>
      </c>
      <c r="C3" s="3">
        <f>'ASIAN 2 STAGE MODEL'!C13</f>
        <v>22.48</v>
      </c>
      <c r="D3" s="3">
        <f>'ASIAN 2 STAGE MODEL'!D13</f>
        <v>28.2</v>
      </c>
      <c r="E3" s="3">
        <f>'ASIAN 2 STAGE MODEL'!E13</f>
        <v>32.729999999999997</v>
      </c>
      <c r="F3" s="3">
        <f>'ASIAN 2 STAGE MODEL'!F13</f>
        <v>31.59</v>
      </c>
      <c r="G3" s="3"/>
      <c r="H3" s="3"/>
      <c r="I3" s="3"/>
    </row>
    <row r="4" spans="1:9">
      <c r="A4" s="3" t="str">
        <f>'ASIAN 2 STAGE MODEL'!A14</f>
        <v>dividend</v>
      </c>
      <c r="B4" s="3">
        <f>'ASIAN 2 STAGE MODEL'!B14</f>
        <v>8.6999999999999993</v>
      </c>
      <c r="C4" s="3">
        <f>'ASIAN 2 STAGE MODEL'!C14</f>
        <v>10.5</v>
      </c>
      <c r="D4" s="3">
        <f>'ASIAN 2 STAGE MODEL'!D14</f>
        <v>12</v>
      </c>
      <c r="E4" s="3">
        <f>'ASIAN 2 STAGE MODEL'!E14</f>
        <v>17.850000000000001</v>
      </c>
      <c r="F4" s="3">
        <f>'ASIAN 2 STAGE MODEL'!F14</f>
        <v>19.149999999999999</v>
      </c>
      <c r="G4" s="3"/>
      <c r="H4" s="3"/>
      <c r="I4" s="3"/>
    </row>
    <row r="5" spans="1:9">
      <c r="A5" s="3">
        <f>'ASIAN 2 STAGE MODEL'!A15</f>
        <v>0</v>
      </c>
      <c r="B5" s="3">
        <f>'ASIAN 2 STAGE MODEL'!B15</f>
        <v>0</v>
      </c>
      <c r="C5" s="3">
        <f>'ASIAN 2 STAGE MODEL'!C15</f>
        <v>0</v>
      </c>
      <c r="D5" s="3">
        <f>'ASIAN 2 STAGE MODEL'!D15</f>
        <v>0</v>
      </c>
      <c r="E5" s="3">
        <f>'ASIAN 2 STAGE MODEL'!E15</f>
        <v>0</v>
      </c>
      <c r="F5" s="3">
        <f>'ASIAN 2 STAGE MODEL'!F15</f>
        <v>0</v>
      </c>
      <c r="G5" s="3"/>
      <c r="H5" s="3"/>
      <c r="I5" s="3"/>
    </row>
    <row r="6" spans="1:9">
      <c r="A6" s="3">
        <f>'ASIAN 2 STAGE MODEL'!A16</f>
        <v>0</v>
      </c>
      <c r="B6" s="3">
        <f>'ASIAN 2 STAGE MODEL'!B16</f>
        <v>0</v>
      </c>
      <c r="C6" s="3">
        <f>'ASIAN 2 STAGE MODEL'!C16</f>
        <v>0</v>
      </c>
      <c r="D6" s="3">
        <f>'ASIAN 2 STAGE MODEL'!D16</f>
        <v>0</v>
      </c>
      <c r="E6" s="3">
        <f>'ASIAN 2 STAGE MODEL'!E16</f>
        <v>0</v>
      </c>
      <c r="F6" s="3">
        <f>'ASIAN 2 STAGE MODEL'!F16</f>
        <v>0</v>
      </c>
      <c r="G6" s="3"/>
      <c r="H6" s="3"/>
      <c r="I6" s="3"/>
    </row>
    <row r="7" spans="1:9">
      <c r="A7" s="3" t="str">
        <f>'ASIAN 2 STAGE MODEL'!A17</f>
        <v>roe</v>
      </c>
      <c r="B7" s="3">
        <f>'ASIAN 2 STAGE MODEL'!B17</f>
        <v>0.2424</v>
      </c>
      <c r="C7" s="3">
        <f>'ASIAN 2 STAGE MODEL'!C17</f>
        <v>0.2276</v>
      </c>
      <c r="D7" s="3">
        <f>'ASIAN 2 STAGE MODEL'!D17</f>
        <v>0.26700000000000002</v>
      </c>
      <c r="E7" s="3">
        <f>'ASIAN 2 STAGE MODEL'!E17</f>
        <v>0.24510000000000001</v>
      </c>
      <c r="F7" s="3">
        <f>'ASIAN 2 STAGE MODEL'!F17</f>
        <v>0.21940000000000001</v>
      </c>
      <c r="G7" s="3"/>
      <c r="H7" s="3"/>
      <c r="I7" s="3"/>
    </row>
    <row r="8" spans="1:9">
      <c r="A8" s="3" t="str">
        <f>'ASIAN 2 STAGE MODEL'!A18</f>
        <v xml:space="preserve">avg roe </v>
      </c>
      <c r="B8" s="3">
        <f>'ASIAN 2 STAGE MODEL'!B18</f>
        <v>24</v>
      </c>
      <c r="C8" s="3">
        <f>'ASIAN 2 STAGE MODEL'!C18</f>
        <v>0</v>
      </c>
      <c r="D8" s="3">
        <f>'ASIAN 2 STAGE MODEL'!D18</f>
        <v>0</v>
      </c>
      <c r="E8" s="3">
        <f>'ASIAN 2 STAGE MODEL'!E18</f>
        <v>0</v>
      </c>
      <c r="F8" s="3">
        <f>'ASIAN 2 STAGE MODEL'!F18</f>
        <v>0</v>
      </c>
      <c r="G8" s="3"/>
      <c r="H8" s="3"/>
      <c r="I8" s="3"/>
    </row>
    <row r="9" spans="1:9">
      <c r="A9" s="3" t="str">
        <f>'ASIAN 2 STAGE MODEL'!A19</f>
        <v>DIVIDEND PAYOUT RATIO</v>
      </c>
      <c r="B9" s="3">
        <f>'ASIAN 2 STAGE MODEL'!B19</f>
        <v>0.4092191909689557</v>
      </c>
      <c r="C9" s="3">
        <f>'ASIAN 2 STAGE MODEL'!C19</f>
        <v>0.4670818505338078</v>
      </c>
      <c r="D9" s="3">
        <f>'ASIAN 2 STAGE MODEL'!D19</f>
        <v>0.42553191489361702</v>
      </c>
      <c r="E9" s="3">
        <f>'ASIAN 2 STAGE MODEL'!E19</f>
        <v>0.54537121906507802</v>
      </c>
      <c r="F9" s="3">
        <f>'ASIAN 2 STAGE MODEL'!F19</f>
        <v>0.60620449509338392</v>
      </c>
      <c r="G9" s="3"/>
      <c r="H9" s="3"/>
      <c r="I9" s="3"/>
    </row>
    <row r="10" spans="1:9">
      <c r="A10" s="3" t="str">
        <f>'ASIAN 2 STAGE MODEL'!A20</f>
        <v>RETENTION RATIO</v>
      </c>
      <c r="B10" s="3">
        <f>'ASIAN 2 STAGE MODEL'!B20</f>
        <v>0.59078080903104424</v>
      </c>
      <c r="C10" s="3">
        <f>'ASIAN 2 STAGE MODEL'!C20</f>
        <v>0.5329181494661922</v>
      </c>
      <c r="D10" s="3">
        <f>'ASIAN 2 STAGE MODEL'!D20</f>
        <v>0.57446808510638303</v>
      </c>
      <c r="E10" s="3">
        <f>'ASIAN 2 STAGE MODEL'!E20</f>
        <v>0.45462878093492198</v>
      </c>
      <c r="F10" s="3">
        <f>'ASIAN 2 STAGE MODEL'!F20</f>
        <v>0.39379550490661608</v>
      </c>
      <c r="G10" s="3"/>
      <c r="H10" s="3"/>
      <c r="I10" s="3"/>
    </row>
    <row r="11" spans="1:9">
      <c r="A11" s="3" t="str">
        <f>'ASIAN 2 STAGE MODEL'!A21</f>
        <v xml:space="preserve">GROWTH </v>
      </c>
      <c r="B11" s="3">
        <f>'ASIAN 2 STAGE MODEL'!B21</f>
        <v>14.178739416745062</v>
      </c>
      <c r="C11" s="3">
        <f>'ASIAN 2 STAGE MODEL'!C21</f>
        <v>12.790035587188612</v>
      </c>
      <c r="D11" s="3">
        <f>'ASIAN 2 STAGE MODEL'!D21</f>
        <v>13.787234042553193</v>
      </c>
      <c r="E11" s="3">
        <f>'ASIAN 2 STAGE MODEL'!E21</f>
        <v>10.911090742438127</v>
      </c>
      <c r="F11" s="3">
        <f>'ASIAN 2 STAGE MODEL'!F21</f>
        <v>9.4510921177587868</v>
      </c>
      <c r="G11" s="3"/>
      <c r="H11" s="3"/>
      <c r="I11" s="3"/>
    </row>
    <row r="12" spans="1:9">
      <c r="A12" s="3" t="str">
        <f>'ASIAN 2 STAGE MODEL'!A22</f>
        <v>AVG GROWTH</v>
      </c>
      <c r="B12" s="3">
        <f>'ASIAN 2 STAGE MODEL'!B22</f>
        <v>12.223638381336755</v>
      </c>
      <c r="C12" s="3">
        <f>'ASIAN 2 STAGE MODEL'!C22</f>
        <v>1.1200000000000001</v>
      </c>
      <c r="D12" s="3">
        <f>'ASIAN 2 STAGE MODEL'!D22</f>
        <v>0</v>
      </c>
      <c r="E12" s="3">
        <f>'ASIAN 2 STAGE MODEL'!E22</f>
        <v>0</v>
      </c>
      <c r="F12" s="3">
        <f>'ASIAN 2 STAGE MODEL'!F22</f>
        <v>0</v>
      </c>
      <c r="G12" s="3"/>
      <c r="H12" s="3"/>
      <c r="I12" s="3"/>
    </row>
    <row r="13" spans="1:9">
      <c r="A13" s="3" t="str">
        <f>'ASIAN 2 STAGE MODEL'!A23</f>
        <v>AVG RR</v>
      </c>
      <c r="B13" s="3">
        <f>'ASIAN 2 STAGE MODEL'!B23</f>
        <v>0.50931826588903151</v>
      </c>
      <c r="C13" s="3">
        <f>'ASIAN 2 STAGE MODEL'!C23</f>
        <v>0</v>
      </c>
      <c r="D13" s="3">
        <f>'ASIAN 2 STAGE MODEL'!D23</f>
        <v>0</v>
      </c>
      <c r="E13" s="3">
        <f>'ASIAN 2 STAGE MODEL'!E23</f>
        <v>0</v>
      </c>
      <c r="F13" s="3">
        <f>'ASIAN 2 STAGE MODEL'!F23</f>
        <v>0</v>
      </c>
      <c r="G13" s="3"/>
      <c r="H13" s="3"/>
      <c r="I13" s="3"/>
    </row>
    <row r="14" spans="1:9">
      <c r="A14" s="3" t="str">
        <f>'ASIAN 2 STAGE MODEL'!A24</f>
        <v>AVG DIVIDEND PAY OUT RATIO</v>
      </c>
      <c r="B14" s="3">
        <f>'ASIAN 2 STAGE MODEL'!B24</f>
        <v>0.49068173411096849</v>
      </c>
      <c r="C14" s="3">
        <f>'ASIAN 2 STAGE MODEL'!C24</f>
        <v>0</v>
      </c>
      <c r="D14" s="3">
        <f>'ASIAN 2 STAGE MODEL'!D24</f>
        <v>0</v>
      </c>
      <c r="E14" s="3">
        <f>'ASIAN 2 STAGE MODEL'!E24</f>
        <v>0</v>
      </c>
      <c r="F14" s="3">
        <f>'ASIAN 2 STAGE MODEL'!F24</f>
        <v>0</v>
      </c>
      <c r="G14" s="3"/>
      <c r="H14" s="3"/>
      <c r="I14" s="3"/>
    </row>
    <row r="15" spans="1:9">
      <c r="A15" s="3" t="str">
        <f>'ASIAN 2 STAGE MODEL'!A25</f>
        <v>DIVIDEND DISCOUNT MODEL</v>
      </c>
      <c r="B15" s="3">
        <f>'ASIAN 2 STAGE MODEL'!B25</f>
        <v>0</v>
      </c>
      <c r="C15" s="3">
        <f>'ASIAN 2 STAGE MODEL'!C25</f>
        <v>0</v>
      </c>
      <c r="D15" s="3">
        <f>'ASIAN 2 STAGE MODEL'!D25</f>
        <v>0</v>
      </c>
      <c r="E15" s="3">
        <f>'ASIAN 2 STAGE MODEL'!E25</f>
        <v>0</v>
      </c>
      <c r="F15" s="3">
        <f>'ASIAN 2 STAGE MODEL'!F25</f>
        <v>0</v>
      </c>
      <c r="G15" s="3"/>
      <c r="H15" s="3"/>
      <c r="I15" s="3"/>
    </row>
    <row r="16" spans="1:9">
      <c r="A16" s="3" t="str">
        <f>'ASIAN 2 STAGE MODEL'!A26</f>
        <v>COE</v>
      </c>
      <c r="B16" s="3">
        <f>'ASIAN 2 STAGE MODEL'!B26</f>
        <v>8.9</v>
      </c>
      <c r="C16" s="3">
        <f>'ASIAN 2 STAGE MODEL'!C26</f>
        <v>1.089</v>
      </c>
      <c r="D16" s="3">
        <f>'ASIAN 2 STAGE MODEL'!D26</f>
        <v>0</v>
      </c>
      <c r="E16" s="3">
        <f>'ASIAN 2 STAGE MODEL'!E26</f>
        <v>0</v>
      </c>
      <c r="F16" s="3">
        <f>'ASIAN 2 STAGE MODEL'!F26</f>
        <v>0</v>
      </c>
      <c r="G16" s="3"/>
      <c r="H16" s="3"/>
      <c r="I16" s="3"/>
    </row>
    <row r="17" spans="1:9">
      <c r="A17" s="3" t="str">
        <f>'ASIAN 2 STAGE MODEL'!A27</f>
        <v>YEAR</v>
      </c>
      <c r="B17" s="3" t="str">
        <f>'ASIAN 2 STAGE MODEL'!B27</f>
        <v>GROWTH</v>
      </c>
      <c r="C17" s="3" t="str">
        <f>'ASIAN 2 STAGE MODEL'!C27</f>
        <v>EPS</v>
      </c>
      <c r="D17" s="3" t="str">
        <f>'ASIAN 2 STAGE MODEL'!D27</f>
        <v>DIVIDEND</v>
      </c>
      <c r="E17" s="3" t="str">
        <f>'ASIAN 2 STAGE MODEL'!E27</f>
        <v xml:space="preserve">PV </v>
      </c>
      <c r="F17" s="3" t="str">
        <f>'ASIAN 2 STAGE MODEL'!F27</f>
        <v>PV OF DIVIDEND</v>
      </c>
      <c r="G17" s="3"/>
      <c r="H17" s="3"/>
      <c r="I17" s="3"/>
    </row>
    <row r="18" spans="1:9">
      <c r="A18" s="3">
        <f>'ASIAN 2 STAGE MODEL'!A28</f>
        <v>2023</v>
      </c>
      <c r="B18" s="3">
        <f>'ASIAN 2 STAGE MODEL'!B28</f>
        <v>12.223638381336755</v>
      </c>
      <c r="C18" s="3">
        <f>'ASIAN 2 STAGE MODEL'!C28</f>
        <v>35.380800000000001</v>
      </c>
      <c r="D18" s="3">
        <f>'ASIAN 2 STAGE MODEL'!D28</f>
        <v>17.360712298233356</v>
      </c>
      <c r="E18" s="3">
        <f>'ASIAN 2 STAGE MODEL'!E28</f>
        <v>0.91827364554637281</v>
      </c>
      <c r="F18" s="3">
        <f>'ASIAN 2 STAGE MODEL'!F28</f>
        <v>15.941884571380491</v>
      </c>
      <c r="G18" s="3"/>
      <c r="H18" s="3"/>
      <c r="I18" s="3"/>
    </row>
    <row r="19" spans="1:9">
      <c r="A19" s="3">
        <f>'ASIAN 2 STAGE MODEL'!A29</f>
        <v>2024</v>
      </c>
      <c r="B19" s="3">
        <f>'ASIAN 2 STAGE MODEL'!B29</f>
        <v>12.223638381336755</v>
      </c>
      <c r="C19" s="3">
        <f>'ASIAN 2 STAGE MODEL'!C29</f>
        <v>39.626496000000003</v>
      </c>
      <c r="D19" s="3">
        <f>'ASIAN 2 STAGE MODEL'!D29</f>
        <v>19.443997774021359</v>
      </c>
      <c r="E19" s="3">
        <f>'ASIAN 2 STAGE MODEL'!E29</f>
        <v>0.84322648810502554</v>
      </c>
      <c r="F19" s="3">
        <f>'ASIAN 2 STAGE MODEL'!F29</f>
        <v>16.395693957709963</v>
      </c>
      <c r="G19" s="3"/>
      <c r="H19" s="3"/>
      <c r="I19" s="3"/>
    </row>
    <row r="20" spans="1:9">
      <c r="A20" s="3">
        <f>'ASIAN 2 STAGE MODEL'!A30</f>
        <v>2025</v>
      </c>
      <c r="B20" s="3">
        <f>'ASIAN 2 STAGE MODEL'!B30</f>
        <v>12.223638381336755</v>
      </c>
      <c r="C20" s="3">
        <f>'ASIAN 2 STAGE MODEL'!C30</f>
        <v>44.381675520000009</v>
      </c>
      <c r="D20" s="3">
        <f>'ASIAN 2 STAGE MODEL'!D30</f>
        <v>21.777277506903925</v>
      </c>
      <c r="E20" s="3">
        <f>'ASIAN 2 STAGE MODEL'!E30</f>
        <v>0.77431266125346698</v>
      </c>
      <c r="F20" s="3">
        <f>'ASIAN 2 STAGE MODEL'!F30</f>
        <v>16.862421701226044</v>
      </c>
      <c r="G20" s="3"/>
      <c r="H20" s="3"/>
      <c r="I20" s="3"/>
    </row>
    <row r="21" spans="1:9">
      <c r="A21" s="3">
        <f>'ASIAN 2 STAGE MODEL'!A31</f>
        <v>2026</v>
      </c>
      <c r="B21" s="3">
        <f>'ASIAN 2 STAGE MODEL'!B31</f>
        <v>12.223638381336755</v>
      </c>
      <c r="C21" s="3">
        <f>'ASIAN 2 STAGE MODEL'!C31</f>
        <v>49.707476582400012</v>
      </c>
      <c r="D21" s="3">
        <f>'ASIAN 2 STAGE MODEL'!D31</f>
        <v>24.390550807732396</v>
      </c>
      <c r="E21" s="3">
        <f>'ASIAN 2 STAGE MODEL'!E31</f>
        <v>0.71103091024193477</v>
      </c>
      <c r="F21" s="3">
        <f>'ASIAN 2 STAGE MODEL'!F31</f>
        <v>17.342435542124122</v>
      </c>
      <c r="G21" s="3"/>
      <c r="H21" s="3"/>
      <c r="I21" s="3"/>
    </row>
    <row r="22" spans="1:9">
      <c r="A22" s="3">
        <f>'ASIAN 2 STAGE MODEL'!A32</f>
        <v>2027</v>
      </c>
      <c r="B22" s="3">
        <f>'ASIAN 2 STAGE MODEL'!B32</f>
        <v>12.223638381336755</v>
      </c>
      <c r="C22" s="3">
        <f>'ASIAN 2 STAGE MODEL'!C32</f>
        <v>55.672373772288019</v>
      </c>
      <c r="D22" s="3">
        <f>'ASIAN 2 STAGE MODEL'!D32</f>
        <v>27.317416904660284</v>
      </c>
      <c r="E22" s="3">
        <f>'ASIAN 2 STAGE MODEL'!E32</f>
        <v>0.65292094604401729</v>
      </c>
      <c r="F22" s="3">
        <f>'ASIAN 2 STAGE MODEL'!F32</f>
        <v>17.836113688869624</v>
      </c>
      <c r="G22" s="3"/>
      <c r="H22" s="3"/>
      <c r="I22" s="3"/>
    </row>
    <row r="23" spans="1:9">
      <c r="A23" s="3">
        <f>'ASIAN 2 STAGE MODEL'!A33</f>
        <v>0</v>
      </c>
      <c r="B23" s="3">
        <f>'ASIAN 2 STAGE MODEL'!B33</f>
        <v>0</v>
      </c>
      <c r="C23" s="3">
        <f>'ASIAN 2 STAGE MODEL'!C33</f>
        <v>0</v>
      </c>
      <c r="D23" s="3">
        <f>'ASIAN 2 STAGE MODEL'!D33</f>
        <v>0</v>
      </c>
      <c r="E23" s="3">
        <f>'ASIAN 2 STAGE MODEL'!E33</f>
        <v>0</v>
      </c>
      <c r="F23" s="3">
        <f>'ASIAN 2 STAGE MODEL'!F33</f>
        <v>0</v>
      </c>
      <c r="G23" s="3"/>
      <c r="H23" s="3"/>
      <c r="I23" s="3"/>
    </row>
    <row r="24" spans="1:9">
      <c r="A24" s="3">
        <f>'ASIAN 2 STAGE MODEL'!A34</f>
        <v>0</v>
      </c>
      <c r="B24" s="3">
        <f>'ASIAN 2 STAGE MODEL'!B34</f>
        <v>0</v>
      </c>
      <c r="C24" s="3">
        <f>'ASIAN 2 STAGE MODEL'!C34</f>
        <v>0</v>
      </c>
      <c r="D24" s="3">
        <f>'ASIAN 2 STAGE MODEL'!D34</f>
        <v>0</v>
      </c>
      <c r="E24" s="3" t="str">
        <f>'ASIAN 2 STAGE MODEL'!E34</f>
        <v>SUM</v>
      </c>
      <c r="F24" s="3">
        <f>'ASIAN 2 STAGE MODEL'!F34</f>
        <v>84.378549461310229</v>
      </c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  <row r="26" spans="1:9">
      <c r="A26" s="3"/>
      <c r="B26" s="3"/>
      <c r="C26" s="3"/>
      <c r="D26" s="3"/>
      <c r="E26" s="3"/>
      <c r="F26" s="3"/>
      <c r="G26" s="3"/>
      <c r="H26" s="3"/>
      <c r="I26" s="3"/>
    </row>
    <row r="27" spans="1:9" ht="15.75">
      <c r="A27" t="s">
        <v>61</v>
      </c>
      <c r="B27" s="3"/>
      <c r="C27" s="3"/>
      <c r="D27" s="3"/>
      <c r="E27" s="3"/>
      <c r="F27" s="3"/>
      <c r="G27" s="3"/>
      <c r="H27" s="3"/>
      <c r="I27" s="3"/>
    </row>
    <row r="28" spans="1:9">
      <c r="A28" s="3" t="s">
        <v>18</v>
      </c>
      <c r="B28" s="3">
        <v>8</v>
      </c>
      <c r="C28" s="3">
        <v>1.8</v>
      </c>
      <c r="D28" s="3"/>
      <c r="E28" s="3"/>
      <c r="F28" s="3"/>
      <c r="G28" s="3"/>
      <c r="H28" s="3"/>
      <c r="I28" s="3"/>
    </row>
    <row r="29" spans="1:9">
      <c r="A29" s="3"/>
      <c r="B29" s="3">
        <v>7.5</v>
      </c>
      <c r="C29" s="3">
        <v>1.75</v>
      </c>
      <c r="D29" s="3"/>
      <c r="E29" s="3"/>
      <c r="F29" s="3"/>
      <c r="G29" s="3"/>
      <c r="H29" s="3"/>
      <c r="I29" s="3"/>
    </row>
    <row r="30" spans="1:9">
      <c r="A30" s="3"/>
      <c r="B30" s="3">
        <v>7</v>
      </c>
      <c r="C30" s="3">
        <v>1.7</v>
      </c>
      <c r="D30" s="3"/>
      <c r="E30" s="3"/>
      <c r="F30" s="3"/>
      <c r="G30" s="3"/>
      <c r="H30" s="3"/>
      <c r="I30" s="3"/>
    </row>
    <row r="31" spans="1:9">
      <c r="A31" s="3"/>
      <c r="B31" s="3"/>
      <c r="C31" s="3"/>
      <c r="D31" s="3"/>
      <c r="E31" s="3"/>
      <c r="F31" s="3"/>
      <c r="G31" s="3"/>
      <c r="H31" s="3"/>
      <c r="I31" s="3"/>
    </row>
    <row r="32" spans="1:9">
      <c r="A32" s="3"/>
      <c r="B32" s="3"/>
      <c r="C32" s="3"/>
      <c r="D32" s="3"/>
      <c r="E32" s="3"/>
      <c r="F32" s="3"/>
      <c r="G32" s="3"/>
      <c r="H32" s="3"/>
      <c r="I32" s="3"/>
    </row>
    <row r="33" spans="1:7">
      <c r="B33" s="21"/>
    </row>
    <row r="34" spans="1:7">
      <c r="A34" t="s">
        <v>19</v>
      </c>
      <c r="B34" t="s">
        <v>20</v>
      </c>
      <c r="C34" t="s">
        <v>7</v>
      </c>
      <c r="D34" t="s">
        <v>62</v>
      </c>
      <c r="E34" t="s">
        <v>21</v>
      </c>
      <c r="F34" t="s">
        <v>49</v>
      </c>
      <c r="G34" t="s">
        <v>23</v>
      </c>
    </row>
    <row r="35" spans="1:7">
      <c r="A35">
        <v>2028</v>
      </c>
      <c r="B35" s="6">
        <v>0.11</v>
      </c>
      <c r="C35">
        <f>C22*(1+B35)</f>
        <v>61.796334887239709</v>
      </c>
      <c r="D35">
        <v>0.6</v>
      </c>
      <c r="E35">
        <f>D35*C35</f>
        <v>37.077800932343827</v>
      </c>
      <c r="F35">
        <f>1/C28</f>
        <v>0.55555555555555558</v>
      </c>
      <c r="G35">
        <f>E35*F35</f>
        <v>20.59877829574657</v>
      </c>
    </row>
    <row r="36" spans="1:7">
      <c r="A36">
        <v>2029</v>
      </c>
      <c r="B36" s="6">
        <v>9.8000000000000004E-2</v>
      </c>
      <c r="C36">
        <f>C35*(1+B36)</f>
        <v>67.852375706189207</v>
      </c>
      <c r="D36">
        <v>0.65</v>
      </c>
      <c r="E36">
        <f>D36*C36</f>
        <v>44.104044209022987</v>
      </c>
      <c r="F36">
        <f>1/C29^2</f>
        <v>0.32653061224489793</v>
      </c>
      <c r="G36">
        <f>E36*F36</f>
        <v>14.401320558048321</v>
      </c>
    </row>
    <row r="37" spans="1:7">
      <c r="A37">
        <v>2030</v>
      </c>
      <c r="B37" s="6">
        <v>8.5000000000000006E-2</v>
      </c>
      <c r="C37">
        <f>C36*(1+B37)</f>
        <v>73.619827641215281</v>
      </c>
      <c r="D37">
        <v>0.7</v>
      </c>
      <c r="E37">
        <f>D37*C37</f>
        <v>51.533879348850697</v>
      </c>
      <c r="F37">
        <f>1/C30^3</f>
        <v>0.20354162426216163</v>
      </c>
      <c r="G37">
        <f>E37*F37</f>
        <v>10.489289507195339</v>
      </c>
    </row>
    <row r="39" spans="1:7">
      <c r="F39" t="s">
        <v>24</v>
      </c>
      <c r="G39">
        <f>SUM(G35:G37)</f>
        <v>45.489388360990226</v>
      </c>
    </row>
    <row r="41" spans="1:7">
      <c r="A41" t="s">
        <v>63</v>
      </c>
    </row>
    <row r="42" spans="1:7">
      <c r="A42" t="s">
        <v>20</v>
      </c>
      <c r="B42" s="6">
        <v>7.1999999999999995E-2</v>
      </c>
    </row>
    <row r="43" spans="1:7">
      <c r="A43" t="s">
        <v>7</v>
      </c>
      <c r="B43">
        <f>C37*(1+B42)</f>
        <v>78.920455231382789</v>
      </c>
    </row>
    <row r="44" spans="1:7">
      <c r="A44" t="s">
        <v>64</v>
      </c>
      <c r="B44">
        <v>0.75</v>
      </c>
    </row>
    <row r="45" spans="1:7">
      <c r="A45" t="s">
        <v>21</v>
      </c>
      <c r="B45">
        <f>B43*B44</f>
        <v>59.190341423537092</v>
      </c>
    </row>
    <row r="46" spans="1:7">
      <c r="A46" t="s">
        <v>30</v>
      </c>
      <c r="B46">
        <f>8.9%-7.2%</f>
        <v>1.7000000000000001E-2</v>
      </c>
    </row>
    <row r="47" spans="1:7">
      <c r="A47" t="s">
        <v>49</v>
      </c>
      <c r="B47">
        <f>B45/B46</f>
        <v>3481.7847896198286</v>
      </c>
    </row>
    <row r="48" spans="1:7">
      <c r="A48" t="s">
        <v>65</v>
      </c>
      <c r="B48">
        <f>B47/1.065^5</f>
        <v>2541.2879948336572</v>
      </c>
    </row>
    <row r="51" spans="1:2">
      <c r="A51" t="s">
        <v>66</v>
      </c>
      <c r="B51">
        <f>SUM(B48,G39,F24)</f>
        <v>2671.1559326559577</v>
      </c>
    </row>
    <row r="52" spans="1:2" ht="15.75"/>
    <row r="53" spans="1:2" ht="15.75">
      <c r="B53" s="4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D22F3-7645-4717-8484-E036C8AEA48D}">
  <dimension ref="A2:J30"/>
  <sheetViews>
    <sheetView topLeftCell="A6" workbookViewId="0">
      <selection activeCell="A27" sqref="A27"/>
    </sheetView>
  </sheetViews>
  <sheetFormatPr defaultColWidth="11" defaultRowHeight="15.95"/>
  <cols>
    <col min="1" max="1" width="17.875" customWidth="1"/>
    <col min="2" max="2" width="19.125" customWidth="1"/>
  </cols>
  <sheetData>
    <row r="2" spans="1:10" ht="15.75"/>
    <row r="3" spans="1:10" ht="15.75"/>
    <row r="4" spans="1:10" ht="15.75"/>
    <row r="5" spans="1:10" ht="15.75"/>
    <row r="8" spans="1:10">
      <c r="A8" t="s">
        <v>38</v>
      </c>
      <c r="B8" s="6">
        <f>'Berger PAINTS 2 STAGE MODEL'!B9</f>
        <v>0.13767222703531662</v>
      </c>
    </row>
    <row r="9" spans="1:10">
      <c r="A9" t="str">
        <f>'Berger PAINTS 2 STAGE MODEL'!A11</f>
        <v>Forecasting Dividends</v>
      </c>
      <c r="G9" s="6">
        <f>B8-0.5%</f>
        <v>0.13267222703531661</v>
      </c>
      <c r="H9" s="6">
        <f>G9-0.5%</f>
        <v>0.12767222703531661</v>
      </c>
      <c r="I9" s="6">
        <f>H9-0.5%</f>
        <v>0.12267222703531661</v>
      </c>
      <c r="J9" s="6">
        <v>7.0000000000000007E-2</v>
      </c>
    </row>
    <row r="10" spans="1:10" ht="15.75">
      <c r="A10" t="str">
        <f>'Berger PAINTS 2 STAGE MODEL'!A12</f>
        <v>Years-&gt;</v>
      </c>
      <c r="B10" s="15" t="str">
        <f>'Berger PAINTS 2 STAGE MODEL'!B12</f>
        <v>22(Current year)</v>
      </c>
      <c r="C10" s="15">
        <f>'Berger PAINTS 2 STAGE MODEL'!C12</f>
        <v>23</v>
      </c>
      <c r="D10" s="15">
        <f>'Berger PAINTS 2 STAGE MODEL'!D12</f>
        <v>24</v>
      </c>
      <c r="E10" s="15">
        <f>'Berger PAINTS 2 STAGE MODEL'!E12</f>
        <v>25</v>
      </c>
      <c r="F10" s="15">
        <f>'Berger PAINTS 2 STAGE MODEL'!F12</f>
        <v>26</v>
      </c>
      <c r="G10" s="55">
        <v>27</v>
      </c>
      <c r="H10" s="55">
        <v>28</v>
      </c>
      <c r="I10" s="55">
        <v>29</v>
      </c>
      <c r="J10" s="57">
        <v>30</v>
      </c>
    </row>
    <row r="11" spans="1:10" ht="15.75">
      <c r="A11" t="str">
        <f>'Berger PAINTS 2 STAGE MODEL'!A13</f>
        <v>Dividend</v>
      </c>
      <c r="B11" s="15">
        <f>'Berger PAINTS 2 STAGE MODEL'!B13</f>
        <v>3.1</v>
      </c>
      <c r="C11" s="15">
        <f>'Berger PAINTS 2 STAGE MODEL'!C13</f>
        <v>3.5267839038094815</v>
      </c>
      <c r="D11" s="15">
        <f>'Berger PAINTS 2 STAGE MODEL'!D13</f>
        <v>4.0123240981192403</v>
      </c>
      <c r="E11" s="15">
        <f>'Berger PAINTS 2 STAGE MODEL'!E13</f>
        <v>4.5647096922947838</v>
      </c>
      <c r="F11" s="15">
        <f>'Berger PAINTS 2 STAGE MODEL'!F13</f>
        <v>5.1931434414027011</v>
      </c>
      <c r="G11" s="55">
        <f>F11*(1+G9)</f>
        <v>5.8821293470874458</v>
      </c>
      <c r="H11" s="55">
        <f>G11*(1+H9)</f>
        <v>6.6331139005398922</v>
      </c>
      <c r="I11" s="55">
        <f>H11*(1+I9)</f>
        <v>7.446812754898037</v>
      </c>
      <c r="J11" s="57">
        <f>I11*(1+J9)</f>
        <v>7.9680896477409</v>
      </c>
    </row>
    <row r="12" spans="1:10" ht="15.75">
      <c r="A12" t="str">
        <f>'Berger PAINTS 2 STAGE MODEL'!A14</f>
        <v>EPS</v>
      </c>
      <c r="B12" s="15">
        <f>'Berger PAINTS 2 STAGE MODEL'!B14</f>
        <v>8.58</v>
      </c>
      <c r="C12" s="15">
        <f>'Berger PAINTS 2 STAGE MODEL'!C14</f>
        <v>9.7612277079630161</v>
      </c>
      <c r="D12" s="15">
        <f>'Berger PAINTS 2 STAGE MODEL'!D14</f>
        <v>11.105077665117124</v>
      </c>
      <c r="E12" s="15">
        <f>'Berger PAINTS 2 STAGE MODEL'!E14</f>
        <v>12.633938438673951</v>
      </c>
      <c r="F12" s="15">
        <f>'Berger PAINTS 2 STAGE MODEL'!F14</f>
        <v>14.373280879753285</v>
      </c>
      <c r="G12" s="55">
        <f>G11/G13</f>
        <v>15.074274133216928</v>
      </c>
      <c r="H12" s="55">
        <f t="shared" ref="H12:J12" si="0">H11/H13</f>
        <v>15.739666928468147</v>
      </c>
      <c r="I12" s="55">
        <f t="shared" si="0"/>
        <v>16.361561966090235</v>
      </c>
      <c r="J12" s="57">
        <f t="shared" si="0"/>
        <v>17.506871303716554</v>
      </c>
    </row>
    <row r="13" spans="1:10" ht="15.75">
      <c r="A13" t="str">
        <f>'Berger PAINTS 2 STAGE MODEL'!A15</f>
        <v>Dividend payout ratio</v>
      </c>
      <c r="B13" s="16">
        <f>'Berger PAINTS 2 STAGE MODEL'!B15</f>
        <v>0.36130536130536134</v>
      </c>
      <c r="C13" s="16">
        <f>'Berger PAINTS 2 STAGE MODEL'!C15</f>
        <v>0.36130536130536134</v>
      </c>
      <c r="D13" s="16">
        <f>'Berger PAINTS 2 STAGE MODEL'!D15</f>
        <v>0.36130536130536134</v>
      </c>
      <c r="E13" s="16">
        <f>'Berger PAINTS 2 STAGE MODEL'!E15</f>
        <v>0.36130536130536134</v>
      </c>
      <c r="F13" s="16">
        <f>'Berger PAINTS 2 STAGE MODEL'!F15</f>
        <v>0.36130536130536134</v>
      </c>
      <c r="G13" s="56">
        <f>F13*(1.08)</f>
        <v>0.3902097902097903</v>
      </c>
      <c r="H13" s="56">
        <f>G13*(1.08)</f>
        <v>0.42142657342657353</v>
      </c>
      <c r="I13" s="56">
        <f>H13*(1.08)</f>
        <v>0.45514069930069945</v>
      </c>
      <c r="J13" s="58">
        <f>I13</f>
        <v>0.45514069930069945</v>
      </c>
    </row>
    <row r="14" spans="1:10" ht="15.75">
      <c r="A14" t="str">
        <f>'Berger PAINTS 2 STAGE MODEL'!A16</f>
        <v>retention ratio</v>
      </c>
      <c r="B14" s="16">
        <f>'Berger PAINTS 2 STAGE MODEL'!B16</f>
        <v>0.63869463869463861</v>
      </c>
      <c r="C14" s="16">
        <f>'Berger PAINTS 2 STAGE MODEL'!C16</f>
        <v>0.63869463869463861</v>
      </c>
      <c r="D14" s="16">
        <f>'Berger PAINTS 2 STAGE MODEL'!D16</f>
        <v>0.63869463869463861</v>
      </c>
      <c r="E14" s="16">
        <f>'Berger PAINTS 2 STAGE MODEL'!E16</f>
        <v>0.63869463869463861</v>
      </c>
      <c r="F14" s="16">
        <f>'Berger PAINTS 2 STAGE MODEL'!F16</f>
        <v>0.63869463869463861</v>
      </c>
      <c r="G14" s="56">
        <f>1-G13</f>
        <v>0.6097902097902097</v>
      </c>
      <c r="H14" s="56">
        <f t="shared" ref="H14:J14" si="1">1-H13</f>
        <v>0.57857342657342647</v>
      </c>
      <c r="I14" s="56">
        <f t="shared" si="1"/>
        <v>0.54485930069930055</v>
      </c>
      <c r="J14" s="58">
        <f t="shared" si="1"/>
        <v>0.54485930069930055</v>
      </c>
    </row>
    <row r="15" spans="1:10" ht="15.75">
      <c r="A15" t="s">
        <v>53</v>
      </c>
      <c r="B15" s="16">
        <v>8.6999999999999994E-2</v>
      </c>
      <c r="C15" s="16">
        <v>8.6999999999999994E-2</v>
      </c>
      <c r="D15" s="16">
        <v>8.6999999999999994E-2</v>
      </c>
      <c r="E15" s="16">
        <v>8.6999999999999994E-2</v>
      </c>
      <c r="F15" s="16">
        <v>8.6999999999999994E-2</v>
      </c>
      <c r="G15" s="56">
        <f>F15-0.33%</f>
        <v>8.3699999999999997E-2</v>
      </c>
      <c r="H15" s="56">
        <f t="shared" ref="H15:I15" si="2">G15-0.33%</f>
        <v>8.0399999999999999E-2</v>
      </c>
      <c r="I15" s="56">
        <f t="shared" si="2"/>
        <v>7.7100000000000002E-2</v>
      </c>
      <c r="J15" s="58">
        <f>I15</f>
        <v>7.7100000000000002E-2</v>
      </c>
    </row>
    <row r="17" spans="1:10">
      <c r="A17" t="s">
        <v>56</v>
      </c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</row>
    <row r="18" spans="1:10">
      <c r="A18" t="s">
        <v>67</v>
      </c>
      <c r="B18">
        <f>B11</f>
        <v>3.1</v>
      </c>
      <c r="C18">
        <f t="shared" ref="C18:J18" si="3">C11</f>
        <v>3.5267839038094815</v>
      </c>
      <c r="D18">
        <f t="shared" si="3"/>
        <v>4.0123240981192403</v>
      </c>
      <c r="E18">
        <f t="shared" si="3"/>
        <v>4.5647096922947838</v>
      </c>
      <c r="F18">
        <f t="shared" si="3"/>
        <v>5.1931434414027011</v>
      </c>
      <c r="G18">
        <f t="shared" si="3"/>
        <v>5.8821293470874458</v>
      </c>
      <c r="H18">
        <f t="shared" si="3"/>
        <v>6.6331139005398922</v>
      </c>
      <c r="I18">
        <f t="shared" si="3"/>
        <v>7.446812754898037</v>
      </c>
      <c r="J18">
        <f t="shared" si="3"/>
        <v>7.9680896477409</v>
      </c>
    </row>
    <row r="20" spans="1:10">
      <c r="A20" t="s">
        <v>68</v>
      </c>
      <c r="B20">
        <f>J11/(J15-J9)</f>
        <v>1122.2661475691416</v>
      </c>
    </row>
    <row r="22" spans="1:10">
      <c r="A22" t="s">
        <v>56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</row>
    <row r="23" spans="1:10" ht="15.75">
      <c r="A23" t="str">
        <f>A18</f>
        <v>CASH Flows</v>
      </c>
      <c r="B23">
        <f>B18</f>
        <v>3.1</v>
      </c>
      <c r="C23">
        <f t="shared" ref="C23:H23" si="4">C18</f>
        <v>3.5267839038094815</v>
      </c>
      <c r="D23">
        <f t="shared" si="4"/>
        <v>4.0123240981192403</v>
      </c>
      <c r="E23">
        <f t="shared" si="4"/>
        <v>4.5647096922947838</v>
      </c>
      <c r="F23">
        <f t="shared" si="4"/>
        <v>5.1931434414027011</v>
      </c>
      <c r="G23">
        <f t="shared" si="4"/>
        <v>5.8821293470874458</v>
      </c>
      <c r="H23">
        <f t="shared" si="4"/>
        <v>6.6331139005398922</v>
      </c>
      <c r="I23">
        <f>I18+B20</f>
        <v>1129.7129603240396</v>
      </c>
    </row>
    <row r="24" spans="1:10">
      <c r="A24" t="s">
        <v>59</v>
      </c>
      <c r="B24">
        <f>(B23/(1+B15)^B17)</f>
        <v>3.1</v>
      </c>
      <c r="C24">
        <f t="shared" ref="C24:I24" si="5">(C23/(1+C15)^C17)</f>
        <v>3.2445114110482813</v>
      </c>
      <c r="D24">
        <f t="shared" si="5"/>
        <v>3.3957594504588737</v>
      </c>
      <c r="E24">
        <f t="shared" si="5"/>
        <v>3.5540581568351142</v>
      </c>
      <c r="F24">
        <f t="shared" si="5"/>
        <v>3.7197362081873386</v>
      </c>
      <c r="G24">
        <f t="shared" si="5"/>
        <v>3.935402919810647</v>
      </c>
      <c r="H24">
        <f t="shared" si="5"/>
        <v>4.1707100812044171</v>
      </c>
      <c r="I24">
        <f t="shared" si="5"/>
        <v>671.7008994950387</v>
      </c>
    </row>
    <row r="26" spans="1:10">
      <c r="A26" t="s">
        <v>69</v>
      </c>
      <c r="B26">
        <f>SUM(C24:F24)</f>
        <v>13.914065226529608</v>
      </c>
    </row>
    <row r="27" spans="1:10">
      <c r="A27" t="s">
        <v>70</v>
      </c>
      <c r="B27">
        <f>SUM(G24:H24)</f>
        <v>8.1061130010150642</v>
      </c>
    </row>
    <row r="28" spans="1:10">
      <c r="A28" t="s">
        <v>71</v>
      </c>
      <c r="B28">
        <f>I24</f>
        <v>671.7008994950387</v>
      </c>
    </row>
    <row r="30" spans="1:10">
      <c r="A30" t="s">
        <v>72</v>
      </c>
      <c r="B30">
        <f>SUM(B24:I24)</f>
        <v>696.82107772258337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562A3-A5D2-46E4-AA91-DC957471E1CF}">
  <dimension ref="A1:K37"/>
  <sheetViews>
    <sheetView topLeftCell="A17" workbookViewId="0">
      <selection activeCell="D33" sqref="D33"/>
    </sheetView>
  </sheetViews>
  <sheetFormatPr defaultColWidth="11" defaultRowHeight="15.95"/>
  <cols>
    <col min="1" max="1" width="24.25" customWidth="1"/>
    <col min="7" max="7" width="16" customWidth="1"/>
  </cols>
  <sheetData>
    <row r="1" spans="1:11">
      <c r="A1" s="14"/>
      <c r="B1" s="14">
        <v>18</v>
      </c>
      <c r="C1" s="14">
        <v>19</v>
      </c>
      <c r="D1" s="14">
        <v>20</v>
      </c>
      <c r="E1" s="14">
        <v>21</v>
      </c>
      <c r="F1" s="14">
        <v>22</v>
      </c>
    </row>
    <row r="2" spans="1:11">
      <c r="A2" s="13" t="s">
        <v>33</v>
      </c>
      <c r="B2" s="15">
        <v>2.6</v>
      </c>
      <c r="C2" s="15">
        <v>2.6</v>
      </c>
      <c r="D2" s="15">
        <v>3.15</v>
      </c>
      <c r="E2" s="15">
        <v>5.25</v>
      </c>
      <c r="F2" s="15">
        <v>2.25</v>
      </c>
    </row>
    <row r="3" spans="1:11">
      <c r="A3" s="13" t="s">
        <v>7</v>
      </c>
      <c r="B3" s="15">
        <v>9.5500000000000007</v>
      </c>
      <c r="C3" s="15">
        <v>8.4</v>
      </c>
      <c r="D3" s="15">
        <v>9.67</v>
      </c>
      <c r="E3" s="15">
        <v>9.83</v>
      </c>
      <c r="F3" s="15">
        <v>6.66</v>
      </c>
    </row>
    <row r="4" spans="1:11">
      <c r="A4" s="13" t="s">
        <v>34</v>
      </c>
      <c r="B4" s="15">
        <f>B2/B3</f>
        <v>0.27225130890052357</v>
      </c>
      <c r="C4" s="15">
        <f>C2/C3</f>
        <v>0.30952380952380953</v>
      </c>
      <c r="D4" s="15">
        <f>D2/D3</f>
        <v>0.32574974146845914</v>
      </c>
      <c r="E4" s="15">
        <f>E2/E3</f>
        <v>0.53407934893184128</v>
      </c>
      <c r="F4" s="15">
        <f>F2/F3</f>
        <v>0.33783783783783783</v>
      </c>
    </row>
    <row r="5" spans="1:11">
      <c r="A5" s="13" t="s">
        <v>35</v>
      </c>
      <c r="B5" s="15">
        <f>1-B4</f>
        <v>0.72774869109947637</v>
      </c>
      <c r="C5" s="15">
        <f>1-C4</f>
        <v>0.69047619047619047</v>
      </c>
      <c r="D5" s="15">
        <f>1-D4</f>
        <v>0.67425025853154086</v>
      </c>
      <c r="E5" s="15">
        <f>1-E4</f>
        <v>0.46592065106815872</v>
      </c>
      <c r="F5" s="15">
        <f>1-F4</f>
        <v>0.66216216216216217</v>
      </c>
    </row>
    <row r="6" spans="1:11">
      <c r="A6" s="13" t="s">
        <v>36</v>
      </c>
      <c r="B6" s="16">
        <v>0.16420000000000001</v>
      </c>
      <c r="C6" s="16">
        <v>0.13250000000000001</v>
      </c>
      <c r="D6" s="16">
        <v>0.13850000000000001</v>
      </c>
      <c r="E6" s="16">
        <v>0.13070000000000001</v>
      </c>
      <c r="F6" s="16">
        <v>8.6800000000000002E-2</v>
      </c>
    </row>
    <row r="7" spans="1:11">
      <c r="A7" s="13" t="s">
        <v>13</v>
      </c>
      <c r="B7" s="16">
        <f>B6*B5</f>
        <v>0.11949633507853404</v>
      </c>
      <c r="C7" s="16">
        <f>C6*C5</f>
        <v>9.1488095238095243E-2</v>
      </c>
      <c r="D7" s="16">
        <f>D6*D5</f>
        <v>9.3383660806618418E-2</v>
      </c>
      <c r="E7" s="16">
        <f>E6*E5</f>
        <v>6.0895829094608347E-2</v>
      </c>
      <c r="F7" s="16">
        <f>F6*F5</f>
        <v>5.7475675675675679E-2</v>
      </c>
    </row>
    <row r="8" spans="1:11">
      <c r="A8" s="13"/>
      <c r="B8" s="15"/>
      <c r="C8" s="15"/>
      <c r="D8" s="15"/>
      <c r="E8" s="15"/>
      <c r="F8" s="15"/>
    </row>
    <row r="9" spans="1:11">
      <c r="A9" s="13" t="s">
        <v>51</v>
      </c>
      <c r="B9" s="17">
        <f>GEOMEAN(B7:F7)</f>
        <v>8.1397738698059122E-2</v>
      </c>
      <c r="C9" s="15"/>
      <c r="D9" s="15"/>
      <c r="E9" s="15"/>
      <c r="F9" s="15"/>
    </row>
    <row r="10" spans="1:11">
      <c r="A10" t="s">
        <v>52</v>
      </c>
      <c r="B10" s="11">
        <v>7.0000000000000007E-2</v>
      </c>
      <c r="D10" t="s">
        <v>73</v>
      </c>
    </row>
    <row r="11" spans="1:11">
      <c r="A11" t="s">
        <v>53</v>
      </c>
      <c r="B11" s="6">
        <v>8.6699999999999999E-2</v>
      </c>
    </row>
    <row r="12" spans="1:11" ht="15.75">
      <c r="A12" t="s">
        <v>54</v>
      </c>
      <c r="B12" s="6">
        <v>8.7099999999999997E-2</v>
      </c>
      <c r="G12" s="50" t="s">
        <v>74</v>
      </c>
      <c r="H12" s="50"/>
      <c r="I12" s="54"/>
      <c r="J12" s="51" t="s">
        <v>75</v>
      </c>
      <c r="K12" s="51"/>
    </row>
    <row r="13" spans="1:11">
      <c r="A13" s="18" t="s">
        <v>41</v>
      </c>
      <c r="B13" s="49" t="s">
        <v>76</v>
      </c>
      <c r="C13" s="49"/>
      <c r="D13" s="49"/>
      <c r="E13" s="49"/>
      <c r="F13" s="49"/>
      <c r="G13" s="6">
        <f>8.14%-0.25%</f>
        <v>7.8899999999999998E-2</v>
      </c>
      <c r="H13" s="6">
        <f>G13-0.25%</f>
        <v>7.6399999999999996E-2</v>
      </c>
      <c r="I13" s="6">
        <f>H13-0.25%</f>
        <v>7.3899999999999993E-2</v>
      </c>
      <c r="J13" s="6">
        <v>6.8000000000000005E-2</v>
      </c>
    </row>
    <row r="14" spans="1:11">
      <c r="A14" s="13" t="s">
        <v>42</v>
      </c>
      <c r="B14" s="22" t="s">
        <v>43</v>
      </c>
      <c r="C14" s="13">
        <v>23</v>
      </c>
      <c r="D14" s="13">
        <v>24</v>
      </c>
      <c r="E14" s="13">
        <v>25</v>
      </c>
      <c r="F14" s="13">
        <v>26</v>
      </c>
      <c r="G14">
        <v>27</v>
      </c>
      <c r="H14">
        <v>28</v>
      </c>
      <c r="I14">
        <v>29</v>
      </c>
      <c r="J14">
        <v>30</v>
      </c>
    </row>
    <row r="15" spans="1:11">
      <c r="A15" s="13" t="s">
        <v>33</v>
      </c>
      <c r="B15" s="15">
        <v>2.25</v>
      </c>
      <c r="C15" s="14">
        <f>B15*(1+$B$10)</f>
        <v>2.4075000000000002</v>
      </c>
      <c r="D15" s="14">
        <f>C15*(1+$B$10)</f>
        <v>2.5760250000000005</v>
      </c>
      <c r="E15" s="14">
        <f>D15*(1+$B$10)</f>
        <v>2.7563467500000005</v>
      </c>
      <c r="F15" s="14">
        <f>E15*(1+$B$10)</f>
        <v>2.9492910225000006</v>
      </c>
      <c r="G15">
        <f>G16*G17</f>
        <v>3.4683691917510231</v>
      </c>
      <c r="H15">
        <f>H16*H17</f>
        <v>4.0693543318208736</v>
      </c>
      <c r="I15">
        <f>I16*I17</f>
        <v>4.763386782467256</v>
      </c>
      <c r="J15">
        <f>J17*J16</f>
        <v>5.08729708367503</v>
      </c>
    </row>
    <row r="16" spans="1:11">
      <c r="A16" s="13" t="s">
        <v>7</v>
      </c>
      <c r="B16" s="15">
        <v>6.66</v>
      </c>
      <c r="C16" s="14">
        <f>B16*(1+$B$9)</f>
        <v>7.2021089397290741</v>
      </c>
      <c r="D16" s="14">
        <f>C16*(1+$B$9)</f>
        <v>7.7883443212800971</v>
      </c>
      <c r="E16" s="14">
        <f>D16*(1+$B$9)</f>
        <v>8.4222979372341662</v>
      </c>
      <c r="F16" s="14">
        <f>E16*(1+$B$9)</f>
        <v>9.1078539439663544</v>
      </c>
      <c r="G16">
        <f>F16*(1+G13)</f>
        <v>9.8264636201452991</v>
      </c>
      <c r="H16">
        <f>G16*(1+H13)</f>
        <v>10.5772054407244</v>
      </c>
      <c r="I16">
        <f>H16*(1+I13)</f>
        <v>11.358860922793934</v>
      </c>
      <c r="J16">
        <f>I16*(1+J13)</f>
        <v>12.131263465543922</v>
      </c>
    </row>
    <row r="17" spans="1:10">
      <c r="A17" s="13" t="s">
        <v>34</v>
      </c>
      <c r="B17" s="15">
        <f>B15/B16</f>
        <v>0.33783783783783783</v>
      </c>
      <c r="C17" s="23">
        <f>C15/C16</f>
        <v>0.33427708746801665</v>
      </c>
      <c r="D17" s="23">
        <f>D15/D16</f>
        <v>0.33075386677005614</v>
      </c>
      <c r="E17" s="23">
        <f>E15/E16</f>
        <v>0.32726778018792918</v>
      </c>
      <c r="F17" s="23">
        <f>F15/F16</f>
        <v>0.32381843633469842</v>
      </c>
      <c r="G17" s="6">
        <f>F17*(1.09)</f>
        <v>0.35296209560482128</v>
      </c>
      <c r="H17" s="6">
        <f>G17*(1.09)</f>
        <v>0.38472868420925521</v>
      </c>
      <c r="I17" s="6">
        <f>H17*(1.09)</f>
        <v>0.41935426578808821</v>
      </c>
      <c r="J17" s="6">
        <f>I17</f>
        <v>0.41935426578808821</v>
      </c>
    </row>
    <row r="18" spans="1:10">
      <c r="A18" s="13" t="s">
        <v>35</v>
      </c>
      <c r="B18" s="15">
        <f>1-B17</f>
        <v>0.66216216216216217</v>
      </c>
      <c r="C18" s="23">
        <f>1-C17</f>
        <v>0.66572291253198335</v>
      </c>
      <c r="D18" s="23">
        <f>1-D17</f>
        <v>0.66924613322994386</v>
      </c>
      <c r="E18" s="23">
        <f>1-E17</f>
        <v>0.67273221981207088</v>
      </c>
      <c r="F18" s="23">
        <f>1-F17</f>
        <v>0.67618156366530158</v>
      </c>
      <c r="G18" s="6">
        <f>1-G17</f>
        <v>0.64703790439517872</v>
      </c>
      <c r="H18" s="6">
        <f>1-H17</f>
        <v>0.61527131579074479</v>
      </c>
      <c r="I18" s="6">
        <f>1-I17</f>
        <v>0.58064573421191179</v>
      </c>
      <c r="J18" s="6">
        <f>I18</f>
        <v>0.58064573421191179</v>
      </c>
    </row>
    <row r="19" spans="1:10">
      <c r="A19" s="13" t="s">
        <v>36</v>
      </c>
      <c r="B19" s="16">
        <v>8.6800000000000002E-2</v>
      </c>
      <c r="C19" s="23">
        <f>$B$10/C18</f>
        <v>0.1051488519957423</v>
      </c>
      <c r="D19" s="23">
        <f>$B$10/D18</f>
        <v>0.10459529988191797</v>
      </c>
      <c r="E19" s="23">
        <f>$B$10/E18</f>
        <v>0.10405328886961093</v>
      </c>
      <c r="F19" s="23">
        <f>$B$10/F18</f>
        <v>0.10352249123823912</v>
      </c>
      <c r="G19" s="6">
        <f>G13/G18</f>
        <v>0.12194030591415211</v>
      </c>
      <c r="H19" s="6">
        <f>H13/H18</f>
        <v>0.12417286169404948</v>
      </c>
      <c r="I19" s="6">
        <f>I13/I18</f>
        <v>0.12727209664306177</v>
      </c>
      <c r="J19" s="6">
        <f>I19</f>
        <v>0.12727209664306177</v>
      </c>
    </row>
    <row r="20" spans="1:10">
      <c r="A20" t="s">
        <v>53</v>
      </c>
      <c r="C20" s="6">
        <v>8.6699999999999999E-2</v>
      </c>
      <c r="D20" s="6">
        <v>8.6699999999999999E-2</v>
      </c>
      <c r="E20" s="6">
        <v>8.6699999999999999E-2</v>
      </c>
      <c r="F20" s="6">
        <v>8.6699999999999999E-2</v>
      </c>
      <c r="G20" s="6">
        <f>F20-0.33%</f>
        <v>8.3400000000000002E-2</v>
      </c>
      <c r="H20" s="6">
        <f>F20-0.66%</f>
        <v>8.0100000000000005E-2</v>
      </c>
      <c r="I20" s="6">
        <f>F20-0.99%</f>
        <v>7.6800000000000007E-2</v>
      </c>
      <c r="J20" s="6">
        <f>I20</f>
        <v>7.6800000000000007E-2</v>
      </c>
    </row>
    <row r="21" spans="1:10">
      <c r="C21" s="6"/>
      <c r="D21" s="6"/>
      <c r="E21" s="6"/>
      <c r="F21" s="6"/>
      <c r="G21" s="6"/>
      <c r="H21" s="6"/>
      <c r="I21" s="6"/>
      <c r="J21" s="6"/>
    </row>
    <row r="22" spans="1:10">
      <c r="A22" t="s">
        <v>56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</row>
    <row r="23" spans="1:10">
      <c r="A23" t="s">
        <v>67</v>
      </c>
      <c r="B23">
        <f>B15</f>
        <v>2.25</v>
      </c>
      <c r="C23">
        <f>C15</f>
        <v>2.4075000000000002</v>
      </c>
      <c r="D23">
        <f>D15</f>
        <v>2.5760250000000005</v>
      </c>
      <c r="E23">
        <f>E15</f>
        <v>2.7563467500000005</v>
      </c>
      <c r="F23">
        <f>F15</f>
        <v>2.9492910225000006</v>
      </c>
      <c r="G23">
        <f>G15</f>
        <v>3.4683691917510231</v>
      </c>
      <c r="H23">
        <f>H15</f>
        <v>4.0693543318208736</v>
      </c>
      <c r="I23">
        <f>I15</f>
        <v>4.763386782467256</v>
      </c>
      <c r="J23">
        <f>J15</f>
        <v>5.08729708367503</v>
      </c>
    </row>
    <row r="26" spans="1:10">
      <c r="A26" t="s">
        <v>68</v>
      </c>
      <c r="B26">
        <f>J23/(J20-J13)</f>
        <v>578.10194132670779</v>
      </c>
    </row>
    <row r="28" spans="1:10">
      <c r="A28" t="s">
        <v>77</v>
      </c>
      <c r="B28">
        <f>B23</f>
        <v>2.25</v>
      </c>
      <c r="C28">
        <f>C23</f>
        <v>2.4075000000000002</v>
      </c>
      <c r="D28">
        <f>D23</f>
        <v>2.5760250000000005</v>
      </c>
      <c r="E28">
        <f>E23</f>
        <v>2.7563467500000005</v>
      </c>
      <c r="F28">
        <f>F23</f>
        <v>2.9492910225000006</v>
      </c>
      <c r="G28">
        <f>G23</f>
        <v>3.4683691917510231</v>
      </c>
      <c r="H28">
        <f>H23</f>
        <v>4.0693543318208736</v>
      </c>
      <c r="I28">
        <f>I23+B26</f>
        <v>582.86532810917504</v>
      </c>
    </row>
    <row r="29" spans="1:10">
      <c r="A29" t="s">
        <v>59</v>
      </c>
      <c r="B29">
        <v>2.25</v>
      </c>
      <c r="C29">
        <f>(C28/((1+C20)^C22))</f>
        <v>2.2154228397901905</v>
      </c>
      <c r="D29">
        <f>(D28/((1+D20)^D22))</f>
        <v>2.1813770484729034</v>
      </c>
      <c r="E29">
        <f>(E28/((1+E20)^E22))</f>
        <v>2.1478544601693259</v>
      </c>
      <c r="F29">
        <f>(F28/((1+F20)^F22))</f>
        <v>2.1148470344908246</v>
      </c>
      <c r="G29">
        <f>(G28/((1+G20)^G22))</f>
        <v>2.3237059157807276</v>
      </c>
      <c r="H29">
        <f>(H28/((1+H20)^H22))</f>
        <v>2.5629593050187696</v>
      </c>
      <c r="I29">
        <f>(I28/((1+I20)^I22))</f>
        <v>347.23452014010019</v>
      </c>
    </row>
    <row r="30" spans="1:10">
      <c r="A30" t="s">
        <v>78</v>
      </c>
      <c r="C30">
        <f>SUM(C29:F29)</f>
        <v>8.6595013829232457</v>
      </c>
      <c r="G30">
        <f>SUM(G29:H29)</f>
        <v>4.8866652207994967</v>
      </c>
      <c r="I30">
        <f>I29</f>
        <v>347.23452014010019</v>
      </c>
    </row>
    <row r="31" spans="1:10">
      <c r="A31" t="s">
        <v>79</v>
      </c>
      <c r="B31">
        <f>SUM(B29:J29)</f>
        <v>363.03068674382291</v>
      </c>
    </row>
    <row r="34" ht="15.75"/>
    <row r="35" ht="15.75"/>
    <row r="36" ht="15.75"/>
    <row r="37" ht="15.7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B41FE-EBAD-438A-BF6F-32DE28E331DB}">
  <dimension ref="A1:P38"/>
  <sheetViews>
    <sheetView workbookViewId="0">
      <selection activeCell="D45" sqref="D45"/>
    </sheetView>
  </sheetViews>
  <sheetFormatPr defaultRowHeight="15.75"/>
  <cols>
    <col min="8" max="8" width="15.375" customWidth="1"/>
  </cols>
  <sheetData>
    <row r="1" spans="1:16">
      <c r="A1" s="75" t="s">
        <v>80</v>
      </c>
      <c r="B1" s="76">
        <v>1</v>
      </c>
      <c r="C1" s="76">
        <v>2</v>
      </c>
      <c r="D1" s="76">
        <v>3</v>
      </c>
      <c r="E1" s="76">
        <v>4</v>
      </c>
      <c r="F1" s="76">
        <v>5</v>
      </c>
      <c r="G1" s="77"/>
      <c r="H1" s="77"/>
      <c r="I1" s="77"/>
      <c r="J1" s="77"/>
      <c r="K1" s="77"/>
      <c r="L1" s="77"/>
      <c r="M1" s="77"/>
      <c r="N1" s="77"/>
      <c r="O1" s="77"/>
    </row>
    <row r="2" spans="1:16">
      <c r="A2" s="78" t="s">
        <v>81</v>
      </c>
      <c r="B2" s="79">
        <v>2018</v>
      </c>
      <c r="C2" s="79">
        <v>2019</v>
      </c>
      <c r="D2" s="79">
        <v>2020</v>
      </c>
      <c r="E2" s="79">
        <v>2021</v>
      </c>
      <c r="F2" s="79">
        <v>2022</v>
      </c>
      <c r="G2" s="77"/>
      <c r="H2" s="77"/>
      <c r="I2" s="77"/>
      <c r="J2" s="77"/>
      <c r="K2" s="77" t="s">
        <v>82</v>
      </c>
      <c r="L2" s="77">
        <v>0</v>
      </c>
      <c r="M2" s="77"/>
      <c r="N2" s="77"/>
      <c r="O2" s="77"/>
    </row>
    <row r="3" spans="1:16">
      <c r="A3" s="78" t="s">
        <v>83</v>
      </c>
      <c r="B3" s="81">
        <v>19689</v>
      </c>
      <c r="C3" s="81">
        <v>21617</v>
      </c>
      <c r="D3" s="81">
        <v>27101</v>
      </c>
      <c r="E3" s="81">
        <v>31393</v>
      </c>
      <c r="F3" s="81">
        <v>30306</v>
      </c>
      <c r="G3" s="82"/>
      <c r="H3" s="77"/>
      <c r="I3" s="77"/>
      <c r="J3" s="83"/>
      <c r="K3" s="104" t="s">
        <v>84</v>
      </c>
      <c r="L3" s="105">
        <v>0.1</v>
      </c>
      <c r="M3" s="105">
        <v>0.25</v>
      </c>
      <c r="N3" s="105">
        <v>0.16</v>
      </c>
      <c r="O3" s="105">
        <v>-0.03</v>
      </c>
    </row>
    <row r="4" spans="1:16">
      <c r="A4" s="78" t="s">
        <v>85</v>
      </c>
      <c r="B4" s="81">
        <v>-14260</v>
      </c>
      <c r="C4" s="81">
        <v>-11716</v>
      </c>
      <c r="D4" s="81">
        <v>-4137</v>
      </c>
      <c r="E4" s="81">
        <v>-2887</v>
      </c>
      <c r="F4" s="81">
        <v>-5507</v>
      </c>
      <c r="G4" s="83"/>
      <c r="H4" s="77"/>
      <c r="I4" s="77"/>
      <c r="J4" s="83"/>
      <c r="K4" s="83" t="s">
        <v>86</v>
      </c>
      <c r="L4" s="98">
        <v>0.12</v>
      </c>
      <c r="M4" s="83"/>
      <c r="N4" s="99" t="s">
        <v>80</v>
      </c>
      <c r="O4" s="99" t="s">
        <v>80</v>
      </c>
    </row>
    <row r="5" spans="1:16">
      <c r="A5" s="78" t="s">
        <v>87</v>
      </c>
      <c r="B5" s="81">
        <v>3257</v>
      </c>
      <c r="C5" s="81">
        <v>5879</v>
      </c>
      <c r="D5" s="81">
        <v>7453</v>
      </c>
      <c r="E5" s="81">
        <v>7596</v>
      </c>
      <c r="F5" s="81">
        <v>7875</v>
      </c>
      <c r="G5" s="84" t="s">
        <v>80</v>
      </c>
      <c r="H5" s="77"/>
      <c r="I5" s="77"/>
      <c r="J5" s="83"/>
      <c r="K5" s="83"/>
      <c r="L5" s="83"/>
      <c r="M5" s="83"/>
      <c r="N5" s="99" t="s">
        <v>80</v>
      </c>
      <c r="O5" s="99" t="s">
        <v>80</v>
      </c>
    </row>
    <row r="6" spans="1:16">
      <c r="A6" s="78" t="s">
        <v>88</v>
      </c>
      <c r="B6" s="80">
        <v>-797</v>
      </c>
      <c r="C6" s="81">
        <v>-4097</v>
      </c>
      <c r="D6" s="81">
        <v>-7371</v>
      </c>
      <c r="E6" s="81">
        <v>-2065</v>
      </c>
      <c r="F6" s="81">
        <v>-27952</v>
      </c>
      <c r="G6" s="83"/>
      <c r="H6" s="77"/>
      <c r="I6" s="77"/>
      <c r="J6" s="83"/>
      <c r="K6" s="83"/>
      <c r="L6" s="83"/>
      <c r="M6" s="83"/>
      <c r="N6" s="99" t="s">
        <v>80</v>
      </c>
      <c r="O6" s="99" t="s">
        <v>80</v>
      </c>
    </row>
    <row r="7" spans="1:16">
      <c r="A7" s="78" t="s">
        <v>6</v>
      </c>
      <c r="B7" s="86">
        <v>7889</v>
      </c>
      <c r="C7" s="86">
        <v>11683</v>
      </c>
      <c r="D7" s="86">
        <v>23046</v>
      </c>
      <c r="E7" s="86">
        <v>34037</v>
      </c>
      <c r="F7" s="86">
        <v>4722</v>
      </c>
      <c r="G7" s="83"/>
      <c r="H7" s="77" t="s">
        <v>89</v>
      </c>
      <c r="I7" s="87">
        <v>16275</v>
      </c>
      <c r="J7" s="83"/>
      <c r="K7" s="83"/>
      <c r="L7" s="83"/>
      <c r="M7" s="83"/>
      <c r="N7" s="83"/>
      <c r="O7" s="83"/>
    </row>
    <row r="8" spans="1:16">
      <c r="A8" s="78" t="s">
        <v>53</v>
      </c>
      <c r="B8" s="88">
        <v>8.8999999999999996E-2</v>
      </c>
      <c r="C8" s="85" t="s">
        <v>80</v>
      </c>
      <c r="D8" s="85" t="s">
        <v>80</v>
      </c>
      <c r="E8" s="85" t="s">
        <v>80</v>
      </c>
      <c r="F8" s="85" t="s">
        <v>80</v>
      </c>
      <c r="G8" s="83"/>
      <c r="H8" s="77"/>
      <c r="I8" s="77"/>
      <c r="J8" s="83"/>
      <c r="K8" s="83"/>
      <c r="L8" s="83"/>
      <c r="M8" s="83"/>
      <c r="N8" s="83"/>
      <c r="O8" s="83"/>
    </row>
    <row r="9" spans="1:16">
      <c r="A9" s="78" t="s">
        <v>90</v>
      </c>
      <c r="B9" s="85">
        <v>7244.2730000000001</v>
      </c>
      <c r="C9" s="85">
        <v>9851.4480000000003</v>
      </c>
      <c r="D9" s="85">
        <v>17844.900000000001</v>
      </c>
      <c r="E9" s="85">
        <v>24201.52</v>
      </c>
      <c r="F9" s="85">
        <v>3083.1179999999999</v>
      </c>
      <c r="G9" s="83"/>
      <c r="H9" s="77"/>
      <c r="I9" s="77"/>
      <c r="J9" s="83"/>
      <c r="K9" s="83"/>
      <c r="L9" s="83"/>
      <c r="M9" s="83"/>
      <c r="N9" s="83"/>
      <c r="O9" s="83"/>
    </row>
    <row r="10" spans="1:16">
      <c r="A10" s="77"/>
      <c r="B10" s="83"/>
      <c r="C10" s="83"/>
      <c r="D10" s="83"/>
      <c r="E10" s="83"/>
      <c r="F10" s="83"/>
      <c r="G10" s="83"/>
      <c r="H10" s="77"/>
      <c r="I10" s="77"/>
      <c r="J10" s="83"/>
      <c r="K10" s="83"/>
      <c r="L10" s="83"/>
      <c r="M10" s="83"/>
      <c r="N10" s="83"/>
      <c r="O10" s="83"/>
    </row>
    <row r="11" spans="1:16">
      <c r="A11" s="89" t="s">
        <v>91</v>
      </c>
      <c r="B11" s="90" t="s">
        <v>80</v>
      </c>
      <c r="C11" s="91">
        <v>0.48</v>
      </c>
      <c r="D11" s="91">
        <v>0.97</v>
      </c>
      <c r="E11" s="91">
        <v>0.48</v>
      </c>
      <c r="F11" s="91">
        <v>-0.86</v>
      </c>
      <c r="G11" s="83"/>
      <c r="H11" s="77" t="s">
        <v>92</v>
      </c>
      <c r="I11" s="92">
        <v>0.27</v>
      </c>
      <c r="J11" s="83"/>
      <c r="K11" s="83"/>
      <c r="L11" s="83"/>
      <c r="M11" s="83"/>
      <c r="N11" s="83"/>
      <c r="O11" s="83"/>
    </row>
    <row r="12" spans="1:16">
      <c r="A12" s="77"/>
      <c r="B12" s="83"/>
      <c r="C12" s="83"/>
      <c r="D12" s="83"/>
      <c r="E12" s="83"/>
      <c r="F12" s="83"/>
      <c r="G12" s="83"/>
      <c r="H12" s="77"/>
      <c r="I12" s="77"/>
      <c r="J12" s="83"/>
      <c r="K12" s="83"/>
      <c r="L12" s="83"/>
      <c r="M12" s="83"/>
      <c r="N12" s="83"/>
      <c r="O12" s="83"/>
    </row>
    <row r="13" spans="1:16">
      <c r="A13" s="77" t="s">
        <v>93</v>
      </c>
      <c r="B13" s="77"/>
      <c r="C13" s="83"/>
      <c r="D13" s="83"/>
      <c r="E13" s="83"/>
      <c r="F13" s="83"/>
      <c r="G13" s="83"/>
      <c r="H13" s="77"/>
      <c r="I13" s="77"/>
      <c r="J13" s="83"/>
      <c r="K13" s="83"/>
      <c r="L13" s="83"/>
      <c r="M13" s="83"/>
      <c r="N13" s="83"/>
      <c r="O13" s="77" t="s">
        <v>94</v>
      </c>
    </row>
    <row r="14" spans="1:16">
      <c r="A14" s="77" t="s">
        <v>95</v>
      </c>
      <c r="B14" s="77"/>
      <c r="C14" s="83"/>
      <c r="D14" s="83"/>
      <c r="E14" s="83"/>
      <c r="F14" s="83"/>
      <c r="G14" s="83"/>
      <c r="H14" s="77"/>
      <c r="I14" s="77"/>
      <c r="J14" s="83"/>
      <c r="K14" s="83"/>
      <c r="L14" s="83"/>
      <c r="M14" s="83"/>
      <c r="N14" s="83"/>
      <c r="O14" s="83" t="s">
        <v>96</v>
      </c>
      <c r="P14">
        <f>F16*(1+I20)/(B8-I20)</f>
        <v>2074153.3012500005</v>
      </c>
    </row>
    <row r="15" spans="1:16">
      <c r="A15" s="89" t="s">
        <v>81</v>
      </c>
      <c r="B15" s="90">
        <v>1</v>
      </c>
      <c r="C15" s="90">
        <v>2</v>
      </c>
      <c r="D15" s="90">
        <v>3</v>
      </c>
      <c r="E15" s="90">
        <v>4</v>
      </c>
      <c r="F15" s="90">
        <v>5</v>
      </c>
      <c r="G15" s="83"/>
      <c r="H15" s="77"/>
      <c r="I15" s="77"/>
      <c r="J15" s="83"/>
      <c r="K15" s="83"/>
      <c r="L15" s="83"/>
      <c r="M15" s="83"/>
      <c r="N15" s="83"/>
      <c r="O15" s="83" t="s">
        <v>97</v>
      </c>
      <c r="P15">
        <f>P14/(1+B8)^5</f>
        <v>1354258.1356924719</v>
      </c>
    </row>
    <row r="16" spans="1:16">
      <c r="A16" s="93" t="s">
        <v>83</v>
      </c>
      <c r="B16" s="94">
        <v>33907.54</v>
      </c>
      <c r="C16" s="94">
        <v>37937.089999999997</v>
      </c>
      <c r="D16" s="94">
        <v>42445.5</v>
      </c>
      <c r="E16" s="94">
        <v>47489.69</v>
      </c>
      <c r="F16" s="94">
        <v>53133.33</v>
      </c>
      <c r="G16" s="83"/>
      <c r="H16" s="77"/>
      <c r="I16" s="77"/>
      <c r="J16" s="83"/>
      <c r="K16" s="83"/>
      <c r="L16" s="83"/>
      <c r="M16" s="83"/>
      <c r="N16" s="83"/>
      <c r="O16" s="83"/>
    </row>
    <row r="17" spans="1:16">
      <c r="A17" s="93" t="s">
        <v>6</v>
      </c>
      <c r="B17" s="95">
        <v>20626</v>
      </c>
      <c r="C17" s="94">
        <v>26138.89</v>
      </c>
      <c r="D17" s="94">
        <v>33125.68</v>
      </c>
      <c r="E17" s="94">
        <v>41980</v>
      </c>
      <c r="F17" s="94">
        <v>53201.04</v>
      </c>
      <c r="G17" s="83"/>
      <c r="H17" s="77"/>
      <c r="I17" s="77"/>
      <c r="J17" s="83"/>
      <c r="K17" s="83"/>
      <c r="L17" s="83"/>
      <c r="M17" s="83"/>
      <c r="N17" s="83"/>
      <c r="O17" s="83" t="s">
        <v>98</v>
      </c>
      <c r="P17">
        <f>B29+P15</f>
        <v>1485474.735692472</v>
      </c>
    </row>
    <row r="18" spans="1:16">
      <c r="A18" s="93" t="s">
        <v>99</v>
      </c>
      <c r="B18" s="94">
        <v>18940.099999999999</v>
      </c>
      <c r="C18" s="94">
        <v>22041.07</v>
      </c>
      <c r="D18" s="94">
        <v>25649.759999999998</v>
      </c>
      <c r="E18" s="94">
        <v>29849.279999999999</v>
      </c>
      <c r="F18" s="94">
        <v>34736.36</v>
      </c>
      <c r="G18" s="83"/>
      <c r="H18" s="77"/>
      <c r="I18" s="77"/>
      <c r="J18" s="83"/>
      <c r="K18" s="83"/>
      <c r="L18" s="83"/>
      <c r="M18" s="83"/>
      <c r="N18" s="83"/>
      <c r="O18" s="83"/>
    </row>
    <row r="19" spans="1:16">
      <c r="A19" s="77"/>
      <c r="B19" s="83"/>
      <c r="C19" s="83"/>
      <c r="D19" s="83"/>
      <c r="E19" s="83"/>
      <c r="F19" s="83"/>
      <c r="G19" s="83"/>
      <c r="H19" s="77"/>
      <c r="I19" s="77"/>
      <c r="J19" s="83"/>
      <c r="K19" s="83"/>
      <c r="L19" s="83"/>
      <c r="M19" s="83"/>
      <c r="N19" s="83"/>
      <c r="O19" s="83" t="s">
        <v>100</v>
      </c>
      <c r="P19" s="109">
        <f>P17/I29</f>
        <v>3256.0491335155666</v>
      </c>
    </row>
    <row r="20" spans="1:16">
      <c r="A20" s="77" t="s">
        <v>101</v>
      </c>
      <c r="B20" s="77"/>
      <c r="C20" s="83"/>
      <c r="D20" s="83"/>
      <c r="E20" s="83"/>
      <c r="F20" s="83"/>
      <c r="G20" s="83"/>
      <c r="H20" s="77" t="s">
        <v>102</v>
      </c>
      <c r="I20" s="96">
        <v>6.1800000000000001E-2</v>
      </c>
      <c r="J20" s="83"/>
      <c r="K20" s="83" t="s">
        <v>103</v>
      </c>
      <c r="L20" s="100">
        <v>4.1099999999999998E-2</v>
      </c>
      <c r="M20" s="83"/>
      <c r="N20" s="83"/>
      <c r="O20" s="83"/>
    </row>
    <row r="21" spans="1:16">
      <c r="A21" s="89" t="s">
        <v>81</v>
      </c>
      <c r="B21" s="90">
        <v>6</v>
      </c>
      <c r="C21" s="90">
        <v>7</v>
      </c>
      <c r="D21" s="90">
        <v>8</v>
      </c>
      <c r="E21" s="90">
        <v>9</v>
      </c>
      <c r="F21" s="90">
        <v>10</v>
      </c>
      <c r="G21" s="83"/>
      <c r="H21" s="77"/>
      <c r="I21" s="77"/>
      <c r="J21" s="83"/>
      <c r="K21" s="83"/>
      <c r="L21" s="83"/>
      <c r="M21" s="83"/>
      <c r="N21" s="83"/>
      <c r="O21" s="83"/>
    </row>
    <row r="22" spans="1:16">
      <c r="A22" s="93" t="s">
        <v>104</v>
      </c>
      <c r="B22" s="97">
        <v>0.22620000000000001</v>
      </c>
      <c r="C22" s="97">
        <v>0.18509999999999999</v>
      </c>
      <c r="D22" s="97">
        <v>0.14399999999999999</v>
      </c>
      <c r="E22" s="97">
        <v>0.10290000000000001</v>
      </c>
      <c r="F22" s="97">
        <v>6.1800000000000001E-2</v>
      </c>
      <c r="G22" s="83"/>
      <c r="H22" s="77"/>
      <c r="I22" s="77"/>
      <c r="J22" s="83"/>
      <c r="K22" s="83"/>
      <c r="L22" s="83"/>
      <c r="M22" s="83"/>
      <c r="N22" s="83"/>
      <c r="O22" s="83"/>
    </row>
    <row r="23" spans="1:16">
      <c r="A23" s="93" t="s">
        <v>6</v>
      </c>
      <c r="B23" s="94">
        <v>65234.9</v>
      </c>
      <c r="C23" s="94">
        <v>77309.679999999993</v>
      </c>
      <c r="D23" s="94">
        <v>88442.12</v>
      </c>
      <c r="E23" s="94">
        <v>97542.73</v>
      </c>
      <c r="F23" s="94">
        <v>103570.9</v>
      </c>
      <c r="G23" s="83"/>
      <c r="H23" s="77"/>
      <c r="I23" s="77"/>
      <c r="J23" s="83"/>
      <c r="K23" s="83"/>
      <c r="L23" s="83"/>
      <c r="M23" s="83"/>
      <c r="N23" s="83"/>
      <c r="O23" s="83"/>
    </row>
    <row r="24" spans="1:16">
      <c r="A24" s="93" t="s">
        <v>105</v>
      </c>
      <c r="B24" s="94">
        <v>39112.629999999997</v>
      </c>
      <c r="C24" s="94">
        <v>42564.13</v>
      </c>
      <c r="D24" s="94">
        <v>44713.83</v>
      </c>
      <c r="E24" s="94">
        <v>45284.59</v>
      </c>
      <c r="F24" s="94">
        <v>44153.59</v>
      </c>
      <c r="G24" s="83"/>
      <c r="H24" s="77">
        <v>215828.7689</v>
      </c>
      <c r="I24" s="77"/>
      <c r="J24" s="83"/>
      <c r="K24" s="83"/>
      <c r="L24" s="83"/>
      <c r="M24" s="83"/>
      <c r="N24" s="83"/>
      <c r="O24" s="83"/>
    </row>
    <row r="25" spans="1:16">
      <c r="A25" s="77"/>
      <c r="B25" s="83"/>
      <c r="C25" s="83"/>
      <c r="D25" s="83"/>
      <c r="E25" s="83"/>
      <c r="F25" s="83"/>
      <c r="G25" s="83"/>
      <c r="H25" s="77"/>
      <c r="I25" s="77"/>
      <c r="J25" s="83"/>
      <c r="K25" s="83"/>
      <c r="L25" s="83"/>
      <c r="M25" s="83"/>
      <c r="N25" s="83"/>
      <c r="O25" s="83"/>
    </row>
    <row r="26" spans="1:16">
      <c r="A26" s="77" t="s">
        <v>106</v>
      </c>
      <c r="B26" s="83" t="s">
        <v>107</v>
      </c>
      <c r="C26" s="83">
        <v>1623401</v>
      </c>
      <c r="D26" s="83"/>
      <c r="E26" s="83"/>
      <c r="F26" s="83"/>
      <c r="G26" s="83"/>
      <c r="H26" s="77"/>
      <c r="I26" s="77"/>
      <c r="J26" s="83"/>
      <c r="K26" s="83"/>
      <c r="L26" s="83"/>
      <c r="M26" s="83"/>
      <c r="N26" s="83"/>
      <c r="O26" s="83"/>
    </row>
    <row r="27" spans="1:16">
      <c r="A27" s="77"/>
      <c r="B27" s="83" t="s">
        <v>108</v>
      </c>
      <c r="C27" s="83">
        <v>891248.1</v>
      </c>
      <c r="D27" s="83"/>
      <c r="E27" s="83"/>
      <c r="F27" s="83"/>
      <c r="G27" s="83"/>
      <c r="H27" s="77"/>
      <c r="I27" s="77"/>
      <c r="J27" s="83"/>
      <c r="K27" s="83"/>
      <c r="L27" s="83"/>
      <c r="M27" s="83"/>
      <c r="N27" s="83"/>
      <c r="O27" s="83"/>
    </row>
    <row r="28" spans="1:16">
      <c r="A28" s="77"/>
      <c r="B28" s="83"/>
      <c r="C28" s="83"/>
      <c r="D28" s="83"/>
      <c r="E28" s="83"/>
      <c r="F28" s="83"/>
      <c r="G28" s="83"/>
      <c r="H28" s="77"/>
      <c r="I28" s="77"/>
      <c r="J28" s="83"/>
      <c r="K28" s="83"/>
      <c r="L28" s="83"/>
      <c r="M28" s="83"/>
      <c r="N28" s="83"/>
      <c r="O28" s="83"/>
    </row>
    <row r="29" spans="1:16">
      <c r="A29" s="89" t="s">
        <v>109</v>
      </c>
      <c r="B29" s="90">
        <v>131216.6</v>
      </c>
      <c r="C29" s="83"/>
      <c r="D29" s="83"/>
      <c r="E29" s="83"/>
      <c r="F29" s="83"/>
      <c r="G29" s="83"/>
      <c r="H29" s="77" t="s">
        <v>110</v>
      </c>
      <c r="I29" s="101">
        <v>456.22</v>
      </c>
      <c r="J29" s="102" t="s">
        <v>80</v>
      </c>
      <c r="K29" s="103"/>
      <c r="L29" s="83"/>
      <c r="M29" s="83"/>
      <c r="N29" s="83"/>
      <c r="O29" s="83"/>
    </row>
    <row r="30" spans="1:16">
      <c r="A30" s="93" t="s">
        <v>111</v>
      </c>
      <c r="B30" s="94">
        <v>215828.8</v>
      </c>
      <c r="C30" s="83"/>
      <c r="D30" s="83"/>
      <c r="E30" s="83"/>
      <c r="F30" s="83"/>
      <c r="G30" s="83"/>
      <c r="H30" s="77"/>
      <c r="I30" s="77"/>
      <c r="J30" s="83"/>
      <c r="K30" s="83"/>
      <c r="L30" s="83"/>
      <c r="M30" s="83"/>
      <c r="N30" s="83"/>
      <c r="O30" s="83"/>
    </row>
    <row r="31" spans="1:16">
      <c r="A31" s="93" t="s">
        <v>112</v>
      </c>
      <c r="B31" s="94">
        <v>891248.1</v>
      </c>
      <c r="C31" s="83"/>
      <c r="D31" s="83"/>
      <c r="E31" s="83"/>
      <c r="F31" s="83"/>
      <c r="G31" s="83"/>
      <c r="H31" s="77"/>
      <c r="I31" s="77"/>
      <c r="J31" s="83"/>
      <c r="K31" s="83"/>
      <c r="L31" s="83"/>
      <c r="M31" s="83"/>
      <c r="N31" s="83"/>
      <c r="O31" s="83"/>
    </row>
    <row r="32" spans="1:16">
      <c r="A32" s="93" t="s">
        <v>113</v>
      </c>
      <c r="B32" s="94">
        <v>1238293</v>
      </c>
      <c r="C32" s="83"/>
      <c r="D32" s="83"/>
      <c r="E32" s="83"/>
      <c r="F32" s="83"/>
      <c r="G32" s="83"/>
      <c r="H32" s="77"/>
      <c r="I32" s="77"/>
      <c r="J32" s="83"/>
      <c r="K32" s="83"/>
      <c r="L32" s="83"/>
      <c r="M32" s="83"/>
      <c r="N32" s="83"/>
      <c r="O32" s="83"/>
    </row>
    <row r="33" spans="1:15">
      <c r="A33" s="77"/>
      <c r="B33" s="83"/>
      <c r="C33" s="83"/>
      <c r="D33" s="83"/>
      <c r="E33" s="83"/>
      <c r="F33" s="83"/>
      <c r="G33" s="83"/>
      <c r="H33" s="77"/>
      <c r="I33" s="77"/>
      <c r="J33" s="83"/>
      <c r="K33" s="83"/>
      <c r="L33" s="83"/>
      <c r="M33" s="83"/>
      <c r="N33" s="83"/>
      <c r="O33" s="83"/>
    </row>
    <row r="34" spans="1:15">
      <c r="A34" s="77" t="s">
        <v>114</v>
      </c>
      <c r="B34" s="77">
        <v>2714.2460000000001</v>
      </c>
      <c r="C34" s="83"/>
      <c r="D34" s="83"/>
      <c r="E34" s="83"/>
      <c r="F34" s="83"/>
      <c r="G34" s="83"/>
      <c r="H34" s="77"/>
      <c r="I34" s="77"/>
      <c r="J34" s="83"/>
      <c r="K34" s="83"/>
      <c r="L34" s="83"/>
      <c r="M34" s="83"/>
      <c r="N34" s="83"/>
      <c r="O34" s="83"/>
    </row>
    <row r="35" spans="1:15">
      <c r="A35" s="77"/>
      <c r="B35" s="83"/>
      <c r="C35" s="83"/>
      <c r="D35" s="83"/>
      <c r="E35" s="83"/>
      <c r="F35" s="83"/>
      <c r="G35" s="83"/>
      <c r="H35" s="77"/>
      <c r="I35" s="77"/>
      <c r="J35" s="83"/>
      <c r="K35" s="83"/>
      <c r="L35" s="83"/>
      <c r="M35" s="83"/>
      <c r="N35" s="83"/>
      <c r="O35" s="83"/>
    </row>
    <row r="36" spans="1:15">
      <c r="A36" s="77"/>
      <c r="B36" s="83"/>
      <c r="C36" s="83"/>
      <c r="D36" s="83"/>
      <c r="E36" s="83"/>
      <c r="F36" s="83"/>
      <c r="G36" s="83"/>
      <c r="H36" s="77"/>
      <c r="I36" s="77"/>
      <c r="J36" s="83"/>
      <c r="K36" s="83"/>
      <c r="L36" s="83"/>
      <c r="M36" s="83"/>
      <c r="N36" s="83"/>
      <c r="O36" s="83"/>
    </row>
    <row r="37" spans="1:15">
      <c r="A37" s="77"/>
      <c r="B37" s="83"/>
      <c r="C37" s="83"/>
      <c r="D37" s="83"/>
      <c r="E37" s="83"/>
      <c r="F37" s="83"/>
      <c r="G37" s="83"/>
      <c r="H37" s="77"/>
      <c r="I37" s="77"/>
      <c r="J37" s="83"/>
      <c r="K37" s="83"/>
      <c r="L37" s="83"/>
      <c r="M37" s="83"/>
      <c r="N37" s="83"/>
      <c r="O37" s="83"/>
    </row>
    <row r="38" spans="1:15">
      <c r="A38" t="s">
        <v>115</v>
      </c>
      <c r="B38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CFAA-976F-4353-9558-B7E378E44B06}">
  <dimension ref="A1:P36"/>
  <sheetViews>
    <sheetView tabSelected="1" topLeftCell="A5" workbookViewId="0">
      <selection activeCell="D19" sqref="D19"/>
    </sheetView>
  </sheetViews>
  <sheetFormatPr defaultRowHeight="15.75"/>
  <cols>
    <col min="1" max="1" width="21.25" customWidth="1"/>
  </cols>
  <sheetData>
    <row r="1" spans="1:16">
      <c r="A1" t="s">
        <v>0</v>
      </c>
      <c r="B1" s="45">
        <v>4608</v>
      </c>
      <c r="C1" s="45">
        <v>4943</v>
      </c>
      <c r="D1" s="45">
        <v>6578</v>
      </c>
      <c r="E1" s="45">
        <v>7198</v>
      </c>
      <c r="F1" s="45">
        <v>8328</v>
      </c>
      <c r="H1" t="s">
        <v>117</v>
      </c>
    </row>
    <row r="2" spans="1:16">
      <c r="A2" t="s">
        <v>118</v>
      </c>
      <c r="B2" s="43">
        <v>1242</v>
      </c>
      <c r="C2" s="43">
        <v>1823</v>
      </c>
      <c r="D2" s="43">
        <v>1910</v>
      </c>
      <c r="E2" s="43">
        <v>2111</v>
      </c>
      <c r="F2" s="43">
        <v>2265</v>
      </c>
      <c r="H2">
        <v>0.14000000000000001</v>
      </c>
    </row>
    <row r="3" spans="1:16">
      <c r="A3" t="s">
        <v>119</v>
      </c>
      <c r="B3">
        <v>1280</v>
      </c>
      <c r="C3">
        <v>923</v>
      </c>
      <c r="D3">
        <v>999</v>
      </c>
      <c r="E3">
        <v>1680</v>
      </c>
      <c r="F3">
        <v>4900</v>
      </c>
    </row>
    <row r="4" spans="1:16">
      <c r="A4" t="s">
        <v>120</v>
      </c>
      <c r="B4">
        <v>4000</v>
      </c>
      <c r="C4">
        <v>3860</v>
      </c>
      <c r="D4">
        <v>3314</v>
      </c>
      <c r="E4">
        <v>401</v>
      </c>
      <c r="F4">
        <v>6856</v>
      </c>
    </row>
    <row r="5" spans="1:16">
      <c r="A5" t="s">
        <v>19</v>
      </c>
      <c r="B5">
        <v>2018</v>
      </c>
      <c r="C5">
        <v>2019</v>
      </c>
      <c r="D5">
        <v>2020</v>
      </c>
      <c r="E5">
        <v>2021</v>
      </c>
      <c r="F5">
        <v>2022</v>
      </c>
    </row>
    <row r="6" spans="1:16">
      <c r="A6" t="s">
        <v>6</v>
      </c>
      <c r="B6" s="53">
        <f>B1-(B4-B2)*(1-0.14)-B3*(1-0.14)</f>
        <v>1135.32</v>
      </c>
      <c r="C6" s="53">
        <f>C1-(C4-C2)*(1-0.14)-C3*(1-0.14)</f>
        <v>2397.4000000000005</v>
      </c>
      <c r="D6" s="53">
        <f>D1-(D4-D2)*(1-0.14)-D3*(1-0.14)</f>
        <v>4511.4199999999992</v>
      </c>
      <c r="E6" s="53">
        <f>E1-(E4-E2)*(1-0.14)-E3*(1-0.14)</f>
        <v>7223.8</v>
      </c>
      <c r="F6" s="53">
        <f>F1-(F4-F2)*(1-0.14)-F3*(1-0.14)</f>
        <v>165.73999999999978</v>
      </c>
      <c r="M6" s="53"/>
      <c r="N6" s="53"/>
      <c r="O6" s="53"/>
      <c r="P6" s="52"/>
    </row>
    <row r="7" spans="1:16">
      <c r="A7" t="s">
        <v>89</v>
      </c>
      <c r="B7" s="59">
        <f>AVERAGE(B6,C6,D6,E6,F6)</f>
        <v>3086.7359999999999</v>
      </c>
    </row>
    <row r="8" spans="1:16">
      <c r="A8" t="s">
        <v>53</v>
      </c>
      <c r="B8" s="6">
        <v>8.6999999999999994E-2</v>
      </c>
      <c r="K8" s="53"/>
      <c r="L8" s="53"/>
      <c r="M8" s="53"/>
      <c r="N8" s="53"/>
      <c r="O8" s="53"/>
    </row>
    <row r="9" spans="1:16">
      <c r="A9" t="s">
        <v>121</v>
      </c>
      <c r="B9" s="6">
        <v>0.1636</v>
      </c>
    </row>
    <row r="10" spans="1:16">
      <c r="A10" t="s">
        <v>122</v>
      </c>
      <c r="B10" s="6">
        <v>7.8E-2</v>
      </c>
    </row>
    <row r="11" spans="1:16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</row>
    <row r="12" spans="1:16">
      <c r="A12" t="s">
        <v>6</v>
      </c>
      <c r="B12">
        <v>3087</v>
      </c>
      <c r="C12">
        <f>B12*(1+$B$9)</f>
        <v>3592.0331999999999</v>
      </c>
      <c r="D12">
        <f>C12*(1+$B$9)</f>
        <v>4179.6898315199996</v>
      </c>
      <c r="E12">
        <f>D12*(1+$B$9)</f>
        <v>4863.4870879566715</v>
      </c>
      <c r="F12">
        <f>E12*(1+$B$9)</f>
        <v>5659.1535755463829</v>
      </c>
      <c r="G12">
        <f>(F12*(1+B10))/(B8-B10)</f>
        <v>677840.83938211168</v>
      </c>
      <c r="H12" s="60"/>
      <c r="I12" s="60"/>
    </row>
    <row r="13" spans="1:16">
      <c r="A13" t="s">
        <v>49</v>
      </c>
      <c r="B13">
        <f>B12/((1+$B$8)^B11)</f>
        <v>2839.9264029438823</v>
      </c>
      <c r="C13">
        <f>C12/((1+$B$8)^C11)</f>
        <v>3040.0536913206088</v>
      </c>
      <c r="D13">
        <f>D12/((1+$B$8)^D11)</f>
        <v>3254.2837858515732</v>
      </c>
      <c r="E13">
        <f>E12/((1+$B$8)^E11)</f>
        <v>3483.6104997395501</v>
      </c>
      <c r="F13">
        <f>F12/((1+$B$8)^F11)</f>
        <v>3729.0976793900099</v>
      </c>
      <c r="G13">
        <f>G12/((1+$B$8)^G11)</f>
        <v>410913.55395915709</v>
      </c>
    </row>
    <row r="15" spans="1:16">
      <c r="A15" t="s">
        <v>123</v>
      </c>
    </row>
    <row r="16" spans="1:16">
      <c r="A16" t="s">
        <v>124</v>
      </c>
      <c r="B16">
        <f>SUM(B13,C13,D13,E13,F13)</f>
        <v>16346.972059245625</v>
      </c>
    </row>
    <row r="17" spans="1:12">
      <c r="A17" t="s">
        <v>125</v>
      </c>
      <c r="B17">
        <f>G13</f>
        <v>410913.55395915709</v>
      </c>
      <c r="D17" t="s">
        <v>126</v>
      </c>
    </row>
    <row r="18" spans="1:12">
      <c r="A18" t="s">
        <v>127</v>
      </c>
      <c r="B18">
        <f>SUM(B16,B17)</f>
        <v>427260.52601840271</v>
      </c>
      <c r="D18">
        <f>B18/749.57</f>
        <v>570.00750566111594</v>
      </c>
    </row>
    <row r="28" spans="1:12">
      <c r="A28" t="s">
        <v>115</v>
      </c>
    </row>
    <row r="29" spans="1:12">
      <c r="G29">
        <v>1</v>
      </c>
      <c r="H29">
        <v>2</v>
      </c>
      <c r="I29">
        <v>3</v>
      </c>
      <c r="J29">
        <v>4</v>
      </c>
      <c r="K29">
        <v>5</v>
      </c>
      <c r="L29">
        <v>6</v>
      </c>
    </row>
    <row r="30" spans="1:12">
      <c r="A30" t="s">
        <v>0</v>
      </c>
      <c r="B30" s="45">
        <v>4608</v>
      </c>
      <c r="C30" s="45">
        <v>4943</v>
      </c>
      <c r="D30" s="45">
        <v>6578</v>
      </c>
      <c r="E30" s="45">
        <v>7198</v>
      </c>
      <c r="F30" s="45">
        <v>8328</v>
      </c>
      <c r="G30">
        <f>6331*(1+$B$9)^G29</f>
        <v>7366.7515999999996</v>
      </c>
      <c r="H30">
        <f>6331*(1+$B$9)^H29</f>
        <v>8571.9521617599985</v>
      </c>
      <c r="I30">
        <f>6331*(1+$B$9)^I29</f>
        <v>9974.323535423935</v>
      </c>
      <c r="J30">
        <f>6331*(1+$B$9)^J29</f>
        <v>11606.12286581929</v>
      </c>
      <c r="K30">
        <f>6331*(1+$B$9)^K29</f>
        <v>13504.884566667326</v>
      </c>
    </row>
    <row r="31" spans="1:12">
      <c r="A31" t="s">
        <v>118</v>
      </c>
      <c r="B31" s="43">
        <v>1242</v>
      </c>
      <c r="C31" s="43">
        <v>1823</v>
      </c>
      <c r="D31" s="43">
        <v>1910</v>
      </c>
      <c r="E31" s="43">
        <v>2111</v>
      </c>
      <c r="F31" s="43">
        <v>2265</v>
      </c>
      <c r="G31">
        <f>1871*(1+$B$9)^G29</f>
        <v>2177.0956000000001</v>
      </c>
      <c r="H31">
        <f>1871*(1+$B$9)^H29</f>
        <v>2533.26844016</v>
      </c>
      <c r="I31">
        <f>1871*(1+$B$9)^I29</f>
        <v>2947.7111569701756</v>
      </c>
      <c r="J31">
        <f>1871*(1+$B$9)^J29</f>
        <v>3429.9567022504962</v>
      </c>
      <c r="K31">
        <f>1871*(1+$B$9)^K29</f>
        <v>3991.0976187386777</v>
      </c>
    </row>
    <row r="32" spans="1:12">
      <c r="A32" t="s">
        <v>128</v>
      </c>
      <c r="B32">
        <f>B30*0.65</f>
        <v>2995.2000000000003</v>
      </c>
      <c r="C32">
        <f>C30*0.65</f>
        <v>3212.9500000000003</v>
      </c>
      <c r="D32">
        <f>D30*0.65</f>
        <v>4275.7</v>
      </c>
      <c r="E32">
        <f>E30*0.65</f>
        <v>4678.7</v>
      </c>
      <c r="F32">
        <f>F30*0.65</f>
        <v>5413.2</v>
      </c>
      <c r="G32">
        <f>4155*(1+B9)^G29</f>
        <v>4834.7579999999998</v>
      </c>
      <c r="H32">
        <f>4155*(1+C9)^H29</f>
        <v>4155</v>
      </c>
      <c r="I32">
        <f>4155*(1+D9)^I29</f>
        <v>4155</v>
      </c>
      <c r="J32">
        <f>4155*(1+E9)^J29</f>
        <v>4155</v>
      </c>
      <c r="K32">
        <f>4155*(1+F9)^K29</f>
        <v>4155</v>
      </c>
    </row>
    <row r="33" spans="1:11">
      <c r="A33" t="s">
        <v>119</v>
      </c>
      <c r="B33">
        <v>1280</v>
      </c>
      <c r="C33">
        <v>923</v>
      </c>
      <c r="D33">
        <v>999</v>
      </c>
      <c r="E33">
        <v>1680</v>
      </c>
      <c r="F33">
        <v>4900</v>
      </c>
      <c r="G33">
        <f>1956*(1+$B$9)^G29</f>
        <v>2276.0016000000001</v>
      </c>
      <c r="H33">
        <f>1956*(1+$B$9)^H29</f>
        <v>2648.3554617599998</v>
      </c>
      <c r="I33">
        <f>1956*(1+$B$9)^I29</f>
        <v>3081.6264153039356</v>
      </c>
      <c r="J33">
        <f>1956*(1+$B$9)^J29</f>
        <v>3585.7804968476594</v>
      </c>
      <c r="K33">
        <f>1956*(1+$B$9)^K29</f>
        <v>4172.4141861319367</v>
      </c>
    </row>
    <row r="34" spans="1:11">
      <c r="A34" t="s">
        <v>120</v>
      </c>
      <c r="B34">
        <v>400</v>
      </c>
      <c r="C34">
        <v>386</v>
      </c>
      <c r="D34">
        <v>331</v>
      </c>
      <c r="E34">
        <v>401</v>
      </c>
      <c r="F34">
        <v>685</v>
      </c>
      <c r="G34">
        <f>440*(1+$B$9)^G29</f>
        <v>511.98399999999998</v>
      </c>
      <c r="H34">
        <f>440*(1+$B$9)^H29</f>
        <v>595.7445823999999</v>
      </c>
      <c r="I34">
        <f>440*(1+$B$9)^I29</f>
        <v>693.20839608063989</v>
      </c>
      <c r="J34">
        <f>440*(1+$B$9)^J29</f>
        <v>806.61728967943259</v>
      </c>
      <c r="K34">
        <f>440*(1+$B$9)^K29</f>
        <v>938.57987827098782</v>
      </c>
    </row>
    <row r="35" spans="1:11">
      <c r="A35" t="s">
        <v>53</v>
      </c>
      <c r="B35" s="6">
        <f>$B$8</f>
        <v>8.6999999999999994E-2</v>
      </c>
      <c r="C35" s="6">
        <f>$B$8</f>
        <v>8.6999999999999994E-2</v>
      </c>
      <c r="D35" s="6">
        <f>$B$8</f>
        <v>8.6999999999999994E-2</v>
      </c>
      <c r="E35" s="6">
        <f>$B$8</f>
        <v>8.6999999999999994E-2</v>
      </c>
      <c r="F35" s="6">
        <f>$B$8</f>
        <v>8.6999999999999994E-2</v>
      </c>
      <c r="G35" s="6">
        <f>$B$8</f>
        <v>8.6999999999999994E-2</v>
      </c>
      <c r="H35" s="6">
        <f>$B$8</f>
        <v>8.6999999999999994E-2</v>
      </c>
      <c r="I35" s="6">
        <f>$B$8</f>
        <v>8.6999999999999994E-2</v>
      </c>
      <c r="J35" s="6">
        <f>$B$8</f>
        <v>8.6999999999999994E-2</v>
      </c>
      <c r="K35" s="6">
        <f>$B$8</f>
        <v>8.6999999999999994E-2</v>
      </c>
    </row>
    <row r="36" spans="1:11">
      <c r="A36" t="s">
        <v>115</v>
      </c>
      <c r="B36">
        <f>B32+B31-B33-B34</f>
        <v>2557.2000000000007</v>
      </c>
      <c r="C36">
        <f>C32+C31-C33-C34</f>
        <v>3726.9500000000007</v>
      </c>
      <c r="D36">
        <f>D32+D31-D33-D34</f>
        <v>4855.7</v>
      </c>
      <c r="E36">
        <f>E32+E31-E33-E34</f>
        <v>4708.7</v>
      </c>
      <c r="F36">
        <f>F32+F31-F33-F34</f>
        <v>2093.1999999999998</v>
      </c>
      <c r="G36">
        <f>G32+G31-G33-G34</f>
        <v>4223.8680000000004</v>
      </c>
      <c r="H36">
        <f>H32+H31-H33-H34</f>
        <v>3444.168396</v>
      </c>
      <c r="I36">
        <f>I32+I31-I33-I34</f>
        <v>3327.8763455856001</v>
      </c>
      <c r="J36">
        <f>J32+J31-J33-J34</f>
        <v>3192.5589157234044</v>
      </c>
      <c r="K36">
        <f>K32+K31-K33-K34</f>
        <v>3035.103554335753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28C53-6D6F-4603-BEAF-C021A766201D}">
  <dimension ref="A1:N79"/>
  <sheetViews>
    <sheetView topLeftCell="A39" workbookViewId="0">
      <selection activeCell="C81" sqref="C81"/>
    </sheetView>
  </sheetViews>
  <sheetFormatPr defaultRowHeight="15.75"/>
  <cols>
    <col min="1" max="1" width="26" customWidth="1"/>
  </cols>
  <sheetData>
    <row r="1" spans="1:11">
      <c r="A1" s="61" t="s">
        <v>129</v>
      </c>
      <c r="B1" s="61">
        <v>2018</v>
      </c>
      <c r="C1" s="61">
        <v>2019</v>
      </c>
      <c r="D1" s="61">
        <v>2020</v>
      </c>
      <c r="E1" s="61">
        <v>2021</v>
      </c>
      <c r="F1" s="61">
        <v>2022</v>
      </c>
    </row>
    <row r="2" spans="1:11">
      <c r="A2" s="61" t="s">
        <v>83</v>
      </c>
      <c r="B2" s="61">
        <v>5144</v>
      </c>
      <c r="C2" s="61">
        <v>4528</v>
      </c>
      <c r="D2" s="61">
        <v>5210</v>
      </c>
      <c r="E2" s="61">
        <v>5297</v>
      </c>
      <c r="F2" s="61">
        <v>3589</v>
      </c>
      <c r="G2" t="s">
        <v>130</v>
      </c>
    </row>
    <row r="3" spans="1:11">
      <c r="A3" s="61" t="s">
        <v>85</v>
      </c>
      <c r="B3" s="61">
        <v>-3445</v>
      </c>
      <c r="C3" s="61">
        <v>-5271</v>
      </c>
      <c r="D3" s="61">
        <v>-2421</v>
      </c>
      <c r="E3" s="61">
        <v>-1038</v>
      </c>
      <c r="F3" s="61">
        <v>-2190</v>
      </c>
    </row>
    <row r="4" spans="1:11">
      <c r="A4" s="61" t="s">
        <v>131</v>
      </c>
      <c r="B4" s="61">
        <v>771</v>
      </c>
      <c r="C4" s="61">
        <v>1063</v>
      </c>
      <c r="D4" s="61">
        <v>1421</v>
      </c>
      <c r="E4" s="61">
        <v>1653</v>
      </c>
      <c r="F4" s="61">
        <v>1698</v>
      </c>
    </row>
    <row r="5" spans="1:11">
      <c r="A5" s="61" t="s">
        <v>132</v>
      </c>
      <c r="B5" s="61">
        <v>2530</v>
      </c>
      <c r="C5" s="61">
        <v>2162</v>
      </c>
      <c r="D5" s="61">
        <v>2263</v>
      </c>
      <c r="E5" s="61">
        <v>2893</v>
      </c>
      <c r="F5" s="61">
        <v>2971</v>
      </c>
    </row>
    <row r="6" spans="1:11">
      <c r="A6" s="61" t="s">
        <v>133</v>
      </c>
      <c r="B6" s="61">
        <v>852</v>
      </c>
      <c r="C6" s="61">
        <v>773</v>
      </c>
      <c r="D6" s="61">
        <v>671</v>
      </c>
      <c r="E6" s="61">
        <v>967</v>
      </c>
      <c r="F6" s="61">
        <v>1021</v>
      </c>
    </row>
    <row r="7" spans="1:11">
      <c r="A7" s="61" t="s">
        <v>134</v>
      </c>
      <c r="B7" s="61">
        <v>-1678</v>
      </c>
      <c r="C7" s="61">
        <v>-1389</v>
      </c>
      <c r="D7" s="61">
        <v>-1592</v>
      </c>
      <c r="E7" s="61">
        <v>-1926</v>
      </c>
      <c r="F7" s="61">
        <v>-1950</v>
      </c>
    </row>
    <row r="8" spans="1:11">
      <c r="A8" s="61" t="s">
        <v>135</v>
      </c>
      <c r="B8" s="61"/>
      <c r="C8" s="61">
        <v>289</v>
      </c>
      <c r="D8" s="61">
        <v>-203</v>
      </c>
      <c r="E8" s="61">
        <v>-334</v>
      </c>
      <c r="F8" s="61">
        <v>-24</v>
      </c>
    </row>
    <row r="9" spans="1:11">
      <c r="A9" s="61" t="s">
        <v>136</v>
      </c>
      <c r="B9" s="61">
        <v>-3372.8</v>
      </c>
      <c r="C9" s="61">
        <v>-5067.2</v>
      </c>
      <c r="D9" s="61">
        <v>-3073.6</v>
      </c>
      <c r="E9" s="61">
        <v>-2152.8000000000002</v>
      </c>
      <c r="F9" s="61">
        <v>-3110.4</v>
      </c>
    </row>
    <row r="10" spans="1:11">
      <c r="A10" s="61" t="s">
        <v>137</v>
      </c>
      <c r="B10" s="61">
        <v>0</v>
      </c>
      <c r="C10" s="61">
        <v>231.2</v>
      </c>
      <c r="D10" s="61">
        <v>-162.4</v>
      </c>
      <c r="E10" s="61">
        <v>-267.2</v>
      </c>
      <c r="F10" s="61">
        <v>-19.2</v>
      </c>
    </row>
    <row r="11" spans="1:11">
      <c r="A11" s="61" t="s">
        <v>6</v>
      </c>
      <c r="B11" s="61">
        <v>1771.2</v>
      </c>
      <c r="C11" s="61">
        <v>-308</v>
      </c>
      <c r="D11" s="61">
        <v>1974</v>
      </c>
      <c r="E11" s="61">
        <v>2877</v>
      </c>
      <c r="F11" s="61">
        <v>459.4</v>
      </c>
    </row>
    <row r="12" spans="1:11">
      <c r="A12" s="61" t="s">
        <v>138</v>
      </c>
      <c r="B12" s="61">
        <v>0.2</v>
      </c>
      <c r="C12" s="61"/>
      <c r="D12" s="61"/>
      <c r="E12" s="61"/>
      <c r="F12" s="61"/>
    </row>
    <row r="13" spans="1:11">
      <c r="A13" s="62" t="s">
        <v>35</v>
      </c>
      <c r="B13" s="63">
        <v>0.72774870000000003</v>
      </c>
      <c r="C13" s="63">
        <v>0.69047619999999998</v>
      </c>
      <c r="D13" s="63">
        <v>0.67425029999999997</v>
      </c>
      <c r="E13" s="63">
        <v>0.46592070000000002</v>
      </c>
      <c r="F13" s="63">
        <v>0.66216220000000003</v>
      </c>
      <c r="G13" s="61"/>
      <c r="H13" s="61"/>
      <c r="I13" s="61"/>
      <c r="J13" s="61"/>
      <c r="K13" s="61"/>
    </row>
    <row r="14" spans="1:11">
      <c r="A14" s="62" t="s">
        <v>36</v>
      </c>
      <c r="B14" s="64">
        <v>0.16420000000000001</v>
      </c>
      <c r="C14" s="64">
        <v>0.13250000000000001</v>
      </c>
      <c r="D14" s="64">
        <v>0.13850000000000001</v>
      </c>
      <c r="E14" s="64">
        <v>0.13070000000000001</v>
      </c>
      <c r="F14" s="64">
        <v>8.6800000000000002E-2</v>
      </c>
      <c r="G14" s="61"/>
      <c r="H14" s="61"/>
      <c r="I14" s="61"/>
      <c r="J14" s="61"/>
      <c r="K14" s="61"/>
    </row>
    <row r="15" spans="1:11">
      <c r="A15" s="62" t="s">
        <v>13</v>
      </c>
      <c r="B15" s="64">
        <v>0.1195</v>
      </c>
      <c r="C15" s="64">
        <v>9.1499999999999998E-2</v>
      </c>
      <c r="D15" s="64">
        <v>9.3399999999999997E-2</v>
      </c>
      <c r="E15" s="64">
        <v>6.0900000000000003E-2</v>
      </c>
      <c r="F15" s="64">
        <v>5.7500000000000002E-2</v>
      </c>
      <c r="G15" s="61"/>
      <c r="H15" s="61"/>
      <c r="I15" s="61"/>
      <c r="J15" s="61"/>
      <c r="K15" s="61"/>
    </row>
    <row r="16" spans="1:11">
      <c r="A16" s="62" t="s">
        <v>80</v>
      </c>
      <c r="B16" s="63" t="s">
        <v>80</v>
      </c>
      <c r="C16" s="63" t="s">
        <v>80</v>
      </c>
      <c r="D16" s="63" t="s">
        <v>80</v>
      </c>
      <c r="E16" s="63" t="s">
        <v>80</v>
      </c>
      <c r="F16" s="63" t="s">
        <v>80</v>
      </c>
      <c r="G16" s="61"/>
      <c r="H16" s="61"/>
      <c r="I16" s="61"/>
      <c r="J16" s="61"/>
      <c r="K16" s="61"/>
    </row>
    <row r="17" spans="1:11">
      <c r="A17" s="62" t="s">
        <v>51</v>
      </c>
      <c r="B17" s="65">
        <v>8.14E-2</v>
      </c>
      <c r="C17" s="63" t="s">
        <v>80</v>
      </c>
      <c r="D17" s="63" t="s">
        <v>80</v>
      </c>
      <c r="E17" s="63" t="s">
        <v>80</v>
      </c>
      <c r="F17" s="63" t="s">
        <v>80</v>
      </c>
      <c r="G17" s="61"/>
      <c r="H17" s="61"/>
      <c r="I17" s="61"/>
      <c r="J17" s="61"/>
      <c r="K17" s="61"/>
    </row>
    <row r="18" spans="1:11">
      <c r="A18" s="66" t="s">
        <v>52</v>
      </c>
      <c r="B18" s="106">
        <v>6.8000000000000005E-2</v>
      </c>
      <c r="C18" s="66"/>
      <c r="D18" s="66" t="s">
        <v>73</v>
      </c>
      <c r="E18" s="66"/>
      <c r="F18" s="66"/>
      <c r="G18" s="66"/>
      <c r="H18" s="61"/>
      <c r="I18" s="61"/>
      <c r="J18" s="61"/>
      <c r="K18" s="61"/>
    </row>
    <row r="19" spans="1:11">
      <c r="A19" s="66" t="s">
        <v>53</v>
      </c>
      <c r="B19" s="67">
        <v>8.6699999999999999E-2</v>
      </c>
      <c r="C19" s="66"/>
      <c r="D19" s="66"/>
      <c r="E19" s="66"/>
      <c r="F19" s="66"/>
      <c r="G19" s="61"/>
      <c r="H19" s="61"/>
      <c r="I19" s="61"/>
      <c r="J19" s="61"/>
      <c r="K19" s="61"/>
    </row>
    <row r="20" spans="1:11">
      <c r="A20" s="66"/>
      <c r="B20" s="67"/>
      <c r="C20" s="66"/>
      <c r="D20" s="66"/>
      <c r="E20" s="66"/>
      <c r="F20" s="66"/>
      <c r="G20" s="61"/>
      <c r="H20" s="61"/>
      <c r="I20" s="61"/>
      <c r="J20" s="61"/>
      <c r="K20" s="61"/>
    </row>
    <row r="21" spans="1:11">
      <c r="A21" s="66"/>
      <c r="B21" s="66"/>
      <c r="C21" s="66"/>
      <c r="D21" s="66"/>
      <c r="E21" s="66"/>
      <c r="F21" s="66"/>
      <c r="G21" s="61"/>
      <c r="H21" s="61"/>
      <c r="I21" s="61"/>
      <c r="J21" s="61"/>
      <c r="K21" s="61"/>
    </row>
    <row r="22" spans="1:11">
      <c r="A22" s="66" t="s">
        <v>139</v>
      </c>
      <c r="B22" s="66">
        <v>0</v>
      </c>
      <c r="C22" s="61">
        <v>1</v>
      </c>
      <c r="D22" s="61">
        <v>2</v>
      </c>
      <c r="E22" s="61">
        <v>3</v>
      </c>
      <c r="F22" s="61">
        <v>4</v>
      </c>
      <c r="G22" s="61">
        <v>5</v>
      </c>
      <c r="H22" s="61">
        <v>6</v>
      </c>
      <c r="I22" s="61">
        <v>7</v>
      </c>
      <c r="J22" s="61">
        <v>8</v>
      </c>
      <c r="K22" s="61"/>
    </row>
    <row r="23" spans="1:11">
      <c r="A23" s="61"/>
      <c r="B23" s="61"/>
      <c r="C23" s="61"/>
      <c r="D23" s="61"/>
      <c r="E23" s="61"/>
      <c r="F23" s="61"/>
      <c r="G23" s="68" t="s">
        <v>74</v>
      </c>
      <c r="H23" s="68"/>
      <c r="I23" s="69" t="s">
        <v>80</v>
      </c>
      <c r="J23" s="70" t="s">
        <v>75</v>
      </c>
      <c r="K23" s="70"/>
    </row>
    <row r="24" spans="1:11">
      <c r="A24" s="71" t="s">
        <v>140</v>
      </c>
      <c r="B24" s="72" t="s">
        <v>76</v>
      </c>
      <c r="C24" s="72"/>
      <c r="D24" s="72" t="s">
        <v>80</v>
      </c>
      <c r="E24" s="72" t="s">
        <v>80</v>
      </c>
      <c r="F24" s="72" t="s">
        <v>80</v>
      </c>
      <c r="G24" s="67">
        <v>7.8899999999999998E-2</v>
      </c>
      <c r="H24" s="67">
        <v>7.6399999999999996E-2</v>
      </c>
      <c r="I24" s="67">
        <v>7.3899999999999993E-2</v>
      </c>
      <c r="J24" s="67">
        <v>6.8000000000000005E-2</v>
      </c>
      <c r="K24" s="66"/>
    </row>
    <row r="25" spans="1:11">
      <c r="A25" s="62" t="s">
        <v>42</v>
      </c>
      <c r="B25" s="62" t="s">
        <v>43</v>
      </c>
      <c r="C25" s="62">
        <v>23</v>
      </c>
      <c r="D25" s="62">
        <v>24</v>
      </c>
      <c r="E25" s="62">
        <v>25</v>
      </c>
      <c r="F25" s="62">
        <v>26</v>
      </c>
      <c r="G25" s="66">
        <v>27</v>
      </c>
      <c r="H25" s="66">
        <v>28</v>
      </c>
      <c r="I25" s="66">
        <v>29</v>
      </c>
      <c r="J25" s="66">
        <v>30</v>
      </c>
      <c r="K25" s="66"/>
    </row>
    <row r="26" spans="1:11">
      <c r="A26" s="62" t="s">
        <v>83</v>
      </c>
      <c r="B26" s="73">
        <v>3589</v>
      </c>
      <c r="C26" s="62">
        <v>3881.1446000000001</v>
      </c>
      <c r="D26" s="62">
        <v>4197.0698000000002</v>
      </c>
      <c r="E26" s="62">
        <v>4538.7111999999997</v>
      </c>
      <c r="F26" s="62">
        <v>4908.1623</v>
      </c>
      <c r="G26" s="62">
        <v>5295.42</v>
      </c>
      <c r="H26" s="62">
        <v>5699.9861639999999</v>
      </c>
      <c r="I26" s="73">
        <v>6121.2151400000002</v>
      </c>
      <c r="J26" s="73">
        <v>6537.4579999999996</v>
      </c>
      <c r="K26" s="61"/>
    </row>
    <row r="27" spans="1:11">
      <c r="A27" s="62" t="s">
        <v>85</v>
      </c>
      <c r="B27" s="73">
        <v>-2190</v>
      </c>
      <c r="C27" s="62">
        <v>-2368.2660000000001</v>
      </c>
      <c r="D27" s="62">
        <v>-2561.0430000000001</v>
      </c>
      <c r="E27" s="62">
        <v>-2769.5120000000002</v>
      </c>
      <c r="F27" s="62">
        <v>-2994.95</v>
      </c>
      <c r="G27" s="62">
        <v>-3231.3</v>
      </c>
      <c r="H27" s="62">
        <v>-3478.1191690000001</v>
      </c>
      <c r="I27" s="73">
        <v>-3735.15218</v>
      </c>
      <c r="J27" s="73">
        <v>-3989.14</v>
      </c>
      <c r="K27" s="61"/>
    </row>
    <row r="28" spans="1:11">
      <c r="A28" s="62" t="s">
        <v>141</v>
      </c>
      <c r="B28" s="73">
        <v>1698</v>
      </c>
      <c r="C28" s="62">
        <v>1836.2172</v>
      </c>
      <c r="D28" s="62">
        <v>1985.6853000000001</v>
      </c>
      <c r="E28" s="62">
        <v>2147.3200999999999</v>
      </c>
      <c r="F28" s="62">
        <v>2322.1118999999999</v>
      </c>
      <c r="G28" s="62">
        <v>2505.33</v>
      </c>
      <c r="H28" s="62">
        <v>2696.7334930000002</v>
      </c>
      <c r="I28" s="73">
        <v>2896.0221000000001</v>
      </c>
      <c r="J28" s="73">
        <v>3092.9520000000002</v>
      </c>
      <c r="K28" s="61"/>
    </row>
    <row r="29" spans="1:11">
      <c r="A29" s="62" t="s">
        <v>134</v>
      </c>
      <c r="B29" s="73">
        <v>-1950</v>
      </c>
      <c r="C29" s="62">
        <v>-2108.73</v>
      </c>
      <c r="D29" s="62">
        <v>-2280.3809999999999</v>
      </c>
      <c r="E29" s="62">
        <v>-2466.0039999999999</v>
      </c>
      <c r="F29" s="62">
        <v>-2666.7359999999999</v>
      </c>
      <c r="G29" s="62">
        <v>-2877.1</v>
      </c>
      <c r="H29" s="62">
        <v>-3096.9554250000001</v>
      </c>
      <c r="I29" s="73">
        <v>-3325.8204300000002</v>
      </c>
      <c r="J29" s="73">
        <v>-3551.98</v>
      </c>
      <c r="K29" s="61"/>
    </row>
    <row r="30" spans="1:11">
      <c r="A30" s="62" t="s">
        <v>135</v>
      </c>
      <c r="B30" s="73">
        <v>-24</v>
      </c>
      <c r="C30" s="62">
        <v>-158.72999999999999</v>
      </c>
      <c r="D30" s="62">
        <v>-171.6506</v>
      </c>
      <c r="E30" s="62">
        <v>-185.62299999999999</v>
      </c>
      <c r="F30" s="62">
        <v>-200.73269999999999</v>
      </c>
      <c r="G30" s="62">
        <v>-210.41</v>
      </c>
      <c r="H30" s="62">
        <v>-219.81363289999999</v>
      </c>
      <c r="I30" s="62">
        <v>-228.86501000000001</v>
      </c>
      <c r="J30" s="62">
        <v>-226.16</v>
      </c>
      <c r="K30" s="61"/>
    </row>
    <row r="31" spans="1:11">
      <c r="A31" s="73" t="s">
        <v>136</v>
      </c>
      <c r="B31" s="73">
        <v>-1752</v>
      </c>
      <c r="C31" s="73">
        <v>-1894.6128000000001</v>
      </c>
      <c r="D31" s="73">
        <v>-2048.8343</v>
      </c>
      <c r="E31" s="73">
        <v>-2215.6093999999998</v>
      </c>
      <c r="F31" s="73">
        <v>-2395.96</v>
      </c>
      <c r="G31" s="62">
        <v>-2585</v>
      </c>
      <c r="H31" s="62">
        <v>-2782.495336</v>
      </c>
      <c r="I31" s="62">
        <v>-2988.1217000000001</v>
      </c>
      <c r="J31" s="73">
        <v>-3191.31</v>
      </c>
      <c r="K31" s="61"/>
    </row>
    <row r="32" spans="1:11">
      <c r="A32" s="73" t="s">
        <v>137</v>
      </c>
      <c r="B32" s="73">
        <v>-19.2</v>
      </c>
      <c r="C32" s="73">
        <v>-126.98399999999999</v>
      </c>
      <c r="D32" s="73">
        <v>-137.32050000000001</v>
      </c>
      <c r="E32" s="73">
        <v>-148.49839</v>
      </c>
      <c r="F32" s="73">
        <v>-160.58615</v>
      </c>
      <c r="G32" s="73">
        <v>-168.32400000000001</v>
      </c>
      <c r="H32" s="73">
        <v>-175.85090629999999</v>
      </c>
      <c r="I32" s="73">
        <v>-183.092005</v>
      </c>
      <c r="J32" s="73">
        <v>-180.92500000000001</v>
      </c>
      <c r="K32" s="61"/>
    </row>
    <row r="33" spans="1:11">
      <c r="A33" s="62" t="s">
        <v>6</v>
      </c>
      <c r="B33" s="73">
        <v>1817.8</v>
      </c>
      <c r="C33" s="73">
        <v>1859.5478000000001</v>
      </c>
      <c r="D33" s="73">
        <v>2010.91499</v>
      </c>
      <c r="E33" s="73">
        <v>2174.60347</v>
      </c>
      <c r="F33" s="73">
        <v>2351.6161900000002</v>
      </c>
      <c r="G33" s="73">
        <v>2542.0909999999999</v>
      </c>
      <c r="H33" s="73">
        <v>2741.6399219999998</v>
      </c>
      <c r="I33" s="73">
        <v>2950.0014000000001</v>
      </c>
      <c r="J33" s="73">
        <v>3165.2190000000001</v>
      </c>
      <c r="K33" s="61"/>
    </row>
    <row r="34" spans="1:11">
      <c r="A34" s="62" t="s">
        <v>142</v>
      </c>
      <c r="B34" s="73">
        <v>1817.8</v>
      </c>
      <c r="C34" s="73">
        <v>1711.1878200000001</v>
      </c>
      <c r="D34" s="73">
        <v>1702.8420900000001</v>
      </c>
      <c r="E34" s="73">
        <v>1694.5370800000001</v>
      </c>
      <c r="F34" s="73">
        <v>1686.2725600000001</v>
      </c>
      <c r="G34" s="61">
        <v>1703.126</v>
      </c>
      <c r="H34" s="61">
        <v>1726.738685</v>
      </c>
      <c r="I34" s="61">
        <v>1757.4253799999999</v>
      </c>
      <c r="J34" s="61">
        <v>1751.15</v>
      </c>
      <c r="K34" s="61"/>
    </row>
    <row r="35" spans="1:11">
      <c r="A35" s="62" t="s">
        <v>35</v>
      </c>
      <c r="B35" s="63">
        <v>0.66216220000000003</v>
      </c>
      <c r="C35" s="74">
        <v>0.66569999999999996</v>
      </c>
      <c r="D35" s="74">
        <v>0.66920000000000002</v>
      </c>
      <c r="E35" s="74">
        <v>0.67269999999999996</v>
      </c>
      <c r="F35" s="74">
        <v>0.67620000000000002</v>
      </c>
      <c r="G35" s="67">
        <v>0.64700000000000002</v>
      </c>
      <c r="H35" s="67">
        <v>0.61529999999999996</v>
      </c>
      <c r="I35" s="67">
        <v>0.5806</v>
      </c>
      <c r="J35" s="67">
        <v>0.5806</v>
      </c>
      <c r="K35" s="61"/>
    </row>
    <row r="36" spans="1:11">
      <c r="A36" s="62" t="s">
        <v>36</v>
      </c>
      <c r="B36" s="64">
        <v>8.6800000000000002E-2</v>
      </c>
      <c r="C36" s="74">
        <v>0.1051</v>
      </c>
      <c r="D36" s="74">
        <v>0.1046</v>
      </c>
      <c r="E36" s="74">
        <v>0.1041</v>
      </c>
      <c r="F36" s="74">
        <v>0.10349999999999999</v>
      </c>
      <c r="G36" s="67">
        <v>0.12189999999999999</v>
      </c>
      <c r="H36" s="67">
        <v>0.1242</v>
      </c>
      <c r="I36" s="67">
        <v>0.1273</v>
      </c>
      <c r="J36" s="67">
        <v>0.1273</v>
      </c>
      <c r="K36" s="61"/>
    </row>
    <row r="37" spans="1:11">
      <c r="A37" s="66" t="s">
        <v>53</v>
      </c>
      <c r="B37" s="67">
        <v>8.6699999999999999E-2</v>
      </c>
      <c r="C37" s="67">
        <v>8.6699999999999999E-2</v>
      </c>
      <c r="D37" s="67">
        <v>8.6699999999999999E-2</v>
      </c>
      <c r="E37" s="67">
        <v>8.6699999999999999E-2</v>
      </c>
      <c r="F37" s="67">
        <v>8.6699999999999999E-2</v>
      </c>
      <c r="G37" s="67">
        <v>8.3400000000000002E-2</v>
      </c>
      <c r="H37" s="67">
        <v>8.0100000000000005E-2</v>
      </c>
      <c r="I37" s="67">
        <v>7.6799999999999993E-2</v>
      </c>
      <c r="J37" s="67">
        <v>7.6799999999999993E-2</v>
      </c>
      <c r="K37" s="61"/>
    </row>
    <row r="38" spans="1:11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</row>
    <row r="39" spans="1:11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</row>
    <row r="40" spans="1:11">
      <c r="A40" s="61" t="s">
        <v>143</v>
      </c>
      <c r="B40" s="73">
        <v>1817.8</v>
      </c>
      <c r="C40" s="73">
        <v>1859.5478000000001</v>
      </c>
      <c r="D40" s="73">
        <v>2010.91499</v>
      </c>
      <c r="E40" s="73">
        <v>2174.60347</v>
      </c>
      <c r="F40" s="73">
        <v>2351.6161900000002</v>
      </c>
      <c r="G40" s="73">
        <v>2542.0909999999999</v>
      </c>
      <c r="H40" s="73">
        <v>2741.6399219999998</v>
      </c>
      <c r="I40" s="73">
        <v>2950.0014000000001</v>
      </c>
      <c r="J40" s="73">
        <v>359684</v>
      </c>
      <c r="K40" s="61"/>
    </row>
    <row r="41" spans="1:1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</row>
    <row r="42" spans="1:11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</row>
    <row r="43" spans="1:11">
      <c r="A43" s="61" t="s">
        <v>144</v>
      </c>
      <c r="B43" s="61"/>
      <c r="C43" s="61">
        <f>SUM(C40:J40)</f>
        <v>376314.41477199999</v>
      </c>
      <c r="D43" s="61" t="s">
        <v>145</v>
      </c>
      <c r="E43" s="61"/>
      <c r="F43" s="61">
        <f>SUM(C40:F40)</f>
        <v>8396.6824500000002</v>
      </c>
      <c r="G43" s="61" t="s">
        <v>146</v>
      </c>
      <c r="H43" s="61"/>
      <c r="I43" s="61"/>
      <c r="J43" s="61">
        <f>F43/C44</f>
        <v>15.578260575139147</v>
      </c>
      <c r="K43" s="61"/>
    </row>
    <row r="44" spans="1:11">
      <c r="A44" s="61" t="s">
        <v>147</v>
      </c>
      <c r="B44" s="61"/>
      <c r="C44" s="61">
        <v>539</v>
      </c>
      <c r="D44" s="61" t="s">
        <v>148</v>
      </c>
      <c r="E44" s="61"/>
      <c r="F44" s="61">
        <f>SUM(G40:I40)</f>
        <v>8233.7323219999998</v>
      </c>
      <c r="G44" s="61" t="s">
        <v>149</v>
      </c>
      <c r="H44" s="61"/>
      <c r="I44" s="61"/>
      <c r="J44" s="61">
        <f>F44/C44</f>
        <v>15.27594122820037</v>
      </c>
      <c r="K44" s="61"/>
    </row>
    <row r="45" spans="1:11">
      <c r="A45" s="61" t="s">
        <v>150</v>
      </c>
      <c r="B45" s="61"/>
      <c r="C45" s="61">
        <f>C43/C44</f>
        <v>698.17145597773651</v>
      </c>
      <c r="D45" s="61"/>
      <c r="E45" s="61"/>
      <c r="F45" s="61">
        <f>J40</f>
        <v>359684</v>
      </c>
      <c r="G45" s="61" t="s">
        <v>151</v>
      </c>
      <c r="H45" s="61"/>
      <c r="I45" s="61"/>
      <c r="J45" s="61">
        <f>F45/C44</f>
        <v>667.31725417439702</v>
      </c>
      <c r="K45" s="61"/>
    </row>
    <row r="46" spans="1:11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</row>
    <row r="47" spans="1:11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</row>
    <row r="48" spans="1:11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</row>
    <row r="49" spans="1:14" s="108" customFormat="1">
      <c r="A49" s="107" t="s">
        <v>152</v>
      </c>
      <c r="B49" s="107"/>
      <c r="C49" s="107"/>
      <c r="D49" s="107"/>
      <c r="E49" s="107"/>
      <c r="F49" s="107"/>
      <c r="G49" s="107">
        <f>C60</f>
        <v>1</v>
      </c>
      <c r="H49" s="107">
        <f t="shared" ref="H49:L49" si="0">D60</f>
        <v>2</v>
      </c>
      <c r="I49" s="107">
        <f t="shared" si="0"/>
        <v>3</v>
      </c>
      <c r="J49" s="107">
        <f t="shared" si="0"/>
        <v>4</v>
      </c>
      <c r="K49" s="107">
        <f t="shared" si="0"/>
        <v>5</v>
      </c>
      <c r="L49" s="107">
        <f t="shared" si="0"/>
        <v>6</v>
      </c>
      <c r="M49" s="108">
        <v>7</v>
      </c>
      <c r="N49" s="108">
        <v>8</v>
      </c>
    </row>
    <row r="50" spans="1:14">
      <c r="A50" s="61" t="s">
        <v>42</v>
      </c>
      <c r="B50" s="61">
        <v>18</v>
      </c>
      <c r="C50" s="61">
        <v>19</v>
      </c>
      <c r="D50" s="61">
        <v>20</v>
      </c>
      <c r="E50" s="61">
        <v>21</v>
      </c>
      <c r="F50" s="61">
        <v>22</v>
      </c>
      <c r="G50" s="61">
        <v>23</v>
      </c>
      <c r="H50" s="61">
        <v>24</v>
      </c>
      <c r="I50" s="61">
        <v>25</v>
      </c>
      <c r="J50" s="61">
        <v>26</v>
      </c>
      <c r="K50" s="61">
        <v>27</v>
      </c>
      <c r="L50">
        <v>28</v>
      </c>
      <c r="M50">
        <v>29</v>
      </c>
      <c r="N50">
        <v>30</v>
      </c>
    </row>
    <row r="51" spans="1:14">
      <c r="A51" s="61" t="s">
        <v>153</v>
      </c>
      <c r="B51" s="61">
        <v>7869.6</v>
      </c>
      <c r="C51" s="61">
        <v>6967</v>
      </c>
      <c r="D51" s="61">
        <v>6696</v>
      </c>
      <c r="E51" s="61">
        <v>7124</v>
      </c>
      <c r="F51" s="61">
        <v>4764</v>
      </c>
      <c r="G51" s="61">
        <f>$C$55*((1+$B$17)^G49)</f>
        <v>5011.7591139999995</v>
      </c>
      <c r="H51" s="61">
        <f t="shared" ref="H51:N51" si="1">$C$55*((1+$B$17)^H49)</f>
        <v>5419.7163058795995</v>
      </c>
      <c r="I51" s="61">
        <f t="shared" si="1"/>
        <v>5860.8812131781988</v>
      </c>
      <c r="J51" s="61">
        <f t="shared" si="1"/>
        <v>6337.9569439309043</v>
      </c>
      <c r="K51" s="61">
        <f t="shared" si="1"/>
        <v>6853.8666391668785</v>
      </c>
      <c r="L51" s="61">
        <f t="shared" si="1"/>
        <v>7411.7713835950626</v>
      </c>
      <c r="M51" s="61">
        <f t="shared" si="1"/>
        <v>8015.0895742196999</v>
      </c>
      <c r="N51" s="61">
        <f t="shared" si="1"/>
        <v>8667.5178655611835</v>
      </c>
    </row>
    <row r="52" spans="1:14">
      <c r="A52" s="61" t="s">
        <v>154</v>
      </c>
      <c r="B52" s="61">
        <v>5137.5</v>
      </c>
      <c r="C52" s="61">
        <f t="shared" ref="C52:L52" si="2">C51*0.65</f>
        <v>4528.55</v>
      </c>
      <c r="D52" s="61">
        <v>5152.7</v>
      </c>
      <c r="E52" s="61">
        <v>5257.2</v>
      </c>
      <c r="F52" s="61">
        <f t="shared" si="2"/>
        <v>3096.6</v>
      </c>
      <c r="G52" s="61">
        <f t="shared" si="2"/>
        <v>3257.6434240999997</v>
      </c>
      <c r="H52" s="61">
        <f t="shared" si="2"/>
        <v>3522.81559882174</v>
      </c>
      <c r="I52" s="61">
        <f t="shared" si="2"/>
        <v>3809.5727885658293</v>
      </c>
      <c r="J52" s="61">
        <f t="shared" si="2"/>
        <v>4119.6720135550877</v>
      </c>
      <c r="K52" s="61">
        <f t="shared" si="2"/>
        <v>4455.013315458471</v>
      </c>
      <c r="L52" s="61">
        <f>L51*0.65</f>
        <v>4817.6513993367907</v>
      </c>
      <c r="M52" s="61">
        <f t="shared" ref="M52:N52" si="3">M51*0.65</f>
        <v>5209.8082232428051</v>
      </c>
      <c r="N52" s="61">
        <f t="shared" si="3"/>
        <v>5633.8866126147695</v>
      </c>
    </row>
    <row r="53" spans="1:14">
      <c r="A53" s="61" t="s">
        <v>155</v>
      </c>
      <c r="B53" s="61"/>
      <c r="C53" s="61"/>
      <c r="D53" s="61"/>
      <c r="E53" s="61"/>
      <c r="F53" s="61"/>
      <c r="G53" s="61"/>
      <c r="H53" s="61"/>
      <c r="I53" s="61"/>
      <c r="J53" s="61"/>
      <c r="K53" s="61"/>
    </row>
    <row r="54" spans="1:14">
      <c r="A54" s="61" t="s">
        <v>156</v>
      </c>
      <c r="B54" s="61"/>
      <c r="C54" s="61"/>
      <c r="D54" s="61"/>
      <c r="E54" s="61"/>
      <c r="F54" s="61"/>
      <c r="G54" s="61"/>
      <c r="H54" s="61"/>
      <c r="I54" s="61"/>
      <c r="J54" s="61"/>
      <c r="K54" s="61"/>
    </row>
    <row r="55" spans="1:14">
      <c r="A55" s="61"/>
      <c r="B55" s="61" t="s">
        <v>157</v>
      </c>
      <c r="C55" s="61">
        <f>AVERAGE(B52:F52)</f>
        <v>4634.51</v>
      </c>
      <c r="D55" s="61"/>
      <c r="E55" s="61"/>
      <c r="F55" s="61"/>
      <c r="G55" s="61"/>
      <c r="H55" s="61"/>
      <c r="I55" s="61"/>
      <c r="J55" s="61"/>
      <c r="K55" s="61"/>
    </row>
    <row r="56" spans="1:14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</row>
    <row r="57" spans="1:14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</row>
    <row r="58" spans="1:14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</row>
    <row r="59" spans="1:14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</row>
    <row r="60" spans="1:14">
      <c r="A60" s="66" t="s">
        <v>139</v>
      </c>
      <c r="B60" s="66">
        <v>0</v>
      </c>
      <c r="C60" s="61">
        <v>1</v>
      </c>
      <c r="D60" s="61">
        <v>2</v>
      </c>
      <c r="E60" s="61">
        <v>3</v>
      </c>
      <c r="F60" s="61">
        <v>4</v>
      </c>
      <c r="G60" s="61">
        <v>5</v>
      </c>
      <c r="H60" s="61">
        <v>6</v>
      </c>
      <c r="I60" s="61">
        <v>7</v>
      </c>
      <c r="J60" s="61">
        <v>8</v>
      </c>
      <c r="K60" s="61"/>
    </row>
    <row r="61" spans="1:14">
      <c r="A61" s="61"/>
      <c r="B61" s="61"/>
      <c r="C61" s="61"/>
      <c r="D61" s="61"/>
      <c r="E61" s="61"/>
      <c r="F61" s="61"/>
      <c r="G61" s="68" t="s">
        <v>74</v>
      </c>
      <c r="H61" s="68"/>
      <c r="I61" s="69" t="s">
        <v>80</v>
      </c>
      <c r="J61" s="70" t="s">
        <v>75</v>
      </c>
      <c r="K61" s="70"/>
    </row>
    <row r="62" spans="1:14">
      <c r="A62" s="71" t="s">
        <v>158</v>
      </c>
      <c r="B62" s="72" t="s">
        <v>76</v>
      </c>
      <c r="C62" s="72"/>
      <c r="D62" s="72" t="s">
        <v>80</v>
      </c>
      <c r="E62" s="72" t="s">
        <v>80</v>
      </c>
      <c r="F62" s="72" t="s">
        <v>80</v>
      </c>
      <c r="G62" s="67">
        <v>7.8899999999999998E-2</v>
      </c>
      <c r="H62" s="67">
        <v>7.6399999999999996E-2</v>
      </c>
      <c r="I62" s="67">
        <v>7.3899999999999993E-2</v>
      </c>
      <c r="J62" s="67">
        <v>6.8000000000000005E-2</v>
      </c>
      <c r="K62" s="66"/>
    </row>
    <row r="63" spans="1:14">
      <c r="A63" t="str">
        <f>A25</f>
        <v>Years-&gt;</v>
      </c>
      <c r="B63" t="str">
        <f t="shared" ref="B63:J63" si="4">B25</f>
        <v>22(Current year)</v>
      </c>
      <c r="C63">
        <f t="shared" si="4"/>
        <v>23</v>
      </c>
      <c r="D63">
        <f t="shared" si="4"/>
        <v>24</v>
      </c>
      <c r="E63">
        <f t="shared" si="4"/>
        <v>25</v>
      </c>
      <c r="F63">
        <f t="shared" si="4"/>
        <v>26</v>
      </c>
      <c r="G63">
        <f t="shared" si="4"/>
        <v>27</v>
      </c>
      <c r="H63">
        <f t="shared" si="4"/>
        <v>28</v>
      </c>
      <c r="I63">
        <f t="shared" si="4"/>
        <v>29</v>
      </c>
      <c r="J63">
        <f t="shared" si="4"/>
        <v>30</v>
      </c>
    </row>
    <row r="64" spans="1:14">
      <c r="A64" t="s">
        <v>154</v>
      </c>
      <c r="B64">
        <f>F52</f>
        <v>3096.6</v>
      </c>
      <c r="C64">
        <f t="shared" ref="C64:J64" si="5">G52</f>
        <v>3257.6434240999997</v>
      </c>
      <c r="D64">
        <f t="shared" si="5"/>
        <v>3522.81559882174</v>
      </c>
      <c r="E64">
        <f t="shared" si="5"/>
        <v>3809.5727885658293</v>
      </c>
      <c r="F64">
        <f t="shared" si="5"/>
        <v>4119.6720135550877</v>
      </c>
      <c r="G64">
        <f t="shared" si="5"/>
        <v>4455.013315458471</v>
      </c>
      <c r="H64">
        <f t="shared" si="5"/>
        <v>4817.6513993367907</v>
      </c>
      <c r="I64">
        <f t="shared" si="5"/>
        <v>5209.8082232428051</v>
      </c>
      <c r="J64">
        <f t="shared" si="5"/>
        <v>5633.8866126147695</v>
      </c>
    </row>
    <row r="65" spans="1:11">
      <c r="A65" t="s">
        <v>85</v>
      </c>
      <c r="B65">
        <f>-1*B27</f>
        <v>2190</v>
      </c>
      <c r="C65">
        <f t="shared" ref="C65:J65" si="6">-1*C27</f>
        <v>2368.2660000000001</v>
      </c>
      <c r="D65">
        <f t="shared" si="6"/>
        <v>2561.0430000000001</v>
      </c>
      <c r="E65">
        <f t="shared" si="6"/>
        <v>2769.5120000000002</v>
      </c>
      <c r="F65">
        <f t="shared" si="6"/>
        <v>2994.95</v>
      </c>
      <c r="G65">
        <f t="shared" si="6"/>
        <v>3231.3</v>
      </c>
      <c r="H65">
        <f t="shared" si="6"/>
        <v>3478.1191690000001</v>
      </c>
      <c r="I65">
        <f t="shared" si="6"/>
        <v>3735.15218</v>
      </c>
      <c r="J65">
        <f t="shared" si="6"/>
        <v>3989.14</v>
      </c>
    </row>
    <row r="66" spans="1:11">
      <c r="A66" t="s">
        <v>118</v>
      </c>
      <c r="B66">
        <f>B28</f>
        <v>1698</v>
      </c>
      <c r="C66">
        <f t="shared" ref="C66:J66" si="7">C28</f>
        <v>1836.2172</v>
      </c>
      <c r="D66">
        <f t="shared" si="7"/>
        <v>1985.6853000000001</v>
      </c>
      <c r="E66">
        <f t="shared" si="7"/>
        <v>2147.3200999999999</v>
      </c>
      <c r="F66">
        <f t="shared" si="7"/>
        <v>2322.1118999999999</v>
      </c>
      <c r="G66">
        <f t="shared" si="7"/>
        <v>2505.33</v>
      </c>
      <c r="H66">
        <f t="shared" si="7"/>
        <v>2696.7334930000002</v>
      </c>
      <c r="I66">
        <f t="shared" si="7"/>
        <v>2896.0221000000001</v>
      </c>
      <c r="J66">
        <f t="shared" si="7"/>
        <v>3092.9520000000002</v>
      </c>
    </row>
    <row r="67" spans="1:11">
      <c r="A67" t="s">
        <v>135</v>
      </c>
      <c r="B67">
        <f>B30</f>
        <v>-24</v>
      </c>
      <c r="C67">
        <f t="shared" ref="C67:J67" si="8">C30</f>
        <v>-158.72999999999999</v>
      </c>
      <c r="D67">
        <f t="shared" si="8"/>
        <v>-171.6506</v>
      </c>
      <c r="E67">
        <f t="shared" si="8"/>
        <v>-185.62299999999999</v>
      </c>
      <c r="F67">
        <f t="shared" si="8"/>
        <v>-200.73269999999999</v>
      </c>
      <c r="G67">
        <f t="shared" si="8"/>
        <v>-210.41</v>
      </c>
      <c r="H67">
        <f t="shared" si="8"/>
        <v>-219.81363289999999</v>
      </c>
      <c r="I67">
        <f t="shared" si="8"/>
        <v>-228.86501000000001</v>
      </c>
      <c r="J67">
        <f t="shared" si="8"/>
        <v>-226.16</v>
      </c>
    </row>
    <row r="68" spans="1:11">
      <c r="A68" t="s">
        <v>152</v>
      </c>
      <c r="B68">
        <f>B64+B66-B65-B67</f>
        <v>2628.6000000000004</v>
      </c>
      <c r="C68">
        <f t="shared" ref="C68:J68" si="9">C64+C66-C65-C67</f>
        <v>2884.3246240999997</v>
      </c>
      <c r="D68">
        <f t="shared" si="9"/>
        <v>3119.1084988217394</v>
      </c>
      <c r="E68">
        <f t="shared" si="9"/>
        <v>3373.0038885658296</v>
      </c>
      <c r="F68">
        <f t="shared" si="9"/>
        <v>3647.5666135550878</v>
      </c>
      <c r="G68">
        <f t="shared" si="9"/>
        <v>3939.4533154584706</v>
      </c>
      <c r="H68">
        <f t="shared" si="9"/>
        <v>4256.0793562367917</v>
      </c>
      <c r="I68">
        <f t="shared" si="9"/>
        <v>4599.5431532428056</v>
      </c>
      <c r="J68">
        <f>J64+J66-J65-J67</f>
        <v>4963.8586126147711</v>
      </c>
    </row>
    <row r="69" spans="1:11">
      <c r="A69" s="66" t="s">
        <v>53</v>
      </c>
      <c r="B69" s="67">
        <v>8.6699999999999999E-2</v>
      </c>
      <c r="C69" s="67">
        <v>8.6699999999999999E-2</v>
      </c>
      <c r="D69" s="67">
        <v>8.6699999999999999E-2</v>
      </c>
      <c r="E69" s="67">
        <v>8.6699999999999999E-2</v>
      </c>
      <c r="F69" s="67">
        <v>8.6699999999999999E-2</v>
      </c>
      <c r="G69" s="67">
        <v>8.3400000000000002E-2</v>
      </c>
      <c r="H69" s="67">
        <v>8.0100000000000005E-2</v>
      </c>
      <c r="I69" s="67">
        <v>7.6799999999999993E-2</v>
      </c>
      <c r="J69" s="67">
        <v>7.6799999999999993E-2</v>
      </c>
      <c r="K69" s="61"/>
    </row>
    <row r="71" spans="1:11">
      <c r="A71" t="s">
        <v>97</v>
      </c>
      <c r="B71">
        <f>J68/(J69-J62)</f>
        <v>564074.84234258835</v>
      </c>
    </row>
    <row r="73" spans="1:11">
      <c r="A73" t="s">
        <v>159</v>
      </c>
      <c r="B73">
        <f>B68</f>
        <v>2628.6000000000004</v>
      </c>
      <c r="C73">
        <f t="shared" ref="C73:H73" si="10">C68</f>
        <v>2884.3246240999997</v>
      </c>
      <c r="D73">
        <f t="shared" si="10"/>
        <v>3119.1084988217394</v>
      </c>
      <c r="E73">
        <f t="shared" si="10"/>
        <v>3373.0038885658296</v>
      </c>
      <c r="F73">
        <f t="shared" si="10"/>
        <v>3647.5666135550878</v>
      </c>
      <c r="G73">
        <f t="shared" si="10"/>
        <v>3939.4533154584706</v>
      </c>
      <c r="H73">
        <f t="shared" si="10"/>
        <v>4256.0793562367917</v>
      </c>
      <c r="I73">
        <f>I68+B71</f>
        <v>568674.38549583114</v>
      </c>
    </row>
    <row r="74" spans="1:11">
      <c r="A74" t="s">
        <v>49</v>
      </c>
      <c r="B74">
        <f>B73/((1+B69)^B60)</f>
        <v>2628.6000000000004</v>
      </c>
      <c r="C74">
        <f t="shared" ref="C74:I74" si="11">C73/((1+C69)^C60)</f>
        <v>2654.2050465629886</v>
      </c>
      <c r="D74">
        <f t="shared" si="11"/>
        <v>2641.259960996696</v>
      </c>
      <c r="E74">
        <f t="shared" si="11"/>
        <v>2628.3781045416713</v>
      </c>
      <c r="F74">
        <f t="shared" si="11"/>
        <v>2615.5592571009888</v>
      </c>
      <c r="G74">
        <f t="shared" si="11"/>
        <v>2639.318500419311</v>
      </c>
      <c r="H74">
        <f t="shared" si="11"/>
        <v>2680.5623938096378</v>
      </c>
      <c r="I74">
        <f t="shared" si="11"/>
        <v>338780.44865730102</v>
      </c>
    </row>
    <row r="76" spans="1:11">
      <c r="A76" t="s">
        <v>160</v>
      </c>
      <c r="B76">
        <f>SUM(C74:I74)</f>
        <v>354639.7319207323</v>
      </c>
      <c r="C76" t="s">
        <v>161</v>
      </c>
    </row>
    <row r="77" spans="1:11">
      <c r="A77" s="61" t="s">
        <v>147</v>
      </c>
      <c r="B77" s="61">
        <v>539</v>
      </c>
      <c r="C77" s="61" t="s">
        <v>148</v>
      </c>
    </row>
    <row r="79" spans="1:11">
      <c r="A79" t="s">
        <v>150</v>
      </c>
      <c r="B79">
        <f>B76/B77</f>
        <v>657.95868630933637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2022-12-14T12:46:25Z</dcterms:created>
  <dcterms:modified xsi:type="dcterms:W3CDTF">2022-12-25T17:04:10Z</dcterms:modified>
  <cp:category/>
  <cp:contentStatus/>
</cp:coreProperties>
</file>