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-100" yWindow="-480" windowWidth="28920" windowHeight="16040"/>
  </bookViews>
  <sheets>
    <sheet name="Model" sheetId="1" r:id="rId1"/>
    <sheet name="Model_STS" sheetId="12" state="veryHidden" r:id="rId2"/>
    <sheet name="STS_1" sheetId="19" r:id="rId3"/>
    <sheet name="STS_2" sheetId="20" r:id="rId4"/>
  </sheets>
  <definedNames>
    <definedName name="Cash_after_investing">Model!$E$32:$E$35</definedName>
    <definedName name="ChartData" localSheetId="2">STS_1!$K$5:$K$11</definedName>
    <definedName name="ChartData1" localSheetId="3">STS_2!$K$5:$K$11</definedName>
    <definedName name="ChartData2" localSheetId="3">STS_2!$O$5:$O$13</definedName>
    <definedName name="Dollars_invested">Model!$B$26:$F$26</definedName>
    <definedName name="Final_cash">Model!$B$38</definedName>
    <definedName name="InputValues" localSheetId="2">STS_1!$A$5:$A$11</definedName>
    <definedName name="InputValues1" localSheetId="0">#REF!</definedName>
    <definedName name="InputValues1" localSheetId="3">STS_2!$A$5:$A$13</definedName>
    <definedName name="InputValues2" localSheetId="0">#REF!</definedName>
    <definedName name="InputValues2" localSheetId="3">STS_2!$B$4:$H$4</definedName>
    <definedName name="Maximum_in_money_market">Model!$B$40</definedName>
    <definedName name="Maximum_per_investment">Model!$B$28:$F$28</definedName>
    <definedName name="OutputAddresses" localSheetId="0">#REF!</definedName>
    <definedName name="OutputAddresses" localSheetId="2">STS_1!$B$4:$G$4</definedName>
    <definedName name="OutputAddresses" localSheetId="3">STS_2!$AZ$2</definedName>
    <definedName name="OutputValues" localSheetId="2">STS_1!$B$5:$G$11</definedName>
    <definedName name="OutputValues_1" localSheetId="3">STS_2!$B$5:$H$13</definedName>
    <definedName name="_xlnm.Print_Area" localSheetId="0">Model!$A$1:$J$38</definedName>
    <definedName name="solver_adj" localSheetId="0" hidden="1">Model!$B$26:$F$26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Model!$E$32:$E$35</definedName>
    <definedName name="solver_lhs2" localSheetId="0" hidden="1">Model!$B$26:$F$26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Model!$B$38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hs2" localSheetId="0" hidden="1">Maximum_per_investment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20" l="1"/>
  <c r="K1" i="20"/>
  <c r="Q4" i="20"/>
  <c r="N4" i="20"/>
  <c r="N5" i="20"/>
  <c r="M4" i="20"/>
  <c r="J4" i="20"/>
  <c r="J5" i="20"/>
  <c r="K1" i="19"/>
  <c r="J4" i="19"/>
  <c r="K11" i="19"/>
  <c r="K10" i="19"/>
  <c r="K9" i="19"/>
  <c r="K11" i="20"/>
  <c r="K6" i="20"/>
  <c r="K10" i="20"/>
  <c r="K9" i="20"/>
  <c r="O5" i="20"/>
  <c r="O6" i="20"/>
  <c r="O7" i="20"/>
  <c r="O8" i="20"/>
  <c r="O12" i="20"/>
  <c r="K7" i="20"/>
  <c r="K5" i="20"/>
  <c r="K8" i="20"/>
  <c r="O10" i="20"/>
  <c r="O13" i="20"/>
  <c r="O9" i="20"/>
  <c r="O11" i="20"/>
  <c r="K5" i="19"/>
  <c r="K6" i="19"/>
  <c r="K7" i="19"/>
  <c r="K8" i="19"/>
  <c r="C32" i="1"/>
  <c r="D32" i="1"/>
  <c r="B32" i="1"/>
  <c r="C33" i="1"/>
  <c r="D33" i="1"/>
  <c r="C34" i="1"/>
  <c r="D34" i="1"/>
  <c r="C35" i="1"/>
  <c r="D35" i="1"/>
  <c r="C36" i="1"/>
  <c r="B28" i="1"/>
  <c r="C28" i="1"/>
  <c r="D28" i="1"/>
  <c r="E28" i="1"/>
  <c r="F28" i="1"/>
  <c r="E32" i="1"/>
  <c r="B33" i="1"/>
  <c r="E33" i="1"/>
  <c r="B34" i="1"/>
  <c r="E34" i="1"/>
  <c r="B35" i="1"/>
  <c r="E35" i="1"/>
  <c r="B36" i="1"/>
  <c r="B38" i="1"/>
  <c r="B40" i="1"/>
</calcChain>
</file>

<file path=xl/comments1.xml><?xml version="1.0" encoding="utf-8"?>
<comments xmlns="http://schemas.openxmlformats.org/spreadsheetml/2006/main">
  <authors>
    <author>Chris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Chris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<sst xmlns="http://schemas.openxmlformats.org/spreadsheetml/2006/main" count="84" uniqueCount="59">
  <si>
    <t>Investments with irregular timing of returns</t>
  </si>
  <si>
    <t>A</t>
  </si>
  <si>
    <t>B</t>
  </si>
  <si>
    <t>C</t>
  </si>
  <si>
    <t>D</t>
  </si>
  <si>
    <t>E</t>
  </si>
  <si>
    <t>Investment</t>
  </si>
  <si>
    <t>Year</t>
  </si>
  <si>
    <t>Initial amount to invest</t>
  </si>
  <si>
    <t>Interest rate on cash</t>
  </si>
  <si>
    <t>Inputs</t>
  </si>
  <si>
    <t>Investment decisions</t>
  </si>
  <si>
    <t>Dollars invested</t>
  </si>
  <si>
    <t>Maximum per investment</t>
  </si>
  <si>
    <t>&lt;=</t>
  </si>
  <si>
    <t>Cash outlays on investments (all incurred at beginning of year)</t>
  </si>
  <si>
    <t>Cash returns from investments (all incurred at beginning of year)</t>
  </si>
  <si>
    <t>Cash invested</t>
  </si>
  <si>
    <t>Constraints on cash balance</t>
  </si>
  <si>
    <t>Beginning cash</t>
  </si>
  <si>
    <t>Returns from investments</t>
  </si>
  <si>
    <t>&gt;=</t>
  </si>
  <si>
    <t>Dollars_invested</t>
  </si>
  <si>
    <t>=Model!$B$26:$F$26</t>
  </si>
  <si>
    <t>=Model!$E$32:$E$35</t>
  </si>
  <si>
    <t>Final_cash</t>
  </si>
  <si>
    <t>Maximum_per_investment</t>
  </si>
  <si>
    <t>=Model!$B$28:$F$28</t>
  </si>
  <si>
    <t>Range names used</t>
  </si>
  <si>
    <t>$B$6</t>
  </si>
  <si>
    <t>Objective to maximize: final cash at beginning of year 5</t>
  </si>
  <si>
    <t>Cash after investing</t>
  </si>
  <si>
    <t>Cash_after_investing</t>
  </si>
  <si>
    <t>Final cash</t>
  </si>
  <si>
    <t>=Model!$B$38</t>
  </si>
  <si>
    <t>$B$5</t>
  </si>
  <si>
    <t>$B$26:$F$26,$B$38</t>
  </si>
  <si>
    <t/>
  </si>
  <si>
    <t>Maximum in money market</t>
  </si>
  <si>
    <t>Max per investment</t>
  </si>
  <si>
    <t>Data for chart</t>
  </si>
  <si>
    <t>Extra output for use in second sensitivity analysis</t>
  </si>
  <si>
    <t>$B$40</t>
  </si>
  <si>
    <t>Interest on cash</t>
  </si>
  <si>
    <t>Output and Interest on cash value for chart</t>
  </si>
  <si>
    <t>Output</t>
  </si>
  <si>
    <t>Interest on cash value</t>
  </si>
  <si>
    <t>Output and Max per investment value for chart</t>
  </si>
  <si>
    <t>Max per investment value</t>
  </si>
  <si>
    <t>Oneway analysis for Solver model in Model worksheet</t>
  </si>
  <si>
    <t>Max per investment (cell $B$5) values along side, output cell(s) along top</t>
  </si>
  <si>
    <t>Dollars_invested_1</t>
  </si>
  <si>
    <t>Dollars_invested_2</t>
  </si>
  <si>
    <t>Dollars_invested_3</t>
  </si>
  <si>
    <t>Dollars_invested_4</t>
  </si>
  <si>
    <t>Dollars_invested_5</t>
  </si>
  <si>
    <t>Twoway analysis for Solver model in Model worksheet</t>
  </si>
  <si>
    <t>Interest on cash (cell $B$6) values along side, Max per investment (cell $B$5) values along top, output cell in corner</t>
  </si>
  <si>
    <t>Maximum_in_money_market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</si>
</sst>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;\-&quot;$&quot;#,##0"/>
    <numFmt numFmtId="7" formatCode="&quot;$&quot;#,##0.00;\-&quot;$&quot;#,##0.00"/>
    <numFmt numFmtId="164" formatCode="&quot;$&quot;#,##0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NumberFormat="1" applyFont="1"/>
    <xf numFmtId="0" fontId="3" fillId="0" borderId="0" xfId="0" applyFont="1" applyAlignment="1">
      <alignment horizontal="center"/>
    </xf>
    <xf numFmtId="5" fontId="3" fillId="0" borderId="0" xfId="0" applyNumberFormat="1" applyFont="1"/>
    <xf numFmtId="5" fontId="3" fillId="0" borderId="0" xfId="0" applyNumberFormat="1" applyFont="1" applyFill="1" applyBorder="1"/>
    <xf numFmtId="5" fontId="2" fillId="0" borderId="0" xfId="0" applyNumberFormat="1" applyFont="1" applyBorder="1"/>
    <xf numFmtId="5" fontId="3" fillId="0" borderId="0" xfId="0" applyNumberFormat="1" applyFont="1" applyBorder="1"/>
    <xf numFmtId="7" fontId="3" fillId="4" borderId="0" xfId="0" applyNumberFormat="1" applyFont="1" applyFill="1" applyBorder="1"/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164" fontId="3" fillId="4" borderId="0" xfId="0" applyNumberFormat="1" applyFont="1" applyFill="1" applyBorder="1"/>
    <xf numFmtId="9" fontId="3" fillId="4" borderId="0" xfId="0" applyNumberFormat="1" applyFont="1" applyFill="1" applyBorder="1"/>
    <xf numFmtId="5" fontId="3" fillId="2" borderId="0" xfId="0" applyNumberFormat="1" applyFont="1" applyFill="1" applyBorder="1"/>
    <xf numFmtId="5" fontId="3" fillId="3" borderId="0" xfId="0" applyNumberFormat="1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5" fontId="0" fillId="0" borderId="1" xfId="0" applyNumberFormat="1" applyBorder="1"/>
    <xf numFmtId="5" fontId="0" fillId="0" borderId="2" xfId="0" applyNumberFormat="1" applyBorder="1"/>
    <xf numFmtId="5" fontId="0" fillId="0" borderId="3" xfId="0" applyNumberFormat="1" applyBorder="1"/>
    <xf numFmtId="5" fontId="0" fillId="0" borderId="4" xfId="0" applyNumberFormat="1" applyBorder="1"/>
    <xf numFmtId="5" fontId="0" fillId="0" borderId="0" xfId="0" applyNumberFormat="1" applyBorder="1"/>
    <xf numFmtId="0" fontId="4" fillId="0" borderId="0" xfId="0" applyFont="1"/>
    <xf numFmtId="5" fontId="0" fillId="0" borderId="5" xfId="0" applyNumberFormat="1" applyBorder="1"/>
    <xf numFmtId="5" fontId="0" fillId="0" borderId="6" xfId="0" applyNumberFormat="1" applyBorder="1"/>
    <xf numFmtId="5" fontId="0" fillId="0" borderId="7" xfId="0" applyNumberFormat="1" applyBorder="1"/>
    <xf numFmtId="5" fontId="0" fillId="0" borderId="8" xfId="0" applyNumberFormat="1" applyBorder="1"/>
    <xf numFmtId="0" fontId="0" fillId="0" borderId="0" xfId="0" applyFont="1"/>
    <xf numFmtId="0" fontId="0" fillId="6" borderId="0" xfId="0" applyFill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9" fontId="0" fillId="0" borderId="0" xfId="0" applyNumberFormat="1"/>
    <xf numFmtId="7" fontId="5" fillId="0" borderId="0" xfId="0" applyNumberFormat="1" applyFont="1" applyFill="1" applyBorder="1"/>
    <xf numFmtId="7" fontId="3" fillId="4" borderId="1" xfId="0" applyNumberFormat="1" applyFont="1" applyFill="1" applyBorder="1"/>
    <xf numFmtId="7" fontId="5" fillId="0" borderId="2" xfId="0" applyNumberFormat="1" applyFont="1" applyFill="1" applyBorder="1"/>
    <xf numFmtId="7" fontId="3" fillId="4" borderId="2" xfId="0" applyNumberFormat="1" applyFont="1" applyFill="1" applyBorder="1"/>
    <xf numFmtId="7" fontId="5" fillId="0" borderId="3" xfId="0" applyNumberFormat="1" applyFont="1" applyFill="1" applyBorder="1"/>
    <xf numFmtId="7" fontId="5" fillId="0" borderId="4" xfId="0" applyNumberFormat="1" applyFont="1" applyFill="1" applyBorder="1"/>
    <xf numFmtId="7" fontId="5" fillId="0" borderId="5" xfId="0" applyNumberFormat="1" applyFont="1" applyFill="1" applyBorder="1"/>
    <xf numFmtId="7" fontId="3" fillId="4" borderId="5" xfId="0" applyNumberFormat="1" applyFont="1" applyFill="1" applyBorder="1"/>
    <xf numFmtId="7" fontId="5" fillId="0" borderId="6" xfId="0" applyNumberFormat="1" applyFont="1" applyFill="1" applyBorder="1"/>
    <xf numFmtId="7" fontId="5" fillId="0" borderId="7" xfId="0" applyNumberFormat="1" applyFont="1" applyFill="1" applyBorder="1"/>
    <xf numFmtId="7" fontId="3" fillId="4" borderId="7" xfId="0" applyNumberFormat="1" applyFont="1" applyFill="1" applyBorder="1"/>
    <xf numFmtId="7" fontId="5" fillId="0" borderId="8" xfId="0" applyNumberFormat="1" applyFont="1" applyFill="1" applyBorder="1"/>
    <xf numFmtId="7" fontId="5" fillId="0" borderId="1" xfId="0" applyNumberFormat="1" applyFont="1" applyFill="1" applyBorder="1"/>
    <xf numFmtId="7" fontId="3" fillId="4" borderId="4" xfId="0" applyNumberFormat="1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Final_cash to Max per investment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STS_1!$A$5:$A$11</c:f>
              <c:numCache>
                <c:formatCode>"$"#,##0</c:formatCode>
                <c:ptCount val="7"/>
                <c:pt idx="0">
                  <c:v>75000.0</c:v>
                </c:pt>
                <c:pt idx="1">
                  <c:v>100000.0</c:v>
                </c:pt>
                <c:pt idx="2">
                  <c:v>125000.0</c:v>
                </c:pt>
                <c:pt idx="3">
                  <c:v>150000.0</c:v>
                </c:pt>
                <c:pt idx="4">
                  <c:v>175000.0</c:v>
                </c:pt>
                <c:pt idx="5">
                  <c:v>200000.0</c:v>
                </c:pt>
                <c:pt idx="6">
                  <c:v>225000.0</c:v>
                </c:pt>
              </c:numCache>
            </c:numRef>
          </c:cat>
          <c:val>
            <c:numRef>
              <c:f>STS_1!$K$5:$K$11</c:f>
              <c:numCache>
                <c:formatCode>General</c:formatCode>
                <c:ptCount val="7"/>
                <c:pt idx="0">
                  <c:v>286791.96</c:v>
                </c:pt>
                <c:pt idx="1">
                  <c:v>320730.77</c:v>
                </c:pt>
                <c:pt idx="2">
                  <c:v>353375.0</c:v>
                </c:pt>
                <c:pt idx="3">
                  <c:v>375125.0</c:v>
                </c:pt>
                <c:pt idx="4">
                  <c:v>396875.0</c:v>
                </c:pt>
                <c:pt idx="5">
                  <c:v>418625.0</c:v>
                </c:pt>
                <c:pt idx="6">
                  <c:v>440375.0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71656"/>
        <c:axId val="-2080366360"/>
      </c:lineChart>
      <c:catAx>
        <c:axId val="-208037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per investment ($B$5)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-2080366360"/>
        <c:crosses val="autoZero"/>
        <c:auto val="1"/>
        <c:lblAlgn val="ctr"/>
        <c:lblOffset val="100"/>
        <c:noMultiLvlLbl val="0"/>
      </c:catAx>
      <c:valAx>
        <c:axId val="-208036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37165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Maximum_in_money_market to Max per investment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STS_2!$B$4:$H$4</c:f>
              <c:numCache>
                <c:formatCode>"$"#,##0</c:formatCode>
                <c:ptCount val="7"/>
                <c:pt idx="0">
                  <c:v>75000.0</c:v>
                </c:pt>
                <c:pt idx="1">
                  <c:v>100000.0</c:v>
                </c:pt>
                <c:pt idx="2">
                  <c:v>125000.0</c:v>
                </c:pt>
                <c:pt idx="3">
                  <c:v>150000.0</c:v>
                </c:pt>
                <c:pt idx="4">
                  <c:v>175000.0</c:v>
                </c:pt>
                <c:pt idx="5">
                  <c:v>200000.0</c:v>
                </c:pt>
                <c:pt idx="6">
                  <c:v>225000.0</c:v>
                </c:pt>
              </c:numCache>
            </c:numRef>
          </c:cat>
          <c:val>
            <c:numRef>
              <c:f>STS_2!$K$5:$K$11</c:f>
              <c:numCache>
                <c:formatCode>General</c:formatCode>
                <c:ptCount val="7"/>
                <c:pt idx="0">
                  <c:v>139419.64</c:v>
                </c:pt>
                <c:pt idx="1">
                  <c:v>126923.08</c:v>
                </c:pt>
                <c:pt idx="2">
                  <c:v>112500.0</c:v>
                </c:pt>
                <c:pt idx="3">
                  <c:v>87500.0</c:v>
                </c:pt>
                <c:pt idx="4">
                  <c:v>62500.0</c:v>
                </c:pt>
                <c:pt idx="5">
                  <c:v>37500.0</c:v>
                </c:pt>
                <c:pt idx="6">
                  <c:v>12500.0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99448"/>
        <c:axId val="-2076493928"/>
      </c:lineChart>
      <c:catAx>
        <c:axId val="-207649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per investment ($B$5)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-2076493928"/>
        <c:crosses val="autoZero"/>
        <c:auto val="1"/>
        <c:lblAlgn val="ctr"/>
        <c:lblOffset val="100"/>
        <c:noMultiLvlLbl val="0"/>
      </c:catAx>
      <c:valAx>
        <c:axId val="-207649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99448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STS_2!$O$1</c:f>
          <c:strCache>
            <c:ptCount val="1"/>
            <c:pt idx="0">
              <c:v>Sensitivity of Maximum_in_money_market to Interest on cash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STS_2!$A$5:$A$13</c:f>
              <c:numCache>
                <c:formatCode>0%</c:formatCode>
                <c:ptCount val="9"/>
                <c:pt idx="0">
                  <c:v>0.00499999988824129</c:v>
                </c:pt>
                <c:pt idx="1">
                  <c:v>0.00999999977648258</c:v>
                </c:pt>
                <c:pt idx="2">
                  <c:v>0.0149999996647239</c:v>
                </c:pt>
                <c:pt idx="3">
                  <c:v>0.0199999995529652</c:v>
                </c:pt>
                <c:pt idx="4">
                  <c:v>0.0249999985098839</c:v>
                </c:pt>
                <c:pt idx="5">
                  <c:v>0.0299999993294477</c:v>
                </c:pt>
                <c:pt idx="6">
                  <c:v>0.0350000001490116</c:v>
                </c:pt>
                <c:pt idx="7">
                  <c:v>0.0399999991059303</c:v>
                </c:pt>
                <c:pt idx="8">
                  <c:v>0.044999998062849</c:v>
                </c:pt>
              </c:numCache>
            </c:numRef>
          </c:cat>
          <c:val>
            <c:numRef>
              <c:f>STS_2!$O$5:$O$13</c:f>
              <c:numCache>
                <c:formatCode>General</c:formatCode>
                <c:ptCount val="9"/>
                <c:pt idx="0">
                  <c:v>139419.64</c:v>
                </c:pt>
                <c:pt idx="1">
                  <c:v>139553.57</c:v>
                </c:pt>
                <c:pt idx="2">
                  <c:v>139687.5</c:v>
                </c:pt>
                <c:pt idx="3">
                  <c:v>139821.43</c:v>
                </c:pt>
                <c:pt idx="4">
                  <c:v>139955.36</c:v>
                </c:pt>
                <c:pt idx="5">
                  <c:v>140089.29</c:v>
                </c:pt>
                <c:pt idx="6">
                  <c:v>140223.21</c:v>
                </c:pt>
                <c:pt idx="7">
                  <c:v>140357.14</c:v>
                </c:pt>
                <c:pt idx="8">
                  <c:v>140491.07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65400"/>
        <c:axId val="-2076459880"/>
      </c:lineChart>
      <c:catAx>
        <c:axId val="-207646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Interest on cash ($B$6)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76459880"/>
        <c:crosses val="autoZero"/>
        <c:auto val="1"/>
        <c:lblAlgn val="ctr"/>
        <c:lblOffset val="100"/>
        <c:noMultiLvlLbl val="0"/>
      </c:catAx>
      <c:valAx>
        <c:axId val="-207645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465400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37</xdr:row>
      <xdr:rowOff>85725</xdr:rowOff>
    </xdr:from>
    <xdr:to>
      <xdr:col>2</xdr:col>
      <xdr:colOff>885825</xdr:colOff>
      <xdr:row>37</xdr:row>
      <xdr:rowOff>85725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2724150" y="6343650"/>
          <a:ext cx="704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238125</xdr:colOff>
      <xdr:row>39</xdr:row>
      <xdr:rowOff>85725</xdr:rowOff>
    </xdr:from>
    <xdr:to>
      <xdr:col>2</xdr:col>
      <xdr:colOff>885825</xdr:colOff>
      <xdr:row>39</xdr:row>
      <xdr:rowOff>85725</xdr:rowOff>
    </xdr:to>
    <xdr:sp macro="" textlink="">
      <xdr:nvSpPr>
        <xdr:cNvPr id="1135" name="Line 111"/>
        <xdr:cNvSpPr>
          <a:spLocks noChangeShapeType="1"/>
        </xdr:cNvSpPr>
      </xdr:nvSpPr>
      <xdr:spPr bwMode="auto">
        <a:xfrm flipH="1">
          <a:off x="2781300" y="847725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514350</xdr:colOff>
      <xdr:row>12</xdr:row>
      <xdr:rowOff>0</xdr:rowOff>
    </xdr:from>
    <xdr:to>
      <xdr:col>17</xdr:col>
      <xdr:colOff>514350</xdr:colOff>
      <xdr:row>27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514350</xdr:colOff>
      <xdr:row>3</xdr:row>
      <xdr:rowOff>0</xdr:rowOff>
    </xdr:from>
    <xdr:to>
      <xdr:col>15</xdr:col>
      <xdr:colOff>514350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6</xdr:col>
      <xdr:colOff>476250</xdr:colOff>
      <xdr:row>17</xdr:row>
      <xdr:rowOff>114300</xdr:rowOff>
    </xdr:to>
    <xdr:sp macro="" textlink="">
      <xdr:nvSpPr>
        <xdr:cNvPr id="4" name="TextBox 3"/>
        <xdr:cNvSpPr txBox="1"/>
      </xdr:nvSpPr>
      <xdr:spPr>
        <a:xfrm>
          <a:off x="1219200" y="3495675"/>
          <a:ext cx="2914650" cy="8763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As usual, less constraining constraints</a:t>
          </a:r>
          <a:r>
            <a:rPr lang="en-US" sz="1100" baseline="0"/>
            <a:t> can only help. That's why the values in column G increase: more flexibility translates to more cash at the end.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14</xdr:row>
      <xdr:rowOff>0</xdr:rowOff>
    </xdr:from>
    <xdr:to>
      <xdr:col>18</xdr:col>
      <xdr:colOff>0</xdr:colOff>
      <xdr:row>29</xdr:row>
      <xdr:rowOff>0</xdr:rowOff>
    </xdr:to>
    <xdr:graphicFrame macro="">
      <xdr:nvGraphicFramePr>
        <xdr:cNvPr id="2" name="STS_2_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19</xdr:col>
      <xdr:colOff>0</xdr:colOff>
      <xdr:row>14</xdr:row>
      <xdr:rowOff>0</xdr:rowOff>
    </xdr:from>
    <xdr:to>
      <xdr:col>27</xdr:col>
      <xdr:colOff>0</xdr:colOff>
      <xdr:row>29</xdr:row>
      <xdr:rowOff>0</xdr:rowOff>
    </xdr:to>
    <xdr:graphicFrame macro="">
      <xdr:nvGraphicFramePr>
        <xdr:cNvPr id="3" name="STS_2_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0</xdr:colOff>
      <xdr:row>3</xdr:row>
      <xdr:rowOff>0</xdr:rowOff>
    </xdr:from>
    <xdr:to>
      <xdr:col>24</xdr:col>
      <xdr:colOff>0</xdr:colOff>
      <xdr:row>3</xdr:row>
      <xdr:rowOff>1333500</xdr:rowOff>
    </xdr:to>
    <xdr:sp macro="" textlink="">
      <xdr:nvSpPr>
        <xdr:cNvPr id="4" name="TextBox 3"/>
        <xdr:cNvSpPr txBox="1"/>
      </xdr:nvSpPr>
      <xdr:spPr>
        <a:xfrm>
          <a:off x="12201525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7</xdr:col>
      <xdr:colOff>0</xdr:colOff>
      <xdr:row>23</xdr:row>
      <xdr:rowOff>142875</xdr:rowOff>
    </xdr:to>
    <xdr:sp macro="" textlink="">
      <xdr:nvSpPr>
        <xdr:cNvPr id="5" name="TextBox 4"/>
        <xdr:cNvSpPr txBox="1"/>
      </xdr:nvSpPr>
      <xdr:spPr>
        <a:xfrm>
          <a:off x="1838325" y="4505325"/>
          <a:ext cx="3657600" cy="16668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You can create two charts. Whe you make selections from the dropdown lists in cells $K$4 and $L$4, you get a chart  of your selected output versus values of Max per investment for your selected value of Interest on cash. When you make selections from the dropdown lists in cells $O$4 and $P$4, you get a chart of your selected output versus values of Interest on cash for your selected value of Max per investment.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I40"/>
  <sheetViews>
    <sheetView tabSelected="1" workbookViewId="0"/>
  </sheetViews>
  <sheetFormatPr baseColWidth="10" defaultColWidth="8.83203125" defaultRowHeight="14" x14ac:dyDescent="0"/>
  <cols>
    <col min="1" max="1" width="25.5" style="3" customWidth="1"/>
    <col min="2" max="6" width="15.6640625" style="3" customWidth="1"/>
    <col min="7" max="7" width="7.33203125" style="3" customWidth="1"/>
    <col min="8" max="8" width="25.5" style="3" customWidth="1"/>
    <col min="9" max="9" width="10.33203125" style="3" customWidth="1"/>
    <col min="10" max="16384" width="8.83203125" style="3"/>
  </cols>
  <sheetData>
    <row r="1" spans="1:9">
      <c r="A1" s="2" t="s">
        <v>0</v>
      </c>
      <c r="H1" s="2" t="s">
        <v>28</v>
      </c>
    </row>
    <row r="2" spans="1:9">
      <c r="H2" s="5" t="s">
        <v>32</v>
      </c>
      <c r="I2" s="5" t="s">
        <v>24</v>
      </c>
    </row>
    <row r="3" spans="1:9">
      <c r="A3" s="2" t="s">
        <v>10</v>
      </c>
      <c r="H3" s="5" t="s">
        <v>22</v>
      </c>
      <c r="I3" s="5" t="s">
        <v>23</v>
      </c>
    </row>
    <row r="4" spans="1:9">
      <c r="A4" s="3" t="s">
        <v>8</v>
      </c>
      <c r="B4" s="16">
        <v>100000</v>
      </c>
      <c r="C4" s="4"/>
      <c r="F4" s="4"/>
      <c r="H4" s="5" t="s">
        <v>25</v>
      </c>
      <c r="I4" s="5" t="s">
        <v>34</v>
      </c>
    </row>
    <row r="5" spans="1:9">
      <c r="A5" s="3" t="s">
        <v>13</v>
      </c>
      <c r="B5" s="16">
        <v>75000</v>
      </c>
      <c r="C5" s="4"/>
      <c r="F5" s="4"/>
      <c r="H5" s="5" t="s">
        <v>26</v>
      </c>
      <c r="I5" s="5" t="s">
        <v>27</v>
      </c>
    </row>
    <row r="6" spans="1:9">
      <c r="A6" s="3" t="s">
        <v>9</v>
      </c>
      <c r="B6" s="17">
        <v>2.9999999329447746E-2</v>
      </c>
      <c r="C6" s="4"/>
      <c r="D6" s="4"/>
      <c r="E6" s="4"/>
      <c r="F6" s="4"/>
    </row>
    <row r="7" spans="1:9">
      <c r="B7" s="4"/>
      <c r="C7" s="4"/>
      <c r="D7" s="4"/>
      <c r="E7" s="4"/>
      <c r="F7" s="4"/>
    </row>
    <row r="8" spans="1:9">
      <c r="A8" s="3" t="s">
        <v>15</v>
      </c>
      <c r="B8" s="4"/>
      <c r="C8" s="4"/>
      <c r="D8" s="4"/>
      <c r="E8" s="4"/>
      <c r="F8" s="4"/>
      <c r="H8" s="5"/>
    </row>
    <row r="9" spans="1:9">
      <c r="B9" s="4" t="s">
        <v>6</v>
      </c>
      <c r="C9" s="4"/>
      <c r="D9" s="4"/>
      <c r="E9" s="4"/>
      <c r="F9" s="4"/>
    </row>
    <row r="10" spans="1:9">
      <c r="A10" s="6" t="s">
        <v>7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</row>
    <row r="11" spans="1:9">
      <c r="A11" s="6">
        <v>1</v>
      </c>
      <c r="B11" s="38">
        <v>1</v>
      </c>
      <c r="C11" s="39">
        <v>0</v>
      </c>
      <c r="D11" s="40">
        <v>1</v>
      </c>
      <c r="E11" s="39">
        <v>0</v>
      </c>
      <c r="F11" s="41">
        <v>0</v>
      </c>
    </row>
    <row r="12" spans="1:9">
      <c r="A12" s="6">
        <v>2</v>
      </c>
      <c r="B12" s="42">
        <v>0</v>
      </c>
      <c r="C12" s="11">
        <v>1</v>
      </c>
      <c r="D12" s="37">
        <v>0</v>
      </c>
      <c r="E12" s="37">
        <v>0</v>
      </c>
      <c r="F12" s="43">
        <v>0</v>
      </c>
    </row>
    <row r="13" spans="1:9">
      <c r="A13" s="6">
        <v>3</v>
      </c>
      <c r="B13" s="42">
        <v>0</v>
      </c>
      <c r="C13" s="37">
        <v>0</v>
      </c>
      <c r="D13" s="37">
        <v>0</v>
      </c>
      <c r="E13" s="37">
        <v>0</v>
      </c>
      <c r="F13" s="44">
        <v>1</v>
      </c>
    </row>
    <row r="14" spans="1:9">
      <c r="A14" s="6">
        <v>4</v>
      </c>
      <c r="B14" s="45">
        <v>0</v>
      </c>
      <c r="C14" s="46">
        <v>0</v>
      </c>
      <c r="D14" s="46">
        <v>0</v>
      </c>
      <c r="E14" s="47">
        <v>1</v>
      </c>
      <c r="F14" s="48">
        <v>0</v>
      </c>
    </row>
    <row r="15" spans="1:9">
      <c r="B15" s="4"/>
      <c r="C15" s="4"/>
      <c r="D15" s="4"/>
      <c r="E15" s="4"/>
      <c r="F15" s="4"/>
    </row>
    <row r="16" spans="1:9">
      <c r="A16" s="3" t="s">
        <v>16</v>
      </c>
      <c r="B16" s="4"/>
      <c r="C16" s="4"/>
      <c r="D16" s="4"/>
      <c r="E16" s="4"/>
      <c r="F16" s="4"/>
    </row>
    <row r="17" spans="1:7">
      <c r="B17" s="4" t="s">
        <v>6</v>
      </c>
      <c r="C17" s="4"/>
      <c r="D17" s="4"/>
      <c r="E17" s="4"/>
      <c r="F17" s="4"/>
    </row>
    <row r="18" spans="1:7">
      <c r="A18" s="6" t="s">
        <v>7</v>
      </c>
      <c r="B18" s="12" t="s">
        <v>1</v>
      </c>
      <c r="C18" s="12" t="s">
        <v>2</v>
      </c>
      <c r="D18" s="12" t="s">
        <v>3</v>
      </c>
      <c r="E18" s="12" t="s">
        <v>4</v>
      </c>
      <c r="F18" s="12" t="s">
        <v>5</v>
      </c>
    </row>
    <row r="19" spans="1:7">
      <c r="A19" s="6">
        <v>1</v>
      </c>
      <c r="B19" s="49">
        <v>0</v>
      </c>
      <c r="C19" s="39">
        <v>0</v>
      </c>
      <c r="D19" s="39">
        <v>0</v>
      </c>
      <c r="E19" s="39">
        <v>0</v>
      </c>
      <c r="F19" s="41">
        <v>0</v>
      </c>
    </row>
    <row r="20" spans="1:7">
      <c r="A20" s="6">
        <v>2</v>
      </c>
      <c r="B20" s="50">
        <v>0.5</v>
      </c>
      <c r="C20" s="37">
        <v>0</v>
      </c>
      <c r="D20" s="11">
        <v>1.2</v>
      </c>
      <c r="E20" s="37">
        <v>0</v>
      </c>
      <c r="F20" s="43">
        <v>0</v>
      </c>
    </row>
    <row r="21" spans="1:7">
      <c r="A21" s="6">
        <v>3</v>
      </c>
      <c r="B21" s="50">
        <v>1</v>
      </c>
      <c r="C21" s="11">
        <v>0.5</v>
      </c>
      <c r="D21" s="37">
        <v>0</v>
      </c>
      <c r="E21" s="37">
        <v>0</v>
      </c>
      <c r="F21" s="43">
        <v>0</v>
      </c>
    </row>
    <row r="22" spans="1:7">
      <c r="A22" s="6">
        <v>4</v>
      </c>
      <c r="B22" s="42">
        <v>0</v>
      </c>
      <c r="C22" s="11">
        <v>1</v>
      </c>
      <c r="D22" s="37">
        <v>0</v>
      </c>
      <c r="E22" s="37">
        <v>0</v>
      </c>
      <c r="F22" s="44">
        <v>1.5</v>
      </c>
    </row>
    <row r="23" spans="1:7">
      <c r="A23" s="6">
        <v>5</v>
      </c>
      <c r="B23" s="45">
        <v>0</v>
      </c>
      <c r="C23" s="46">
        <v>0</v>
      </c>
      <c r="D23" s="46">
        <v>0</v>
      </c>
      <c r="E23" s="47">
        <v>1.9</v>
      </c>
      <c r="F23" s="48">
        <v>0</v>
      </c>
    </row>
    <row r="24" spans="1:7">
      <c r="B24" s="4"/>
      <c r="C24" s="4"/>
      <c r="D24" s="4"/>
      <c r="E24" s="4"/>
      <c r="F24" s="4"/>
    </row>
    <row r="25" spans="1:7">
      <c r="A25" s="2" t="s">
        <v>11</v>
      </c>
      <c r="B25" s="4"/>
      <c r="C25" s="4"/>
      <c r="D25" s="4"/>
      <c r="E25" s="4"/>
      <c r="F25" s="4"/>
    </row>
    <row r="26" spans="1:7">
      <c r="A26" s="3" t="s">
        <v>12</v>
      </c>
      <c r="B26" s="18">
        <v>64285.71484375</v>
      </c>
      <c r="C26" s="18">
        <v>75000</v>
      </c>
      <c r="D26" s="18">
        <v>35714.28515625</v>
      </c>
      <c r="E26" s="18">
        <v>75000</v>
      </c>
      <c r="F26" s="18">
        <v>75000</v>
      </c>
    </row>
    <row r="27" spans="1:7">
      <c r="B27" s="12" t="s">
        <v>14</v>
      </c>
      <c r="C27" s="12" t="s">
        <v>14</v>
      </c>
      <c r="D27" s="12" t="s">
        <v>14</v>
      </c>
      <c r="E27" s="12" t="s">
        <v>14</v>
      </c>
      <c r="F27" s="12" t="s">
        <v>14</v>
      </c>
    </row>
    <row r="28" spans="1:7">
      <c r="A28" s="3" t="s">
        <v>13</v>
      </c>
      <c r="B28" s="13">
        <f>$B$5</f>
        <v>75000</v>
      </c>
      <c r="C28" s="13">
        <f>$B$5</f>
        <v>75000</v>
      </c>
      <c r="D28" s="13">
        <f>$B$5</f>
        <v>75000</v>
      </c>
      <c r="E28" s="13">
        <f>$B$5</f>
        <v>75000</v>
      </c>
      <c r="F28" s="13">
        <f>$B$5</f>
        <v>75000</v>
      </c>
    </row>
    <row r="29" spans="1:7">
      <c r="B29" s="4"/>
      <c r="C29" s="4"/>
      <c r="D29" s="4"/>
      <c r="E29" s="4"/>
      <c r="F29" s="4"/>
    </row>
    <row r="30" spans="1:7">
      <c r="A30" s="2" t="s">
        <v>18</v>
      </c>
      <c r="B30" s="4"/>
      <c r="C30" s="4"/>
      <c r="D30" s="4"/>
      <c r="E30" s="4"/>
      <c r="F30" s="4"/>
    </row>
    <row r="31" spans="1:7" ht="30" customHeight="1">
      <c r="A31" s="6" t="s">
        <v>7</v>
      </c>
      <c r="B31" s="14" t="s">
        <v>19</v>
      </c>
      <c r="C31" s="14" t="s">
        <v>20</v>
      </c>
      <c r="D31" s="14" t="s">
        <v>17</v>
      </c>
      <c r="E31" s="14" t="s">
        <v>31</v>
      </c>
      <c r="F31" s="4"/>
    </row>
    <row r="32" spans="1:7">
      <c r="A32" s="6">
        <v>1</v>
      </c>
      <c r="B32" s="10">
        <f>B4</f>
        <v>100000</v>
      </c>
      <c r="C32" s="10">
        <f>SUMPRODUCT(B19:F19,Dollars_invested)</f>
        <v>0</v>
      </c>
      <c r="D32" s="10">
        <f>SUMPRODUCT(B11:F11,Dollars_invested)</f>
        <v>100000</v>
      </c>
      <c r="E32" s="10">
        <f>B32+C32-D32</f>
        <v>0</v>
      </c>
      <c r="F32" s="15" t="s">
        <v>21</v>
      </c>
      <c r="G32" s="3">
        <v>0</v>
      </c>
    </row>
    <row r="33" spans="1:7">
      <c r="A33" s="6">
        <v>2</v>
      </c>
      <c r="B33" s="10">
        <f>E32*(1+$B$6)</f>
        <v>0</v>
      </c>
      <c r="C33" s="10">
        <f>SUMPRODUCT(B20:F20,Dollars_invested)</f>
        <v>74999.999609374994</v>
      </c>
      <c r="D33" s="10">
        <f>SUMPRODUCT(B12:F12,Dollars_invested)</f>
        <v>75000</v>
      </c>
      <c r="E33" s="10">
        <f>B33+C33-D33</f>
        <v>-3.9062500582076609E-4</v>
      </c>
      <c r="F33" s="15" t="s">
        <v>21</v>
      </c>
      <c r="G33" s="3">
        <v>0</v>
      </c>
    </row>
    <row r="34" spans="1:7">
      <c r="A34" s="6">
        <v>3</v>
      </c>
      <c r="B34" s="10">
        <f>E33*(1+$B$6)</f>
        <v>-4.023437557334546E-4</v>
      </c>
      <c r="C34" s="10">
        <f>SUMPRODUCT(B21:F21,Dollars_invested)</f>
        <v>101785.71484375</v>
      </c>
      <c r="D34" s="10">
        <f>SUMPRODUCT(B13:F13,Dollars_invested)</f>
        <v>75000</v>
      </c>
      <c r="E34" s="10">
        <f>B34+C34-D34</f>
        <v>26785.71444140625</v>
      </c>
      <c r="F34" s="15" t="s">
        <v>21</v>
      </c>
      <c r="G34" s="3">
        <v>0</v>
      </c>
    </row>
    <row r="35" spans="1:7">
      <c r="A35" s="6">
        <v>4</v>
      </c>
      <c r="B35" s="10">
        <f>E34*(1+$B$6)</f>
        <v>27589.285856687216</v>
      </c>
      <c r="C35" s="10">
        <f>SUMPRODUCT(B22:F22,Dollars_invested)</f>
        <v>187500</v>
      </c>
      <c r="D35" s="10">
        <f>SUMPRODUCT(B14:F14,Dollars_invested)</f>
        <v>75000</v>
      </c>
      <c r="E35" s="10">
        <f>B35+C35-D35</f>
        <v>140089.28585668723</v>
      </c>
      <c r="F35" s="15" t="s">
        <v>21</v>
      </c>
      <c r="G35" s="3">
        <v>0</v>
      </c>
    </row>
    <row r="36" spans="1:7">
      <c r="A36" s="6">
        <v>5</v>
      </c>
      <c r="B36" s="8">
        <f>E35*(1+$B$6)</f>
        <v>144291.96433845066</v>
      </c>
      <c r="C36" s="10">
        <f>SUMPRODUCT(B23:F23,Dollars_invested)</f>
        <v>142500</v>
      </c>
      <c r="D36" s="4"/>
      <c r="E36" s="4"/>
      <c r="F36" s="4"/>
    </row>
    <row r="37" spans="1:7">
      <c r="B37" s="4"/>
      <c r="C37" s="4"/>
      <c r="D37" s="4"/>
      <c r="E37" s="4"/>
      <c r="F37" s="4"/>
    </row>
    <row r="38" spans="1:7">
      <c r="A38" s="2" t="s">
        <v>33</v>
      </c>
      <c r="B38" s="19">
        <f>SUM(B36:C36)</f>
        <v>286791.96433845069</v>
      </c>
      <c r="C38" s="4"/>
      <c r="D38" s="9" t="s">
        <v>30</v>
      </c>
      <c r="E38" s="4"/>
      <c r="F38" s="4"/>
    </row>
    <row r="40" spans="1:7">
      <c r="A40" s="3" t="s">
        <v>38</v>
      </c>
      <c r="B40" s="7">
        <f>MAX(Cash_after_investing)</f>
        <v>140089.28585668723</v>
      </c>
      <c r="D40" s="32" t="s">
        <v>41</v>
      </c>
    </row>
  </sheetData>
  <phoneticPr fontId="1" type="noConversion"/>
  <printOptions headings="1" gridLines="1"/>
  <pageMargins left="0.75" right="0.75" top="1" bottom="1" header="0.5" footer="0.5"/>
  <pageSetup scale="54" orientation="portrait" horizontalDpi="1200" verticalDpi="1200"/>
  <headerFooter alignWithMargins="0"/>
  <ignoredErrors>
    <ignoredError sqref="D32 D33:D35 C32:C3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B18"/>
  <sheetViews>
    <sheetView workbookViewId="0"/>
  </sheetViews>
  <sheetFormatPr baseColWidth="10" defaultColWidth="8.83203125" defaultRowHeight="14" x14ac:dyDescent="0"/>
  <sheetData>
    <row r="1" spans="1:2">
      <c r="A1">
        <v>1</v>
      </c>
      <c r="B1">
        <v>1</v>
      </c>
    </row>
    <row r="2" spans="1:2">
      <c r="A2" t="s">
        <v>35</v>
      </c>
      <c r="B2" t="s">
        <v>29</v>
      </c>
    </row>
    <row r="3" spans="1:2">
      <c r="A3">
        <v>1</v>
      </c>
      <c r="B3">
        <v>1</v>
      </c>
    </row>
    <row r="4" spans="1:2">
      <c r="A4">
        <v>75000</v>
      </c>
      <c r="B4">
        <v>5.0000000000000001E-3</v>
      </c>
    </row>
    <row r="5" spans="1:2">
      <c r="A5">
        <v>225000</v>
      </c>
      <c r="B5">
        <v>4.4999999999999998E-2</v>
      </c>
    </row>
    <row r="6" spans="1:2">
      <c r="A6">
        <v>25000</v>
      </c>
      <c r="B6">
        <v>5.0000000000000001E-3</v>
      </c>
    </row>
    <row r="8" spans="1:2">
      <c r="A8" s="1"/>
      <c r="B8" s="1" t="s">
        <v>37</v>
      </c>
    </row>
    <row r="9" spans="1:2">
      <c r="A9" t="s">
        <v>36</v>
      </c>
      <c r="B9" t="s">
        <v>35</v>
      </c>
    </row>
    <row r="10" spans="1:2">
      <c r="A10" t="s">
        <v>39</v>
      </c>
      <c r="B10">
        <v>1</v>
      </c>
    </row>
    <row r="11" spans="1:2">
      <c r="B11">
        <v>75000</v>
      </c>
    </row>
    <row r="12" spans="1:2">
      <c r="B12">
        <v>225000</v>
      </c>
    </row>
    <row r="13" spans="1:2">
      <c r="B13">
        <v>25000</v>
      </c>
    </row>
    <row r="15" spans="1:2">
      <c r="B15" s="1" t="s">
        <v>37</v>
      </c>
    </row>
    <row r="16" spans="1:2">
      <c r="B16" t="s">
        <v>42</v>
      </c>
    </row>
    <row r="17" spans="2:2">
      <c r="B17" t="s">
        <v>43</v>
      </c>
    </row>
    <row r="18" spans="2:2">
      <c r="B18" t="s">
        <v>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K11"/>
  <sheetViews>
    <sheetView workbookViewId="0"/>
  </sheetViews>
  <sheetFormatPr baseColWidth="10" defaultColWidth="8.83203125" defaultRowHeight="14" x14ac:dyDescent="0"/>
  <cols>
    <col min="7" max="7" width="10.5" customWidth="1"/>
  </cols>
  <sheetData>
    <row r="1" spans="1:11">
      <c r="A1" s="2" t="s">
        <v>49</v>
      </c>
      <c r="K1" s="27" t="str">
        <f>CONCATENATE("Sensitivity of ",$K$4," to ","Max per investment")</f>
        <v>Sensitivity of Final_cash to Max per investment</v>
      </c>
    </row>
    <row r="3" spans="1:11">
      <c r="A3" t="s">
        <v>50</v>
      </c>
      <c r="K3" t="s">
        <v>40</v>
      </c>
    </row>
    <row r="4" spans="1:11" ht="93">
      <c r="B4" s="34" t="s">
        <v>51</v>
      </c>
      <c r="C4" s="34" t="s">
        <v>52</v>
      </c>
      <c r="D4" s="34" t="s">
        <v>53</v>
      </c>
      <c r="E4" s="34" t="s">
        <v>54</v>
      </c>
      <c r="F4" s="34" t="s">
        <v>55</v>
      </c>
      <c r="G4" s="34" t="s">
        <v>25</v>
      </c>
      <c r="J4" s="27">
        <f>MATCH($K$4,OutputAddresses,0)</f>
        <v>6</v>
      </c>
      <c r="K4" s="35" t="s">
        <v>25</v>
      </c>
    </row>
    <row r="5" spans="1:11">
      <c r="A5" s="20">
        <v>75000</v>
      </c>
      <c r="B5" s="22">
        <v>64285.71</v>
      </c>
      <c r="C5" s="23">
        <v>75000</v>
      </c>
      <c r="D5" s="23">
        <v>35714.29</v>
      </c>
      <c r="E5" s="23">
        <v>75000</v>
      </c>
      <c r="F5" s="23">
        <v>75000</v>
      </c>
      <c r="G5" s="24">
        <v>286791.96000000002</v>
      </c>
      <c r="K5">
        <f>INDEX(OutputValues,1,$J$4)</f>
        <v>286791.96000000002</v>
      </c>
    </row>
    <row r="6" spans="1:11">
      <c r="A6" s="20">
        <v>100000</v>
      </c>
      <c r="B6" s="25">
        <v>61538.46</v>
      </c>
      <c r="C6" s="26">
        <v>76923.08</v>
      </c>
      <c r="D6" s="26">
        <v>38461.54</v>
      </c>
      <c r="E6" s="26">
        <v>100000</v>
      </c>
      <c r="F6" s="26">
        <v>100000</v>
      </c>
      <c r="G6" s="28">
        <v>320730.77</v>
      </c>
      <c r="K6">
        <f>INDEX(OutputValues,2,$J$4)</f>
        <v>320730.77</v>
      </c>
    </row>
    <row r="7" spans="1:11">
      <c r="A7" s="20">
        <v>125000</v>
      </c>
      <c r="B7" s="25">
        <v>100000</v>
      </c>
      <c r="C7" s="26">
        <v>50000</v>
      </c>
      <c r="D7" s="26">
        <v>0</v>
      </c>
      <c r="E7" s="26">
        <v>125000</v>
      </c>
      <c r="F7" s="26">
        <v>125000</v>
      </c>
      <c r="G7" s="28">
        <v>353375</v>
      </c>
      <c r="K7">
        <f>INDEX(OutputValues,3,$J$4)</f>
        <v>353375</v>
      </c>
    </row>
    <row r="8" spans="1:11">
      <c r="A8" s="20">
        <v>150000</v>
      </c>
      <c r="B8" s="25">
        <v>100000</v>
      </c>
      <c r="C8" s="26">
        <v>50000</v>
      </c>
      <c r="D8" s="26">
        <v>0</v>
      </c>
      <c r="E8" s="26">
        <v>150000</v>
      </c>
      <c r="F8" s="26">
        <v>125000</v>
      </c>
      <c r="G8" s="28">
        <v>375125</v>
      </c>
      <c r="K8">
        <f>INDEX(OutputValues,4,$J$4)</f>
        <v>375125</v>
      </c>
    </row>
    <row r="9" spans="1:11">
      <c r="A9" s="20">
        <v>175000</v>
      </c>
      <c r="B9" s="25">
        <v>100000</v>
      </c>
      <c r="C9" s="26">
        <v>50000</v>
      </c>
      <c r="D9" s="26">
        <v>0</v>
      </c>
      <c r="E9" s="26">
        <v>175000</v>
      </c>
      <c r="F9" s="26">
        <v>125000</v>
      </c>
      <c r="G9" s="28">
        <v>396875</v>
      </c>
      <c r="K9">
        <f>INDEX(OutputValues,5,$J$4)</f>
        <v>396875</v>
      </c>
    </row>
    <row r="10" spans="1:11">
      <c r="A10" s="20">
        <v>200000</v>
      </c>
      <c r="B10" s="25">
        <v>100000</v>
      </c>
      <c r="C10" s="26">
        <v>50000</v>
      </c>
      <c r="D10" s="26">
        <v>0</v>
      </c>
      <c r="E10" s="26">
        <v>200000</v>
      </c>
      <c r="F10" s="26">
        <v>125000</v>
      </c>
      <c r="G10" s="28">
        <v>418625</v>
      </c>
      <c r="K10">
        <f>INDEX(OutputValues,6,$J$4)</f>
        <v>418625</v>
      </c>
    </row>
    <row r="11" spans="1:11">
      <c r="A11" s="20">
        <v>225000</v>
      </c>
      <c r="B11" s="29">
        <v>100000</v>
      </c>
      <c r="C11" s="30">
        <v>50000</v>
      </c>
      <c r="D11" s="30">
        <v>0</v>
      </c>
      <c r="E11" s="30">
        <v>225000</v>
      </c>
      <c r="F11" s="30">
        <v>125000</v>
      </c>
      <c r="G11" s="31">
        <v>440375</v>
      </c>
      <c r="K11">
        <f>INDEX(OutputValues,7,$J$4)</f>
        <v>440375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Z13"/>
  <sheetViews>
    <sheetView workbookViewId="0"/>
  </sheetViews>
  <sheetFormatPr baseColWidth="10" defaultColWidth="8.83203125" defaultRowHeight="14" x14ac:dyDescent="0"/>
  <cols>
    <col min="1" max="1" width="27.5" bestFit="1" customWidth="1"/>
    <col min="9" max="9" width="9.1640625" customWidth="1"/>
  </cols>
  <sheetData>
    <row r="1" spans="1:52">
      <c r="A1" s="2" t="s">
        <v>56</v>
      </c>
      <c r="K1" s="27" t="str">
        <f>CONCATENATE("Sensitivity of ",$K$4," to ","Max per investment")</f>
        <v>Sensitivity of Maximum_in_money_market to Max per investment</v>
      </c>
      <c r="O1" s="27" t="str">
        <f>CONCATENATE("Sensitivity of ",$O$4," to ","Interest on cash")</f>
        <v>Sensitivity of Maximum_in_money_market to Interest on cash</v>
      </c>
    </row>
    <row r="2" spans="1:52">
      <c r="K2" t="s">
        <v>44</v>
      </c>
      <c r="O2" t="s">
        <v>47</v>
      </c>
      <c r="AZ2" t="s">
        <v>58</v>
      </c>
    </row>
    <row r="3" spans="1:52">
      <c r="A3" t="s">
        <v>57</v>
      </c>
      <c r="K3" t="s">
        <v>45</v>
      </c>
      <c r="L3" t="s">
        <v>46</v>
      </c>
      <c r="O3" t="s">
        <v>45</v>
      </c>
      <c r="P3" t="s">
        <v>48</v>
      </c>
    </row>
    <row r="4" spans="1:52" ht="141">
      <c r="A4" s="21" t="s">
        <v>58</v>
      </c>
      <c r="B4" s="20">
        <v>75000</v>
      </c>
      <c r="C4" s="20">
        <v>100000</v>
      </c>
      <c r="D4" s="20">
        <v>125000</v>
      </c>
      <c r="E4" s="20">
        <v>150000</v>
      </c>
      <c r="F4" s="20">
        <v>175000</v>
      </c>
      <c r="G4" s="20">
        <v>200000</v>
      </c>
      <c r="H4" s="20">
        <v>225000</v>
      </c>
      <c r="J4" s="27">
        <f>MATCH($K$4,OutputAddresses,0)</f>
        <v>1</v>
      </c>
      <c r="K4" s="35" t="s">
        <v>58</v>
      </c>
      <c r="L4" s="33">
        <v>4.999999888241291E-3</v>
      </c>
      <c r="M4" s="27">
        <f>MATCH($L$4,InputValues1,0)</f>
        <v>1</v>
      </c>
      <c r="N4" s="27">
        <f>MATCH($O$4,OutputAddresses,0)</f>
        <v>1</v>
      </c>
      <c r="O4" s="35" t="s">
        <v>58</v>
      </c>
      <c r="P4" s="33">
        <v>75000</v>
      </c>
      <c r="Q4" s="27">
        <f>MATCH($P$4,InputValues2,0)</f>
        <v>1</v>
      </c>
    </row>
    <row r="5" spans="1:52">
      <c r="A5" s="36">
        <v>4.999999888241291E-3</v>
      </c>
      <c r="B5" s="22">
        <v>139419.64000000001</v>
      </c>
      <c r="C5" s="23">
        <v>126923.08</v>
      </c>
      <c r="D5" s="23">
        <v>112500</v>
      </c>
      <c r="E5" s="23">
        <v>87500</v>
      </c>
      <c r="F5" s="23">
        <v>62500</v>
      </c>
      <c r="G5" s="23">
        <v>37500</v>
      </c>
      <c r="H5" s="24">
        <v>12500</v>
      </c>
      <c r="J5" s="27" t="str">
        <f>"OutputValues_"&amp;$J$4</f>
        <v>OutputValues_1</v>
      </c>
      <c r="K5">
        <f ca="1">INDEX(INDIRECT($J$5),$M$4,1)</f>
        <v>139419.64000000001</v>
      </c>
      <c r="N5" s="27" t="str">
        <f>"OutputValues_"&amp;$N$4</f>
        <v>OutputValues_1</v>
      </c>
      <c r="O5">
        <f ca="1">INDEX(INDIRECT($N$5),1,$Q$4)</f>
        <v>139419.64000000001</v>
      </c>
    </row>
    <row r="6" spans="1:52">
      <c r="A6" s="36">
        <v>9.9999997764825821E-3</v>
      </c>
      <c r="B6" s="25">
        <v>139553.57</v>
      </c>
      <c r="C6" s="26">
        <v>126923.08</v>
      </c>
      <c r="D6" s="26">
        <v>112500</v>
      </c>
      <c r="E6" s="26">
        <v>87500</v>
      </c>
      <c r="F6" s="26">
        <v>62500</v>
      </c>
      <c r="G6" s="26">
        <v>37500</v>
      </c>
      <c r="H6" s="28">
        <v>12500</v>
      </c>
      <c r="K6">
        <f ca="1">INDEX(INDIRECT($J$5),$M$4,2)</f>
        <v>126923.08</v>
      </c>
      <c r="O6">
        <f ca="1">INDEX(INDIRECT($N$5),2,$Q$4)</f>
        <v>139553.57</v>
      </c>
    </row>
    <row r="7" spans="1:52">
      <c r="A7" s="36">
        <v>1.4999999664723873E-2</v>
      </c>
      <c r="B7" s="25">
        <v>139687.5</v>
      </c>
      <c r="C7" s="26">
        <v>126923.08</v>
      </c>
      <c r="D7" s="26">
        <v>112500</v>
      </c>
      <c r="E7" s="26">
        <v>87500</v>
      </c>
      <c r="F7" s="26">
        <v>62500</v>
      </c>
      <c r="G7" s="26">
        <v>37500</v>
      </c>
      <c r="H7" s="28">
        <v>12500</v>
      </c>
      <c r="K7">
        <f ca="1">INDEX(INDIRECT($J$5),$M$4,3)</f>
        <v>112500</v>
      </c>
      <c r="O7">
        <f ca="1">INDEX(INDIRECT($N$5),3,$Q$4)</f>
        <v>139687.5</v>
      </c>
    </row>
    <row r="8" spans="1:52">
      <c r="A8" s="36">
        <v>1.9999999552965164E-2</v>
      </c>
      <c r="B8" s="25">
        <v>139821.43</v>
      </c>
      <c r="C8" s="26">
        <v>126923.08</v>
      </c>
      <c r="D8" s="26">
        <v>112500</v>
      </c>
      <c r="E8" s="26">
        <v>87500</v>
      </c>
      <c r="F8" s="26">
        <v>62500</v>
      </c>
      <c r="G8" s="26">
        <v>37500</v>
      </c>
      <c r="H8" s="28">
        <v>12500</v>
      </c>
      <c r="K8">
        <f ca="1">INDEX(INDIRECT($J$5),$M$4,4)</f>
        <v>87500</v>
      </c>
      <c r="O8">
        <f ca="1">INDEX(INDIRECT($N$5),4,$Q$4)</f>
        <v>139821.43</v>
      </c>
    </row>
    <row r="9" spans="1:52">
      <c r="A9" s="36">
        <v>2.4999998509883881E-2</v>
      </c>
      <c r="B9" s="25">
        <v>139955.35999999999</v>
      </c>
      <c r="C9" s="26">
        <v>126923.08</v>
      </c>
      <c r="D9" s="26">
        <v>112500</v>
      </c>
      <c r="E9" s="26">
        <v>87500</v>
      </c>
      <c r="F9" s="26">
        <v>62500</v>
      </c>
      <c r="G9" s="26">
        <v>37500</v>
      </c>
      <c r="H9" s="28">
        <v>12500</v>
      </c>
      <c r="K9">
        <f ca="1">INDEX(INDIRECT($J$5),$M$4,5)</f>
        <v>62500</v>
      </c>
      <c r="O9">
        <f ca="1">INDEX(INDIRECT($N$5),5,$Q$4)</f>
        <v>139955.35999999999</v>
      </c>
    </row>
    <row r="10" spans="1:52">
      <c r="A10" s="36">
        <v>2.9999999329447746E-2</v>
      </c>
      <c r="B10" s="25">
        <v>140089.29</v>
      </c>
      <c r="C10" s="26">
        <v>126923.08</v>
      </c>
      <c r="D10" s="26">
        <v>112500</v>
      </c>
      <c r="E10" s="26">
        <v>87500</v>
      </c>
      <c r="F10" s="26">
        <v>62500</v>
      </c>
      <c r="G10" s="26">
        <v>37500</v>
      </c>
      <c r="H10" s="28">
        <v>12500</v>
      </c>
      <c r="K10">
        <f ca="1">INDEX(INDIRECT($J$5),$M$4,6)</f>
        <v>37500</v>
      </c>
      <c r="O10">
        <f ca="1">INDEX(INDIRECT($N$5),6,$Q$4)</f>
        <v>140089.29</v>
      </c>
    </row>
    <row r="11" spans="1:52">
      <c r="A11" s="36">
        <v>3.5000000149011612E-2</v>
      </c>
      <c r="B11" s="25">
        <v>140223.21</v>
      </c>
      <c r="C11" s="26">
        <v>126923.08</v>
      </c>
      <c r="D11" s="26">
        <v>112500</v>
      </c>
      <c r="E11" s="26">
        <v>87500</v>
      </c>
      <c r="F11" s="26">
        <v>62500</v>
      </c>
      <c r="G11" s="26">
        <v>37500</v>
      </c>
      <c r="H11" s="28">
        <v>12500</v>
      </c>
      <c r="K11">
        <f ca="1">INDEX(INDIRECT($J$5),$M$4,7)</f>
        <v>12500</v>
      </c>
      <c r="O11">
        <f ca="1">INDEX(INDIRECT($N$5),7,$Q$4)</f>
        <v>140223.21</v>
      </c>
    </row>
    <row r="12" spans="1:52">
      <c r="A12" s="36">
        <v>3.9999999105930328E-2</v>
      </c>
      <c r="B12" s="25">
        <v>140357.14000000001</v>
      </c>
      <c r="C12" s="26">
        <v>126923.08</v>
      </c>
      <c r="D12" s="26">
        <v>112500</v>
      </c>
      <c r="E12" s="26">
        <v>87500</v>
      </c>
      <c r="F12" s="26">
        <v>62500</v>
      </c>
      <c r="G12" s="26">
        <v>37500</v>
      </c>
      <c r="H12" s="28">
        <v>12500</v>
      </c>
      <c r="O12">
        <f ca="1">INDEX(INDIRECT($N$5),8,$Q$4)</f>
        <v>140357.14000000001</v>
      </c>
    </row>
    <row r="13" spans="1:52">
      <c r="A13" s="36">
        <v>4.4999998062849045E-2</v>
      </c>
      <c r="B13" s="29">
        <v>140491.07</v>
      </c>
      <c r="C13" s="30">
        <v>126923.08</v>
      </c>
      <c r="D13" s="30">
        <v>112500</v>
      </c>
      <c r="E13" s="30">
        <v>87500</v>
      </c>
      <c r="F13" s="30">
        <v>62500</v>
      </c>
      <c r="G13" s="30">
        <v>37500</v>
      </c>
      <c r="H13" s="31">
        <v>12500</v>
      </c>
      <c r="O13">
        <f ca="1">INDEX(INDIRECT($N$5),9,$Q$4)</f>
        <v>140491.07</v>
      </c>
    </row>
  </sheetData>
  <dataValidations count="3">
    <dataValidation type="list" allowBlank="1" showInputMessage="1" showErrorMessage="1" sqref="K4 O4">
      <formula1>OutputAddresses</formula1>
    </dataValidation>
    <dataValidation type="list" allowBlank="1" showInputMessage="1" showErrorMessage="1" sqref="L4">
      <formula1>InputValues1</formula1>
    </dataValidation>
    <dataValidation type="list" allowBlank="1" showInputMessage="1" showErrorMessage="1" sqref="P4">
      <formula1>InputValues2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STS_1</vt:lpstr>
      <vt:lpstr>STS_2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Somayeh  Moazeni</cp:lastModifiedBy>
  <cp:lastPrinted>2010-06-03T16:00:03Z</cp:lastPrinted>
  <dcterms:created xsi:type="dcterms:W3CDTF">2002-08-16T15:04:30Z</dcterms:created>
  <dcterms:modified xsi:type="dcterms:W3CDTF">2020-02-17T20:00:31Z</dcterms:modified>
</cp:coreProperties>
</file>