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9390" tabRatio="759"/>
  </bookViews>
  <sheets>
    <sheet name="Activity" sheetId="11" r:id="rId1"/>
    <sheet name="Ramjilal" sheetId="1" r:id="rId2"/>
    <sheet name="Payment by " sheetId="21" r:id="rId3"/>
    <sheet name="Amit" sheetId="4" r:id="rId4"/>
    <sheet name="HUDA" sheetId="5" r:id="rId5"/>
    <sheet name="Others" sheetId="6" r:id="rId6"/>
    <sheet name="Kharcha" sheetId="7" r:id="rId7"/>
    <sheet name="Wood" sheetId="8" r:id="rId8"/>
    <sheet name="Plumber" sheetId="10" r:id="rId9"/>
    <sheet name="Bathroom" sheetId="14" r:id="rId10"/>
    <sheet name="AC" sheetId="9" r:id="rId11"/>
    <sheet name="Grill" sheetId="17" r:id="rId12"/>
    <sheet name="Video door calling" sheetId="13" r:id="rId13"/>
    <sheet name="Kitchen" sheetId="15" r:id="rId14"/>
    <sheet name="Cylinder" sheetId="16" r:id="rId15"/>
    <sheet name="Bath &amp; floor Tiles" sheetId="18" r:id="rId16"/>
    <sheet name="Electrical" sheetId="19" r:id="rId17"/>
    <sheet name="POP" sheetId="20" r:id="rId18"/>
  </sheets>
  <definedNames>
    <definedName name="_xlnm._FilterDatabase" localSheetId="0" hidden="1">Activity!$B$2:$C$57</definedName>
    <definedName name="_xlnm._FilterDatabase" localSheetId="17" hidden="1">POP!$A$5:$C$14</definedName>
    <definedName name="_xlnm._FilterDatabase" localSheetId="1" hidden="1">'Payment by '!$A$7:$A$18</definedName>
  </definedNames>
  <calcPr calcId="144525"/>
</workbook>
</file>

<file path=xl/calcChain.xml><?xml version="1.0" encoding="utf-8"?>
<calcChain xmlns="http://schemas.openxmlformats.org/spreadsheetml/2006/main">
  <c r="B111" i="11" l="1"/>
  <c r="B110" i="11"/>
  <c r="B109" i="11"/>
  <c r="B108" i="11"/>
  <c r="B107" i="11"/>
  <c r="G107" i="11"/>
  <c r="B106" i="11"/>
  <c r="B97" i="11"/>
  <c r="E107" i="11"/>
  <c r="D102" i="11"/>
  <c r="B101" i="11"/>
  <c r="B102" i="11" s="1"/>
  <c r="B103" i="11" s="1"/>
  <c r="B104" i="11" s="1"/>
  <c r="B105" i="11" s="1"/>
  <c r="B91" i="11"/>
  <c r="B92" i="11" s="1"/>
  <c r="B94" i="11" s="1"/>
  <c r="B95" i="11" s="1"/>
  <c r="B96" i="11" s="1"/>
  <c r="B98" i="11" s="1"/>
  <c r="B99" i="11" s="1"/>
  <c r="B83" i="11"/>
  <c r="B84" i="11" s="1"/>
  <c r="B85" i="11" s="1"/>
  <c r="B86" i="11" s="1"/>
  <c r="B87" i="11" s="1"/>
  <c r="B88" i="11" s="1"/>
  <c r="B89" i="11" s="1"/>
  <c r="F83" i="11"/>
  <c r="F38" i="1" l="1"/>
  <c r="B58" i="11" l="1"/>
  <c r="B59" i="11" s="1"/>
  <c r="B62" i="1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l="1"/>
  <c r="B75" i="11"/>
  <c r="B76" i="11" s="1"/>
  <c r="D8" i="21"/>
  <c r="D9" i="21"/>
  <c r="D10" i="21"/>
  <c r="C12" i="21"/>
  <c r="D16" i="21"/>
  <c r="D17" i="21"/>
  <c r="B33" i="19"/>
  <c r="B78" i="11" l="1"/>
  <c r="B79" i="11" s="1"/>
  <c r="B80" i="11" s="1"/>
  <c r="B77" i="11"/>
  <c r="R39" i="18"/>
  <c r="F39" i="18" l="1"/>
  <c r="G40" i="18"/>
  <c r="M43" i="18"/>
  <c r="G43" i="18"/>
  <c r="F43" i="18"/>
  <c r="L38" i="18"/>
  <c r="M38" i="18"/>
  <c r="D44" i="14" l="1"/>
  <c r="B28" i="19"/>
  <c r="B22" i="19"/>
  <c r="N9" i="1" l="1"/>
  <c r="Q38" i="18" l="1"/>
  <c r="R38" i="18" s="1"/>
  <c r="F40" i="18"/>
  <c r="B33" i="11"/>
  <c r="B34" i="11"/>
  <c r="B35" i="11" s="1"/>
  <c r="B36" i="11" s="1"/>
  <c r="H30" i="18" l="1"/>
  <c r="H29" i="18"/>
  <c r="H34" i="18" s="1"/>
  <c r="H26" i="18"/>
  <c r="H33" i="18" s="1"/>
  <c r="M9" i="18"/>
  <c r="M10" i="18" s="1"/>
  <c r="G20" i="18"/>
  <c r="L15" i="18"/>
  <c r="L13" i="18"/>
  <c r="M14" i="18"/>
  <c r="L14" i="18" s="1"/>
  <c r="G14" i="18"/>
  <c r="F14" i="18" s="1"/>
  <c r="L7" i="18"/>
  <c r="F8" i="18"/>
  <c r="E19" i="18"/>
  <c r="F19" i="18" s="1"/>
  <c r="F13" i="18"/>
  <c r="G10" i="18"/>
  <c r="G11" i="18" s="1"/>
  <c r="H11" i="18" s="1"/>
  <c r="R16" i="18"/>
  <c r="R17" i="18" s="1"/>
  <c r="Q14" i="18"/>
  <c r="T7" i="18"/>
  <c r="U7" i="18" s="1"/>
  <c r="Q13" i="18"/>
  <c r="Q15" i="18"/>
  <c r="F9" i="18"/>
  <c r="E7" i="18"/>
  <c r="F7" i="18" s="1"/>
  <c r="M16" i="18" l="1"/>
  <c r="G16" i="18"/>
  <c r="G17" i="18" s="1"/>
  <c r="H25" i="18" s="1"/>
  <c r="H27" i="18" s="1"/>
  <c r="H35" i="18" s="1"/>
  <c r="E33" i="1"/>
  <c r="C7" i="21" s="1"/>
  <c r="C18" i="21" s="1"/>
  <c r="F28" i="1"/>
  <c r="E42" i="1" l="1"/>
  <c r="F33" i="1"/>
  <c r="O9" i="1" s="1"/>
  <c r="H11" i="17"/>
  <c r="F11" i="17"/>
  <c r="G11" i="17" s="1"/>
  <c r="F10" i="17"/>
  <c r="G10" i="17" s="1"/>
  <c r="H10" i="17" s="1"/>
  <c r="F9" i="17"/>
  <c r="G9" i="17" s="1"/>
  <c r="H9" i="17" s="1"/>
  <c r="F8" i="17"/>
  <c r="G8" i="17" s="1"/>
  <c r="H8" i="17" s="1"/>
  <c r="F7" i="17"/>
  <c r="K7" i="17" l="1"/>
  <c r="G7" i="17"/>
  <c r="G12" i="17" l="1"/>
  <c r="H7" i="17"/>
  <c r="E13" i="16"/>
  <c r="E16" i="16" s="1"/>
  <c r="E18" i="16" s="1"/>
  <c r="E15" i="16"/>
  <c r="E14" i="16"/>
  <c r="G22" i="13"/>
  <c r="G24" i="13" s="1"/>
  <c r="G21" i="13"/>
  <c r="K8" i="17" l="1"/>
  <c r="K9" i="17" s="1"/>
  <c r="H12" i="17"/>
  <c r="E6" i="16"/>
  <c r="E8" i="16"/>
  <c r="E7" i="16"/>
  <c r="M14" i="14"/>
  <c r="G30" i="14"/>
  <c r="G28" i="14"/>
  <c r="G27" i="14"/>
  <c r="G29" i="14"/>
  <c r="G16" i="14"/>
  <c r="G21" i="14"/>
  <c r="G22" i="14"/>
  <c r="G20" i="14"/>
  <c r="G19" i="14"/>
  <c r="G18" i="14"/>
  <c r="G17" i="14"/>
  <c r="G15" i="14"/>
  <c r="G10" i="14"/>
  <c r="G9" i="14"/>
  <c r="G8" i="14"/>
  <c r="G7" i="14"/>
  <c r="G6" i="14"/>
  <c r="G5" i="14"/>
  <c r="G31" i="14" l="1"/>
  <c r="E9" i="16"/>
  <c r="G11" i="14"/>
  <c r="G23" i="14"/>
  <c r="E28" i="9"/>
  <c r="E27" i="9"/>
  <c r="E25" i="9"/>
  <c r="E24" i="9"/>
  <c r="E22" i="9"/>
  <c r="E20" i="9"/>
  <c r="M9" i="14" l="1"/>
  <c r="F24" i="9"/>
  <c r="F27" i="9"/>
  <c r="E29" i="9"/>
  <c r="F9" i="8"/>
  <c r="F8" i="8"/>
  <c r="F7" i="8"/>
  <c r="P11" i="1" l="1"/>
  <c r="N11" i="1"/>
  <c r="F18" i="1" l="1"/>
  <c r="F27" i="1" l="1"/>
  <c r="C24" i="8" l="1"/>
  <c r="C17" i="8"/>
  <c r="C9" i="8" s="1"/>
  <c r="C8" i="8"/>
  <c r="C10" i="8" l="1"/>
  <c r="F25" i="1"/>
  <c r="E11" i="4"/>
  <c r="F15" i="1" l="1"/>
  <c r="D7" i="21" s="1"/>
  <c r="D18" i="21" s="1"/>
  <c r="D19" i="21" s="1"/>
  <c r="E23" i="7" l="1"/>
  <c r="F12" i="1" l="1"/>
  <c r="C16" i="7" l="1"/>
  <c r="C18" i="7" s="1"/>
  <c r="C7" i="7"/>
  <c r="E29" i="4"/>
  <c r="F8" i="1"/>
  <c r="F5" i="1"/>
  <c r="B7" i="21" l="1"/>
  <c r="F42" i="1"/>
  <c r="C20" i="7"/>
  <c r="C21" i="7" s="1"/>
  <c r="C19" i="7"/>
  <c r="O11" i="1"/>
  <c r="Q11" i="1"/>
  <c r="E9" i="6"/>
  <c r="E9" i="5"/>
  <c r="G41" i="18"/>
</calcChain>
</file>

<file path=xl/comments1.xml><?xml version="1.0" encoding="utf-8"?>
<comments xmlns="http://schemas.openxmlformats.org/spreadsheetml/2006/main">
  <authors>
    <author>Sumit Malik</author>
  </authors>
  <commentList>
    <comment ref="C22" authorId="0">
      <text>
        <r>
          <rPr>
            <b/>
            <sz val="9"/>
            <color indexed="81"/>
            <rFont val="Tahoma"/>
            <charset val="1"/>
          </rPr>
          <t>Sumit Malik:</t>
        </r>
        <r>
          <rPr>
            <sz val="9"/>
            <color indexed="81"/>
            <rFont val="Tahoma"/>
            <charset val="1"/>
          </rPr>
          <t xml:space="preserve">
balance 6k to be paid on final work</t>
        </r>
      </text>
    </comment>
  </commentList>
</comments>
</file>

<file path=xl/comments2.xml><?xml version="1.0" encoding="utf-8"?>
<comments xmlns="http://schemas.openxmlformats.org/spreadsheetml/2006/main">
  <authors>
    <author>Sumit Malik</author>
  </authors>
  <commentList>
    <comment ref="H14" authorId="0">
      <text>
        <r>
          <rPr>
            <b/>
            <sz val="9"/>
            <color indexed="81"/>
            <rFont val="Tahoma"/>
            <family val="2"/>
          </rPr>
          <t>Sumit Malik:</t>
        </r>
        <r>
          <rPr>
            <sz val="9"/>
            <color indexed="81"/>
            <rFont val="Tahoma"/>
            <family val="2"/>
          </rPr>
          <t xml:space="preserve">
Need to check this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Sumit Malik:</t>
        </r>
        <r>
          <rPr>
            <sz val="9"/>
            <color indexed="81"/>
            <rFont val="Tahoma"/>
            <charset val="1"/>
          </rPr>
          <t xml:space="preserve">
 actually paid on 9 feb 16 missed earlier.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Sumit Malik:</t>
        </r>
        <r>
          <rPr>
            <sz val="9"/>
            <color indexed="81"/>
            <rFont val="Tahoma"/>
            <charset val="1"/>
          </rPr>
          <t xml:space="preserve">
 sq fr 650 * 35 = 22750 actually payable adjusted with cement money to be recovered of 3250..balance 500 also to be adjusted from his later payment</t>
        </r>
      </text>
    </comment>
  </commentList>
</comments>
</file>

<file path=xl/comments3.xml><?xml version="1.0" encoding="utf-8"?>
<comments xmlns="http://schemas.openxmlformats.org/spreadsheetml/2006/main">
  <authors>
    <author>Sumit Malik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Sumit Malik:</t>
        </r>
        <r>
          <rPr>
            <sz val="9"/>
            <color indexed="81"/>
            <rFont val="Tahoma"/>
            <family val="2"/>
          </rPr>
          <t xml:space="preserve">
With moulding of Rs 550</t>
        </r>
      </text>
    </comment>
  </commentList>
</comments>
</file>

<file path=xl/sharedStrings.xml><?xml version="1.0" encoding="utf-8"?>
<sst xmlns="http://schemas.openxmlformats.org/spreadsheetml/2006/main" count="747" uniqueCount="425">
  <si>
    <t>Mobilisation advance</t>
  </si>
  <si>
    <t>Paid to Shyam stones</t>
  </si>
  <si>
    <t xml:space="preserve">Paid </t>
  </si>
  <si>
    <t>Amount</t>
  </si>
  <si>
    <t>Status</t>
  </si>
  <si>
    <t>Date of payment</t>
  </si>
  <si>
    <t>Total</t>
  </si>
  <si>
    <t>At submission stage</t>
  </si>
  <si>
    <t>Advance money</t>
  </si>
  <si>
    <t>At DPC stage</t>
  </si>
  <si>
    <t>DPC</t>
  </si>
  <si>
    <t xml:space="preserve">Phase </t>
  </si>
  <si>
    <t>Installment</t>
  </si>
  <si>
    <t>Payments made to Amit (Architect)</t>
  </si>
  <si>
    <t>Payments made to Ramjilal (Contractor)</t>
  </si>
  <si>
    <t>For increased Area</t>
  </si>
  <si>
    <t>Water</t>
  </si>
  <si>
    <t>Electricity</t>
  </si>
  <si>
    <t>Payments made to HUDA (legally)</t>
  </si>
  <si>
    <t>Payments made to Others (Illegally)</t>
  </si>
  <si>
    <t xml:space="preserve">At Plan Submission </t>
  </si>
  <si>
    <t>Demarcation</t>
  </si>
  <si>
    <t>Ground floor slab advance</t>
  </si>
  <si>
    <t>At DPC level1</t>
  </si>
  <si>
    <t>At DPC level2</t>
  </si>
  <si>
    <t>Pending</t>
  </si>
  <si>
    <t>Cummulative</t>
  </si>
  <si>
    <t>Total loan</t>
  </si>
  <si>
    <t>Mom's part in  loan</t>
  </si>
  <si>
    <t>Mom's contribution till now for construction</t>
  </si>
  <si>
    <t>Ramjilal</t>
  </si>
  <si>
    <t>Amit</t>
  </si>
  <si>
    <t>Extra paid by Mom</t>
  </si>
  <si>
    <t>Sunny needs to pay</t>
  </si>
  <si>
    <t>Anshul needs to pay</t>
  </si>
  <si>
    <t>But mom had to pay me 1Lakh, so effective</t>
  </si>
  <si>
    <t>Mom: Already given for plot buying</t>
  </si>
  <si>
    <t>Mom: Contribution reserved for construction</t>
  </si>
  <si>
    <t>Mom: Pending to Anshul</t>
  </si>
  <si>
    <t>Huda (Revised area)</t>
  </si>
  <si>
    <t>Water+Electricity</t>
  </si>
  <si>
    <t>Demarcation (illegal given to amit)</t>
  </si>
  <si>
    <t>DPC (2k illegal to Architect + 4k Illegal to HUDA)</t>
  </si>
  <si>
    <t>4,60</t>
  </si>
  <si>
    <t>2,30</t>
  </si>
  <si>
    <t>1,30</t>
  </si>
  <si>
    <t>Round-off</t>
  </si>
  <si>
    <t>Ground floor slab</t>
  </si>
  <si>
    <t>Ground floor slab - pending</t>
  </si>
  <si>
    <t>My share for ground floor slab pending payment to Ramjilal</t>
  </si>
  <si>
    <t>182000/2</t>
  </si>
  <si>
    <t>So my total outstanding as on 22 June 2015</t>
  </si>
  <si>
    <t>For ground floor slab</t>
  </si>
  <si>
    <t>For first floor slab</t>
  </si>
  <si>
    <t>First floor slab advance</t>
  </si>
  <si>
    <t>Brickwork advance 2</t>
  </si>
  <si>
    <t>Brickwork advance 1</t>
  </si>
  <si>
    <t>Brickwork advance 3</t>
  </si>
  <si>
    <t xml:space="preserve">Second floor slab </t>
  </si>
  <si>
    <t>First floor slab</t>
  </si>
  <si>
    <t>Second floor slab - pending</t>
  </si>
  <si>
    <t>For second floor slab</t>
  </si>
  <si>
    <t>Anshul</t>
  </si>
  <si>
    <t>Sunny</t>
  </si>
  <si>
    <t>Paid by</t>
  </si>
  <si>
    <t>Paid By</t>
  </si>
  <si>
    <t xml:space="preserve">Brickwork </t>
  </si>
  <si>
    <t>Wood Expenses for Chaukhat (bought on 18 Oct 2015)</t>
  </si>
  <si>
    <t>Wood type</t>
  </si>
  <si>
    <t>Sudan Teak</t>
  </si>
  <si>
    <t>Price (Rs per foot)</t>
  </si>
  <si>
    <t>Quantity (in foot)</t>
  </si>
  <si>
    <t>Summary</t>
  </si>
  <si>
    <t>Paid by Ramjilal</t>
  </si>
  <si>
    <t>Paid by us</t>
  </si>
  <si>
    <t>Details of payment</t>
  </si>
  <si>
    <t>As per agreement ramjilal had to pay for Chaap</t>
  </si>
  <si>
    <t>Price for chaap</t>
  </si>
  <si>
    <t>Quanity</t>
  </si>
  <si>
    <t>Total for chaap</t>
  </si>
  <si>
    <t>Details for wood size</t>
  </si>
  <si>
    <t>7 foot pieces</t>
  </si>
  <si>
    <t>8 foot pieces</t>
  </si>
  <si>
    <t>9 foot pieces</t>
  </si>
  <si>
    <t>Wood advance (sunny)</t>
  </si>
  <si>
    <t>Wood advance (Anshul)</t>
  </si>
  <si>
    <t>Watertank + mumty + mumty balcony</t>
  </si>
  <si>
    <t>Final payment</t>
  </si>
  <si>
    <t>Internal Plaster (advance)</t>
  </si>
  <si>
    <t xml:space="preserve">On Dec7 Ramjilal asked for 50k, out of which </t>
  </si>
  <si>
    <t>becomes advance for internal plaster stage.</t>
  </si>
  <si>
    <t>10% total</t>
  </si>
  <si>
    <t>10% after adjusting mobilization adv</t>
  </si>
  <si>
    <t>15% after adjusting mobilization adv</t>
  </si>
  <si>
    <t>15% total</t>
  </si>
  <si>
    <t>Phase 2</t>
  </si>
  <si>
    <t>Dec 7 2015</t>
  </si>
  <si>
    <t>Quotation</t>
  </si>
  <si>
    <t>Copper pipe</t>
  </si>
  <si>
    <t>Item</t>
  </si>
  <si>
    <t>Brand</t>
  </si>
  <si>
    <t>Malaysia</t>
  </si>
  <si>
    <t>Size</t>
  </si>
  <si>
    <t xml:space="preserve">1.5 ton </t>
  </si>
  <si>
    <t>2 ton</t>
  </si>
  <si>
    <t>outlet - 12 mm</t>
  </si>
  <si>
    <t>inlet - 6 mm</t>
  </si>
  <si>
    <t>outlet - 15 mm</t>
  </si>
  <si>
    <t>Power cable</t>
  </si>
  <si>
    <t>National</t>
  </si>
  <si>
    <t>4 core</t>
  </si>
  <si>
    <t>Its Insulation</t>
  </si>
  <si>
    <t>Drain pipe</t>
  </si>
  <si>
    <t>PVC</t>
  </si>
  <si>
    <t>3 mm</t>
  </si>
  <si>
    <t>25 mm</t>
  </si>
  <si>
    <t>Price in Rs</t>
  </si>
  <si>
    <t>if outlet copper pipe is 12mm</t>
  </si>
  <si>
    <t>if outlet copper pipe is 15 mm</t>
  </si>
  <si>
    <t>550/meter</t>
  </si>
  <si>
    <t>580/meter</t>
  </si>
  <si>
    <t>80/meter</t>
  </si>
  <si>
    <t>for drain pipe</t>
  </si>
  <si>
    <t>Ground floor</t>
  </si>
  <si>
    <t>Price/meter</t>
  </si>
  <si>
    <t>Quantity in meters</t>
  </si>
  <si>
    <t>Charges</t>
  </si>
  <si>
    <t>Everything else</t>
  </si>
  <si>
    <t>First floor</t>
  </si>
  <si>
    <t>Second floor</t>
  </si>
  <si>
    <t>Charges Per floor</t>
  </si>
  <si>
    <t>Actual Price</t>
  </si>
  <si>
    <t>10k completes brick work payment and 40k</t>
  </si>
  <si>
    <t>A/C work done by Lyk on Dec 19 and 20</t>
  </si>
  <si>
    <t>Dates</t>
  </si>
  <si>
    <t>Paid 25k (first of three installments) to Prem by Anshul</t>
  </si>
  <si>
    <t>Paid 41k to Lyk for A/C work by Anshul</t>
  </si>
  <si>
    <t>Comments</t>
  </si>
  <si>
    <t>Paid 5k to Virender for video door calling by Mom</t>
  </si>
  <si>
    <t>Items</t>
  </si>
  <si>
    <t>Unit</t>
  </si>
  <si>
    <t>Outdoor unit</t>
  </si>
  <si>
    <t>Indoor unit</t>
  </si>
  <si>
    <t>screen 4 inch</t>
  </si>
  <si>
    <t>screen 7 inch</t>
  </si>
  <si>
    <t>Lock + power supply</t>
  </si>
  <si>
    <t>Cable</t>
  </si>
  <si>
    <t>Labour</t>
  </si>
  <si>
    <t>Cost</t>
  </si>
  <si>
    <t>Type</t>
  </si>
  <si>
    <t>Subtype</t>
  </si>
  <si>
    <t>20 Rs per foot</t>
  </si>
  <si>
    <t>CP Plus</t>
  </si>
  <si>
    <t>Dlink</t>
  </si>
  <si>
    <t xml:space="preserve">Cat6 </t>
  </si>
  <si>
    <t>Actual</t>
  </si>
  <si>
    <t>Length</t>
  </si>
  <si>
    <t>70 feet</t>
  </si>
  <si>
    <t>Video Door Calling work done by Veerender on 20th Jan 2016</t>
  </si>
  <si>
    <t>Paid 5k token money to Raem kitchens by Sunny</t>
  </si>
  <si>
    <t>Paid 50k to Spacewood kitchens by Sunny</t>
  </si>
  <si>
    <t>Paid 5k token money to Spacewood kitchens by Sunny</t>
  </si>
  <si>
    <t>Purpose</t>
  </si>
  <si>
    <t>Quantity</t>
  </si>
  <si>
    <t>WC</t>
  </si>
  <si>
    <t>Jaguar</t>
  </si>
  <si>
    <t>Cistern</t>
  </si>
  <si>
    <t>Kohler</t>
  </si>
  <si>
    <t>Grohe</t>
  </si>
  <si>
    <t>Diverter (inner part)</t>
  </si>
  <si>
    <t>Mutha Bracket</t>
  </si>
  <si>
    <t>Out bathroom</t>
  </si>
  <si>
    <t>In bathroom</t>
  </si>
  <si>
    <t>Price/piece</t>
  </si>
  <si>
    <t>Total Cost</t>
  </si>
  <si>
    <t>Bought on</t>
  </si>
  <si>
    <t>Aquavit</t>
  </si>
  <si>
    <t>Basin mix Diverter (inner part)</t>
  </si>
  <si>
    <t>Both</t>
  </si>
  <si>
    <t>Ground Floor (Sunny)</t>
  </si>
  <si>
    <t>First Floor (Anshul)</t>
  </si>
  <si>
    <t>Second Floor (Mom)</t>
  </si>
  <si>
    <t>Mom</t>
  </si>
  <si>
    <t>Copper Pipe</t>
  </si>
  <si>
    <t>Paid 20k advance for Aquavit WC + tanki and related equipments by Mom</t>
  </si>
  <si>
    <t>Price per feet</t>
  </si>
  <si>
    <t>Nozzle</t>
  </si>
  <si>
    <t xml:space="preserve">Paid 5200 for Gas cylinder pipeline connection </t>
  </si>
  <si>
    <t>Paid 50k to Ramjilal for advance for Plaster</t>
  </si>
  <si>
    <t>Internal Plaster (advance 2)</t>
  </si>
  <si>
    <t>90 Rs per meter</t>
  </si>
  <si>
    <t>Discount</t>
  </si>
  <si>
    <t>Final</t>
  </si>
  <si>
    <t>Jhiri katna</t>
  </si>
  <si>
    <t>30 feet</t>
  </si>
  <si>
    <t>21.5 feet</t>
  </si>
  <si>
    <t>Inaam</t>
  </si>
  <si>
    <t>Final Total</t>
  </si>
  <si>
    <t>Cyliner fitting work done by Shoufeeq Khan on 30th Jan 2016</t>
  </si>
  <si>
    <t>Paid 22k to Prem for tanki work by Anshul</t>
  </si>
  <si>
    <t>Internal Plaster</t>
  </si>
  <si>
    <t>Paid 1.5L to Ramjilal for internal plaster advance by Sunny</t>
  </si>
  <si>
    <t>Paid 50k to ramjilal for advance for Plaster by Anshul</t>
  </si>
  <si>
    <t>Paid 20k to Grill wala as advance</t>
  </si>
  <si>
    <t>Paid 20k more to Grill waala</t>
  </si>
  <si>
    <t>Grill work done by Bittoo on March 20</t>
  </si>
  <si>
    <t>Ground Floor</t>
  </si>
  <si>
    <t>Price/foot</t>
  </si>
  <si>
    <t>Running length (in feet)</t>
  </si>
  <si>
    <t>Height (in feet)</t>
  </si>
  <si>
    <t>Total feets</t>
  </si>
  <si>
    <t>Total price</t>
  </si>
  <si>
    <t>Lock (in gate)</t>
  </si>
  <si>
    <t>Gate (Mumty)</t>
  </si>
  <si>
    <t>Total price after discount</t>
  </si>
  <si>
    <t>Paid 25k as POP advance to Anand by Sunny</t>
  </si>
  <si>
    <t>Paid 50k to Ramjilal for mumty by Sunny</t>
  </si>
  <si>
    <r>
      <t>Paid 1.5L to Ramjilal for internal plaster</t>
    </r>
    <r>
      <rPr>
        <sz val="11"/>
        <color rgb="FFFF0000"/>
        <rFont val="Calibri"/>
        <family val="2"/>
        <scheme val="minor"/>
      </rPr>
      <t xml:space="preserve"> 50k Anshul + 1L sunny</t>
    </r>
  </si>
  <si>
    <t>Outer Plaster - 1</t>
  </si>
  <si>
    <t>Outer Plaster - 2</t>
  </si>
  <si>
    <t xml:space="preserve">On April 9 Ramjilal asked for 1.50L, out of which </t>
  </si>
  <si>
    <t>14k completes Internal plaster payment and 1.36</t>
  </si>
  <si>
    <t>becomes advance for outer plaster stage.</t>
  </si>
  <si>
    <t>Paid 20k as POP advance to Anand by Sunny</t>
  </si>
  <si>
    <t>Paid 5k as POP advance to Anand by Sunny</t>
  </si>
  <si>
    <t>Paid 50k to Ramjilal for plaster by Sunny</t>
  </si>
  <si>
    <t xml:space="preserve">Paid 15.5k plus 15.3k (Total 30.8k) for cement and dust respectively for own purchase </t>
  </si>
  <si>
    <t>Bathroom and floor tiles</t>
  </si>
  <si>
    <t>Actual paid</t>
  </si>
  <si>
    <t>First Floor</t>
  </si>
  <si>
    <t>Second Floor</t>
  </si>
  <si>
    <t>Bathroom (of master BR)</t>
  </si>
  <si>
    <t>Bathroom (common)</t>
  </si>
  <si>
    <t>Highlighter</t>
  </si>
  <si>
    <t>Pearl white</t>
  </si>
  <si>
    <t>White and black</t>
  </si>
  <si>
    <t>Sandy Grey dark</t>
  </si>
  <si>
    <t>Silver mosaic</t>
  </si>
  <si>
    <t>White</t>
  </si>
  <si>
    <t>Black and silver</t>
  </si>
  <si>
    <t>Brown</t>
  </si>
  <si>
    <t>Spenza</t>
  </si>
  <si>
    <t>Khandelwal</t>
  </si>
  <si>
    <t>MLS</t>
  </si>
  <si>
    <t>Golden quatro</t>
  </si>
  <si>
    <t>Kitchen</t>
  </si>
  <si>
    <t>Floor</t>
  </si>
  <si>
    <t>Base wall Tile</t>
  </si>
  <si>
    <t>Designer</t>
  </si>
  <si>
    <t>Rate per sq ft</t>
  </si>
  <si>
    <t>Shop</t>
  </si>
  <si>
    <t>Electrical fittings and Labour</t>
  </si>
  <si>
    <t>Electrical items</t>
  </si>
  <si>
    <t>Wires</t>
  </si>
  <si>
    <t>Paid 20k to Harjinder for Electrical labour charges by Sunny - refer sheet electricals</t>
  </si>
  <si>
    <t>POP and false ceiling</t>
  </si>
  <si>
    <t>Agreement with Anand/ Chain singh with material</t>
  </si>
  <si>
    <t>Paid 5k as POP advance to Anand</t>
  </si>
  <si>
    <t>Paid 20k as POP advance to Anand</t>
  </si>
  <si>
    <t xml:space="preserve">Paid 25k as POP advance to Anand </t>
  </si>
  <si>
    <t>Paid 25k as POP advance to Anand</t>
  </si>
  <si>
    <t>Date</t>
  </si>
  <si>
    <t>Description</t>
  </si>
  <si>
    <t>Slate neo</t>
  </si>
  <si>
    <t>Braccia brn</t>
  </si>
  <si>
    <t>Onax beige</t>
  </si>
  <si>
    <t>Total Sq fts</t>
  </si>
  <si>
    <t>with tax</t>
  </si>
  <si>
    <t>With tax</t>
  </si>
  <si>
    <t>Paid 72k to Spenza by Sunny- for details refer sheet bath and floor tiles</t>
  </si>
  <si>
    <t>Paid 21.8k to Khandelwal by Anshul- for details refer sheet bath and floor tiles</t>
  </si>
  <si>
    <t>Spenza bill</t>
  </si>
  <si>
    <t xml:space="preserve">Total paid to Spenza as per above </t>
  </si>
  <si>
    <t xml:space="preserve">Total paid to khandelwal as per above </t>
  </si>
  <si>
    <t>Supporting</t>
  </si>
  <si>
    <t>Diff</t>
  </si>
  <si>
    <t>copy on maliks</t>
  </si>
  <si>
    <t>Khand bill</t>
  </si>
  <si>
    <t>Paid 73.4k for wires purchase (electrical fittings) by Sunny - refer sheet electricals</t>
  </si>
  <si>
    <t>Paid 3k to Satish for pest control by Sunny</t>
  </si>
  <si>
    <t>Paid 15.5k plus 15.3k (Total 30.8k) for cement and dust respectively by Sunny</t>
  </si>
  <si>
    <t xml:space="preserve">Paid 17k to Spenza for White onex flooring tiles GF </t>
  </si>
  <si>
    <t>Paid 11400 to Rainbow for Dyna flooring tiles GF</t>
  </si>
  <si>
    <t>Paid 1k to Ceramica tiles, iffco for 2 pcs Satvario flooring tiles GF</t>
  </si>
  <si>
    <t>White onex</t>
  </si>
  <si>
    <t>Bedrooms</t>
  </si>
  <si>
    <t>Rainbow</t>
  </si>
  <si>
    <t>Ceramics Iffco</t>
  </si>
  <si>
    <t>satvario</t>
  </si>
  <si>
    <t>dyna</t>
  </si>
  <si>
    <t>Mummy</t>
  </si>
  <si>
    <t>sunny/anshul</t>
  </si>
  <si>
    <t>Sanitary fittings</t>
  </si>
  <si>
    <t>Tiles</t>
  </si>
  <si>
    <t>Electrician</t>
  </si>
  <si>
    <t>POP</t>
  </si>
  <si>
    <t>A/c</t>
  </si>
  <si>
    <t>Paid to Chain singh  25Kfor POP by Anshul</t>
  </si>
  <si>
    <t>Paid 20k to Harjinder by Anshul</t>
  </si>
  <si>
    <t>Paid 1 L to ramjilal by Anshul</t>
  </si>
  <si>
    <t xml:space="preserve">Outer Plaster - 4 </t>
  </si>
  <si>
    <t>Outer Plaster - 3</t>
  </si>
  <si>
    <t>Paid 30k to Chain singh for PoP (25k by Anshul + 5k by Papa)</t>
  </si>
  <si>
    <t>Outer Plaster - 5</t>
  </si>
  <si>
    <t>Open area construction - 1</t>
  </si>
  <si>
    <t>Open area construction - 2</t>
  </si>
  <si>
    <t>PCC for first floor (to be borne by Anshul)</t>
  </si>
  <si>
    <t>Paid 70 k to Ramjilal by Anshul (including PCC of first floor)</t>
  </si>
  <si>
    <t>Paid 6.5k to Mehan (chowkidaar) balance pymt for May by Sunny</t>
  </si>
  <si>
    <t>Paid 30k as POP advance to Anand</t>
  </si>
  <si>
    <t>Paid 10k as POP advance to Anand</t>
  </si>
  <si>
    <t>Paid to Chain Singh (Till date - Rs. 1.90 lakhs paid to him) - details refer POP sheet</t>
  </si>
  <si>
    <t>Paid 10k to Mukesh for Tile work by Sunny</t>
  </si>
  <si>
    <t>Paid 25k to Mukesh for advance for tile fixing work by Sunny - refer sheet bath and floor tiles</t>
  </si>
  <si>
    <t xml:space="preserve">Paid 25k to Mukesh for advance for tile fixing work </t>
  </si>
  <si>
    <t xml:space="preserve">Total   </t>
  </si>
  <si>
    <t>Total entries in activity sheet for the above expenses</t>
  </si>
  <si>
    <t>Paid 12.4k for electrical works by Sunny - refer electrical sheet for details</t>
  </si>
  <si>
    <t>Paid 9k for wiring and pipes by Sunny - refer electricity sheet for bill wise details</t>
  </si>
  <si>
    <t>All paid by Sunny</t>
  </si>
  <si>
    <t>Anshul share</t>
  </si>
  <si>
    <t>Sunny share</t>
  </si>
  <si>
    <t>Angle walls and other misc items purchased etc</t>
  </si>
  <si>
    <t>Total paid by Sunny</t>
  </si>
  <si>
    <t>16 angle wall</t>
  </si>
  <si>
    <t>3 angle wall jaguar</t>
  </si>
  <si>
    <t>1 angle wall local</t>
  </si>
  <si>
    <t xml:space="preserve">10 extn nip 1 inch </t>
  </si>
  <si>
    <t>25 extn nip 1.5 inch</t>
  </si>
  <si>
    <t>6 extn nip 2 inch</t>
  </si>
  <si>
    <t>6 extn nip 2.5 inch</t>
  </si>
  <si>
    <t>17 cpc caps</t>
  </si>
  <si>
    <t>Paid 23.4 k for frontier water tanks by Sunny</t>
  </si>
  <si>
    <t>Prem Plumber</t>
  </si>
  <si>
    <t xml:space="preserve">Kitchens </t>
  </si>
  <si>
    <t>Bill date</t>
  </si>
  <si>
    <t>Marble - Buttachino Crema</t>
  </si>
  <si>
    <t>Galaxy, Chattarpur</t>
  </si>
  <si>
    <t>De martino</t>
  </si>
  <si>
    <t>Swastik</t>
  </si>
  <si>
    <t>paid by Sunny</t>
  </si>
  <si>
    <t>Granite (common)</t>
  </si>
  <si>
    <t>Paid by Sunny</t>
  </si>
  <si>
    <t>75k</t>
  </si>
  <si>
    <t>anshul</t>
  </si>
  <si>
    <t xml:space="preserve">115k </t>
  </si>
  <si>
    <t>Chowkidaar</t>
  </si>
  <si>
    <t>Paid 15k to Mushtaq for waterproofing for 5 bathrooms by Sunny</t>
  </si>
  <si>
    <t>Grand Total</t>
  </si>
  <si>
    <t>Granite</t>
  </si>
  <si>
    <t>Earthing</t>
  </si>
  <si>
    <t>Material</t>
  </si>
  <si>
    <t>Paid 7.5k for earthing with material by Sunny</t>
  </si>
  <si>
    <t>Paid 50k to Ramjilal by Sunny</t>
  </si>
  <si>
    <t>Paid 10.5k to Mehan (chowkidaar) by Sunny</t>
  </si>
  <si>
    <t>Paid 1.41k to Swastik Marbles as advance by Sunny for Granite plus Italian</t>
  </si>
  <si>
    <t>Paid 40k to Swastik Marbles as advance by Sunny for Granite plus Italian</t>
  </si>
  <si>
    <t>Paid 10k to Swastik Marbles as advance by Sunny for Granite plus Italian</t>
  </si>
  <si>
    <t>Paid 1.8k for rough POP (30 bags) by Sunny</t>
  </si>
  <si>
    <t>Paid 30k to Mushtaq by Sunny for waterproofing</t>
  </si>
  <si>
    <t>Paid 15.7k for cement (50 bags) by Sunny</t>
  </si>
  <si>
    <t xml:space="preserve">Paid 12.2k to Pipes and tapes by Sunny for angle walls for bathrooms </t>
  </si>
  <si>
    <t>Paid 1.8k for water bill by Sunny</t>
  </si>
  <si>
    <t>Paid 2.5k to chowkidar by Sunny</t>
  </si>
  <si>
    <t>Waterproofing, watertanks, pest control, earthing &amp; Misc</t>
  </si>
  <si>
    <t>Excess paid by Sunny</t>
  </si>
  <si>
    <t>PAID BY</t>
  </si>
  <si>
    <t>Details of money paid by Anshul/ Sunny as on 13 July 16</t>
  </si>
  <si>
    <t>Paid Rs 500 to Mehan chowkidar by Sunny</t>
  </si>
  <si>
    <t>Paid Rs 2.9k for electric pipes (underground) by Sunny</t>
  </si>
  <si>
    <t>Paid Rs 1.2k for water bill by Sunny</t>
  </si>
  <si>
    <t>Paid Rs 4.4k for ground floor flooring by Sunny</t>
  </si>
  <si>
    <t>Paid Rs 5k to chain singh and Rs 10k to Amit by Anshul</t>
  </si>
  <si>
    <t>Paid 3k to Mukesh and 1k to Satish by Sunny</t>
  </si>
  <si>
    <t>Paid Rs 0.6k for waterproofing material by Sunny</t>
  </si>
  <si>
    <t>Paid Rs 1.8k for LED lights Phillips from Iffco chowk by Sunny</t>
  </si>
  <si>
    <t>Paid Rs 1.2 k for Phillips LED lights by Sunny</t>
  </si>
  <si>
    <t>Paid Rs 1.2k for LED lights Syska and Pix by Sunny</t>
  </si>
  <si>
    <t>Paid Rs 1k for Phillips LED light by Sunny</t>
  </si>
  <si>
    <t>Paid Rs 2.3k commercial tiles by Sunny</t>
  </si>
  <si>
    <t>Paid Rs 0.8k for Syska LED light by Sunny</t>
  </si>
  <si>
    <t>Paid Rs 0.5k for waterproofing material by Sunny</t>
  </si>
  <si>
    <t>Paid Rs 15.5k for Dust by Sunny</t>
  </si>
  <si>
    <t>Paid Rs 1.6k Philiips 15w by Sunny</t>
  </si>
  <si>
    <t>Paid Rs 30k to chain singh by Anshul</t>
  </si>
  <si>
    <t>Paid Rs 40k to Mukesh by Anshul</t>
  </si>
  <si>
    <t>Paid Rs 8k for Geyser of first floor by Anshul</t>
  </si>
  <si>
    <t>Paid 9k for Paint material by Anshul</t>
  </si>
  <si>
    <t>Open area construction - 3</t>
  </si>
  <si>
    <t>Paid Rs 50k to Ramjilal by Sunny</t>
  </si>
  <si>
    <t>grout</t>
  </si>
  <si>
    <t>gudmala</t>
  </si>
  <si>
    <t>bulb holder</t>
  </si>
  <si>
    <t>20 mtr wire</t>
  </si>
  <si>
    <t>Paid Rs 4.3k for Motor and Rs 4k for commercial tiles and 0.5k for electrical items by Sunny</t>
  </si>
  <si>
    <t>Paid Rs 15.75k for cement by Anshul</t>
  </si>
  <si>
    <t>Paid to Adhunik Marbles Rs 37500 for Granite by Sunny for GF front and back</t>
  </si>
  <si>
    <t>Paid to Mukesh Rs 10k by Anshul</t>
  </si>
  <si>
    <t>Paid Rs 2.7k for commercial tiles by Sunny</t>
  </si>
  <si>
    <t>Paid Rs 2.9k to Khandelwal tiles (6boxes) for FF by Anshul</t>
  </si>
  <si>
    <t>Paid Rs 0.3k white cement and black grout for GF bathroom by Sunny</t>
  </si>
  <si>
    <t>Paid Rs 12k to Chain singh by Anshul</t>
  </si>
  <si>
    <t>Paid Rs 15k to Amit by Sunny</t>
  </si>
  <si>
    <t>Paid Rs 50k to Mukesh by Anshul</t>
  </si>
  <si>
    <t>Paid Rs 25k to Mukesh and 9k to Mehan by Sunny</t>
  </si>
  <si>
    <t>Paid Rs 50k to Ramjilal by Anshul</t>
  </si>
  <si>
    <t>Paid Rs 5k to Chain singh by Sunny</t>
  </si>
  <si>
    <t>Paid Rs 10k to Chain singh by Sunny</t>
  </si>
  <si>
    <t>Paid 12k for FF kitchen tiles and 8 pieces from khandelwal for 0.4k by Anshul</t>
  </si>
  <si>
    <t>Paid Rs 26.5k from bath selection for FF balcony tiles by Anshul</t>
  </si>
  <si>
    <t>Paid Rs 1.5k for Regmark by Sunny</t>
  </si>
  <si>
    <t>Paid Rs 7.2k for GF kids BR wooden tiles by Sunny</t>
  </si>
  <si>
    <t>Paid Rs 54k for Flush door to Mittal by Sunny</t>
  </si>
  <si>
    <t>Paid Rs 16.3k for Mica by Anshul for Moms doors</t>
  </si>
  <si>
    <t>Paid Rs 19k for paint items by Sunny</t>
  </si>
  <si>
    <t>Paid Rs 0.6k for paint items by Sunny</t>
  </si>
  <si>
    <t>Paid Rs 26k (12k Anshul + 14k Sunny) for Granite paid respectively</t>
  </si>
  <si>
    <t xml:space="preserve">Paid Rs 6.5k for paint and door items by </t>
  </si>
  <si>
    <t>Paid Rs 21.7k for electricity bill by Sunny</t>
  </si>
  <si>
    <t>Paid Rs 2.3k for electricity and water bill by Sunny</t>
  </si>
  <si>
    <t>Paid Rs 5.5k for FF kitchen tiles by Bath selection by Anshul</t>
  </si>
  <si>
    <t>Paid Rs 11.8k for paint items by Anshul</t>
  </si>
  <si>
    <t>Paid Rs 1.08k by Anshul and 1.08 by Sunny for HUDA FAR increase</t>
  </si>
  <si>
    <t>Paid Rs 5k to Mehan by Sunny and 4k by Anshul</t>
  </si>
  <si>
    <t>Paid Rs 20k to HUDA outstanding arrears to HUDA by 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</si>
</sst>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7">
    <xf numFmtId="0" fontId="0" fillId="0" borderId="0" xfId="0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65" fontId="0" fillId="0" borderId="7" xfId="1" applyNumberFormat="1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15" fontId="0" fillId="0" borderId="6" xfId="0" applyNumberForma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6" xfId="0" applyBorder="1" applyAlignment="1">
      <alignment horizontal="left"/>
    </xf>
    <xf numFmtId="15" fontId="0" fillId="0" borderId="6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5" fontId="1" fillId="0" borderId="6" xfId="1" applyNumberFormat="1" applyFont="1" applyBorder="1" applyAlignment="1">
      <alignment horizontal="center"/>
    </xf>
    <xf numFmtId="0" fontId="2" fillId="0" borderId="2" xfId="0" applyFont="1" applyBorder="1"/>
    <xf numFmtId="0" fontId="0" fillId="0" borderId="5" xfId="0" applyBorder="1"/>
    <xf numFmtId="165" fontId="0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/>
    </xf>
    <xf numFmtId="15" fontId="0" fillId="0" borderId="5" xfId="0" applyNumberFormat="1" applyFont="1" applyBorder="1" applyAlignment="1">
      <alignment horizontal="center"/>
    </xf>
    <xf numFmtId="165" fontId="1" fillId="0" borderId="5" xfId="1" applyNumberFormat="1" applyFont="1" applyBorder="1" applyAlignment="1">
      <alignment horizontal="center"/>
    </xf>
    <xf numFmtId="15" fontId="0" fillId="0" borderId="1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5" fontId="0" fillId="0" borderId="12" xfId="0" applyNumberFormat="1" applyFont="1" applyBorder="1" applyAlignment="1">
      <alignment horizontal="center"/>
    </xf>
    <xf numFmtId="15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8" xfId="0" applyBorder="1"/>
    <xf numFmtId="0" fontId="0" fillId="2" borderId="5" xfId="0" applyFill="1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3" fontId="0" fillId="0" borderId="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1" xfId="0" applyFill="1" applyBorder="1"/>
    <xf numFmtId="0" fontId="0" fillId="0" borderId="6" xfId="0" applyFill="1" applyBorder="1"/>
    <xf numFmtId="15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5" fontId="0" fillId="0" borderId="0" xfId="1" applyNumberFormat="1" applyFont="1" applyAlignment="1"/>
    <xf numFmtId="165" fontId="2" fillId="0" borderId="1" xfId="1" applyNumberFormat="1" applyFont="1" applyBorder="1" applyAlignment="1"/>
    <xf numFmtId="15" fontId="0" fillId="0" borderId="9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4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7" xfId="0" applyFont="1" applyBorder="1"/>
    <xf numFmtId="0" fontId="0" fillId="0" borderId="15" xfId="0" applyBorder="1"/>
    <xf numFmtId="0" fontId="0" fillId="2" borderId="15" xfId="0" applyFill="1" applyBorder="1" applyAlignment="1">
      <alignment horizontal="center"/>
    </xf>
    <xf numFmtId="165" fontId="0" fillId="2" borderId="7" xfId="0" applyNumberFormat="1" applyFill="1" applyBorder="1" applyAlignment="1">
      <alignment wrapText="1"/>
    </xf>
    <xf numFmtId="164" fontId="0" fillId="2" borderId="9" xfId="0" applyNumberForma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0" xfId="0" applyBorder="1"/>
    <xf numFmtId="0" fontId="0" fillId="0" borderId="9" xfId="0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9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 vertical="center"/>
    </xf>
    <xf numFmtId="15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ont="1" applyFill="1" applyBorder="1"/>
    <xf numFmtId="16" fontId="0" fillId="0" borderId="6" xfId="0" applyNumberFormat="1" applyFill="1" applyBorder="1" applyAlignment="1">
      <alignment horizontal="center"/>
    </xf>
    <xf numFmtId="0" fontId="2" fillId="0" borderId="0" xfId="0" applyFont="1" applyBorder="1"/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/>
    <xf numFmtId="0" fontId="2" fillId="2" borderId="15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wrapText="1"/>
    </xf>
    <xf numFmtId="0" fontId="0" fillId="0" borderId="15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18" xfId="0" applyFont="1" applyBorder="1" applyAlignment="1">
      <alignment horizontal="center" wrapText="1"/>
    </xf>
    <xf numFmtId="0" fontId="0" fillId="0" borderId="15" xfId="0" applyFont="1" applyFill="1" applyBorder="1" applyAlignment="1">
      <alignment horizontal="center" wrapText="1"/>
    </xf>
    <xf numFmtId="0" fontId="0" fillId="2" borderId="15" xfId="0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0" fontId="0" fillId="0" borderId="24" xfId="0" applyBorder="1"/>
    <xf numFmtId="0" fontId="0" fillId="0" borderId="24" xfId="0" applyFill="1" applyBorder="1"/>
    <xf numFmtId="16" fontId="0" fillId="0" borderId="20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2" fillId="0" borderId="7" xfId="0" applyFont="1" applyBorder="1"/>
    <xf numFmtId="165" fontId="0" fillId="0" borderId="7" xfId="1" applyNumberFormat="1" applyFont="1" applyBorder="1" applyAlignment="1"/>
    <xf numFmtId="0" fontId="0" fillId="0" borderId="14" xfId="0" applyBorder="1" applyAlignment="1">
      <alignment horizontal="center"/>
    </xf>
    <xf numFmtId="0" fontId="0" fillId="0" borderId="15" xfId="0" applyFill="1" applyBorder="1"/>
    <xf numFmtId="16" fontId="0" fillId="2" borderId="15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26" xfId="0" applyFill="1" applyBorder="1"/>
    <xf numFmtId="0" fontId="4" fillId="0" borderId="0" xfId="0" applyFont="1"/>
    <xf numFmtId="165" fontId="0" fillId="0" borderId="0" xfId="1" applyNumberFormat="1" applyFont="1"/>
    <xf numFmtId="165" fontId="2" fillId="0" borderId="0" xfId="1" applyNumberFormat="1" applyFont="1"/>
    <xf numFmtId="0" fontId="0" fillId="2" borderId="0" xfId="0" applyFill="1"/>
    <xf numFmtId="0" fontId="2" fillId="0" borderId="15" xfId="0" applyFont="1" applyBorder="1"/>
    <xf numFmtId="165" fontId="0" fillId="0" borderId="0" xfId="0" applyNumberFormat="1"/>
    <xf numFmtId="165" fontId="2" fillId="2" borderId="0" xfId="1" applyNumberFormat="1" applyFont="1" applyFill="1"/>
    <xf numFmtId="0" fontId="0" fillId="0" borderId="0" xfId="0" applyFill="1"/>
    <xf numFmtId="165" fontId="0" fillId="2" borderId="0" xfId="1" applyNumberFormat="1" applyFont="1" applyFill="1"/>
    <xf numFmtId="165" fontId="2" fillId="0" borderId="0" xfId="0" applyNumberFormat="1" applyFont="1"/>
    <xf numFmtId="165" fontId="0" fillId="4" borderId="0" xfId="1" applyNumberFormat="1" applyFont="1" applyFill="1"/>
    <xf numFmtId="165" fontId="0" fillId="0" borderId="0" xfId="0" applyNumberFormat="1" applyAlignment="1">
      <alignment wrapText="1"/>
    </xf>
    <xf numFmtId="165" fontId="0" fillId="5" borderId="6" xfId="1" applyNumberFormat="1" applyFont="1" applyFill="1" applyBorder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5" fontId="0" fillId="5" borderId="7" xfId="1" applyNumberFormat="1" applyFont="1" applyFill="1" applyBorder="1" applyAlignment="1">
      <alignment horizontal="center"/>
    </xf>
    <xf numFmtId="165" fontId="0" fillId="5" borderId="5" xfId="1" applyNumberFormat="1" applyFont="1" applyFill="1" applyBorder="1" applyAlignment="1">
      <alignment horizontal="center"/>
    </xf>
    <xf numFmtId="165" fontId="1" fillId="5" borderId="6" xfId="1" applyNumberFormat="1" applyFont="1" applyFill="1" applyBorder="1" applyAlignment="1">
      <alignment horizontal="center"/>
    </xf>
    <xf numFmtId="165" fontId="0" fillId="4" borderId="6" xfId="1" applyNumberFormat="1" applyFont="1" applyFill="1" applyBorder="1" applyAlignment="1">
      <alignment horizontal="center"/>
    </xf>
    <xf numFmtId="165" fontId="0" fillId="4" borderId="5" xfId="1" applyNumberFormat="1" applyFont="1" applyFill="1" applyBorder="1" applyAlignment="1">
      <alignment horizontal="center"/>
    </xf>
    <xf numFmtId="165" fontId="0" fillId="4" borderId="7" xfId="1" applyNumberFormat="1" applyFont="1" applyFill="1" applyBorder="1" applyAlignment="1">
      <alignment horizontal="center"/>
    </xf>
    <xf numFmtId="165" fontId="1" fillId="4" borderId="6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16" fontId="0" fillId="6" borderId="15" xfId="0" applyNumberFormat="1" applyFill="1" applyBorder="1" applyAlignment="1">
      <alignment horizontal="center"/>
    </xf>
    <xf numFmtId="0" fontId="0" fillId="6" borderId="15" xfId="0" applyFill="1" applyBorder="1"/>
    <xf numFmtId="0" fontId="7" fillId="0" borderId="6" xfId="0" applyFont="1" applyFill="1" applyBorder="1"/>
    <xf numFmtId="0" fontId="7" fillId="0" borderId="6" xfId="0" applyFont="1" applyFill="1" applyBorder="1" applyAlignment="1">
      <alignment horizontal="center"/>
    </xf>
    <xf numFmtId="16" fontId="0" fillId="0" borderId="23" xfId="0" applyNumberFormat="1" applyBorder="1" applyAlignment="1">
      <alignment horizontal="center"/>
    </xf>
    <xf numFmtId="16" fontId="7" fillId="0" borderId="20" xfId="0" applyNumberFormat="1" applyFont="1" applyFill="1" applyBorder="1" applyAlignment="1">
      <alignment horizontal="center"/>
    </xf>
    <xf numFmtId="16" fontId="7" fillId="0" borderId="21" xfId="0" applyNumberFormat="1" applyFont="1" applyFill="1" applyBorder="1" applyAlignment="1">
      <alignment horizontal="center"/>
    </xf>
    <xf numFmtId="165" fontId="0" fillId="4" borderId="27" xfId="1" applyNumberFormat="1" applyFont="1" applyFill="1" applyBorder="1" applyAlignment="1">
      <alignment horizontal="center"/>
    </xf>
    <xf numFmtId="165" fontId="0" fillId="5" borderId="26" xfId="1" applyNumberFormat="1" applyFont="1" applyFill="1" applyBorder="1" applyAlignment="1">
      <alignment horizontal="center"/>
    </xf>
    <xf numFmtId="165" fontId="7" fillId="0" borderId="26" xfId="1" applyNumberFormat="1" applyFont="1" applyFill="1" applyBorder="1" applyAlignment="1">
      <alignment horizontal="center"/>
    </xf>
    <xf numFmtId="0" fontId="0" fillId="0" borderId="23" xfId="0" applyFont="1" applyFill="1" applyBorder="1"/>
    <xf numFmtId="0" fontId="0" fillId="0" borderId="20" xfId="0" applyFont="1" applyFill="1" applyBorder="1"/>
    <xf numFmtId="0" fontId="7" fillId="0" borderId="20" xfId="0" applyFont="1" applyFill="1" applyBorder="1"/>
    <xf numFmtId="0" fontId="7" fillId="0" borderId="21" xfId="0" applyFont="1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29" xfId="0" applyFont="1" applyFill="1" applyBorder="1"/>
    <xf numFmtId="16" fontId="0" fillId="0" borderId="0" xfId="0" applyNumberFormat="1"/>
    <xf numFmtId="165" fontId="7" fillId="0" borderId="30" xfId="1" applyNumberFormat="1" applyFont="1" applyFill="1" applyBorder="1" applyAlignment="1">
      <alignment horizontal="center"/>
    </xf>
    <xf numFmtId="16" fontId="7" fillId="0" borderId="22" xfId="0" applyNumberFormat="1" applyFont="1" applyFill="1" applyBorder="1" applyAlignment="1">
      <alignment horizontal="center"/>
    </xf>
    <xf numFmtId="0" fontId="7" fillId="0" borderId="22" xfId="0" applyFont="1" applyFill="1" applyBorder="1"/>
    <xf numFmtId="0" fontId="7" fillId="0" borderId="23" xfId="0" applyFont="1" applyFill="1" applyBorder="1"/>
    <xf numFmtId="16" fontId="7" fillId="0" borderId="23" xfId="0" applyNumberFormat="1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35" xfId="0" applyFont="1" applyFill="1" applyBorder="1"/>
    <xf numFmtId="0" fontId="7" fillId="0" borderId="31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4" fontId="0" fillId="0" borderId="0" xfId="1" applyFont="1"/>
    <xf numFmtId="165" fontId="1" fillId="2" borderId="0" xfId="1" applyNumberFormat="1" applyFont="1" applyFill="1"/>
    <xf numFmtId="165" fontId="0" fillId="2" borderId="0" xfId="0" applyNumberFormat="1" applyFont="1" applyFill="1"/>
    <xf numFmtId="0" fontId="10" fillId="0" borderId="0" xfId="0" applyFont="1"/>
    <xf numFmtId="16" fontId="0" fillId="0" borderId="19" xfId="0" applyNumberFormat="1" applyFill="1" applyBorder="1" applyAlignment="1">
      <alignment horizontal="center"/>
    </xf>
    <xf numFmtId="0" fontId="0" fillId="0" borderId="25" xfId="0" applyFill="1" applyBorder="1"/>
    <xf numFmtId="16" fontId="0" fillId="0" borderId="20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0" fillId="0" borderId="15" xfId="1" applyNumberFormat="1" applyFont="1" applyBorder="1"/>
    <xf numFmtId="0" fontId="0" fillId="0" borderId="28" xfId="0" applyFont="1" applyBorder="1"/>
    <xf numFmtId="0" fontId="0" fillId="0" borderId="28" xfId="0" applyFont="1" applyBorder="1" applyAlignment="1"/>
    <xf numFmtId="165" fontId="0" fillId="0" borderId="15" xfId="0" applyNumberFormat="1" applyBorder="1"/>
    <xf numFmtId="0" fontId="0" fillId="0" borderId="29" xfId="0" applyFill="1" applyBorder="1"/>
    <xf numFmtId="165" fontId="0" fillId="0" borderId="29" xfId="1" applyNumberFormat="1" applyFont="1" applyFill="1" applyBorder="1"/>
    <xf numFmtId="165" fontId="0" fillId="0" borderId="29" xfId="0" applyNumberFormat="1" applyFill="1" applyBorder="1"/>
    <xf numFmtId="0" fontId="0" fillId="0" borderId="36" xfId="0" applyFont="1" applyFill="1" applyBorder="1"/>
    <xf numFmtId="0" fontId="0" fillId="0" borderId="34" xfId="0" applyFont="1" applyBorder="1"/>
    <xf numFmtId="0" fontId="0" fillId="0" borderId="37" xfId="0" applyBorder="1"/>
    <xf numFmtId="165" fontId="0" fillId="0" borderId="37" xfId="0" applyNumberFormat="1" applyBorder="1"/>
    <xf numFmtId="165" fontId="0" fillId="0" borderId="35" xfId="1" applyNumberFormat="1" applyFont="1" applyFill="1" applyBorder="1"/>
    <xf numFmtId="0" fontId="0" fillId="0" borderId="38" xfId="0" applyBorder="1"/>
    <xf numFmtId="165" fontId="0" fillId="0" borderId="39" xfId="0" applyNumberFormat="1" applyFill="1" applyBorder="1"/>
    <xf numFmtId="0" fontId="2" fillId="0" borderId="40" xfId="0" applyFont="1" applyBorder="1"/>
    <xf numFmtId="0" fontId="0" fillId="0" borderId="41" xfId="0" applyBorder="1"/>
    <xf numFmtId="165" fontId="2" fillId="0" borderId="41" xfId="0" applyNumberFormat="1" applyFont="1" applyBorder="1"/>
    <xf numFmtId="165" fontId="2" fillId="0" borderId="42" xfId="0" applyNumberFormat="1" applyFont="1" applyFill="1" applyBorder="1"/>
    <xf numFmtId="165" fontId="0" fillId="0" borderId="16" xfId="0" applyNumberFormat="1" applyBorder="1" applyAlignment="1">
      <alignment wrapText="1"/>
    </xf>
    <xf numFmtId="165" fontId="0" fillId="0" borderId="44" xfId="0" applyNumberFormat="1" applyFill="1" applyBorder="1" applyAlignment="1">
      <alignment wrapText="1"/>
    </xf>
    <xf numFmtId="0" fontId="0" fillId="0" borderId="43" xfId="0" applyFont="1" applyBorder="1" applyAlignment="1">
      <alignment wrapText="1"/>
    </xf>
    <xf numFmtId="0" fontId="2" fillId="0" borderId="41" xfId="0" applyFont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16" fontId="0" fillId="0" borderId="15" xfId="0" applyNumberFormat="1" applyFill="1" applyBorder="1" applyAlignment="1">
      <alignment horizontal="center"/>
    </xf>
    <xf numFmtId="0" fontId="0" fillId="0" borderId="26" xfId="0" applyFill="1" applyBorder="1"/>
    <xf numFmtId="0" fontId="2" fillId="0" borderId="0" xfId="0" applyFont="1" applyFill="1"/>
    <xf numFmtId="165" fontId="0" fillId="0" borderId="0" xfId="1" applyNumberFormat="1" applyFont="1" applyFill="1"/>
    <xf numFmtId="16" fontId="0" fillId="0" borderId="0" xfId="0" applyNumberFormat="1" applyFill="1" applyAlignment="1">
      <alignment horizontal="center"/>
    </xf>
    <xf numFmtId="165" fontId="0" fillId="0" borderId="0" xfId="0" applyNumberFormat="1" applyFill="1"/>
    <xf numFmtId="164" fontId="0" fillId="0" borderId="0" xfId="1" applyFont="1" applyFill="1"/>
    <xf numFmtId="0" fontId="7" fillId="0" borderId="4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/>
    <xf numFmtId="0" fontId="0" fillId="0" borderId="4" xfId="0" applyBorder="1" applyAlignment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5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65" fontId="0" fillId="5" borderId="5" xfId="1" applyNumberFormat="1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Fill="1" applyBorder="1" applyAlignment="1">
      <alignment vertical="center" wrapText="1"/>
    </xf>
    <xf numFmtId="0" fontId="0" fillId="0" borderId="6" xfId="0" applyBorder="1" applyAlignment="1">
      <alignment wrapText="1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/>
    <xf numFmtId="0" fontId="0" fillId="0" borderId="3" xfId="0" applyBorder="1" applyAlignment="1"/>
    <xf numFmtId="0" fontId="0" fillId="0" borderId="2" xfId="0" applyFill="1" applyBorder="1" applyAlignment="1"/>
    <xf numFmtId="0" fontId="2" fillId="2" borderId="15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6" xfId="0" applyFill="1" applyBorder="1"/>
    <xf numFmtId="16" fontId="0" fillId="0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/>
    <xf numFmtId="0" fontId="0" fillId="2" borderId="46" xfId="0" applyFill="1" applyBorder="1"/>
    <xf numFmtId="0" fontId="0" fillId="2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11"/>
  <sheetViews>
    <sheetView tabSelected="1" topLeftCell="A88" workbookViewId="0">
      <selection activeCell="F97" sqref="F97"/>
    </sheetView>
  </sheetViews>
  <sheetFormatPr defaultRowHeight="15" x14ac:dyDescent="0.25"/>
  <cols>
    <col min="1" max="1" width="9.140625" style="161"/>
    <col min="2" max="2" width="13" style="119" customWidth="1"/>
    <col min="3" max="3" width="67.140625" style="161" customWidth="1"/>
    <col min="4" max="6" width="9.140625" style="161"/>
    <col min="7" max="7" width="12.140625" style="161" bestFit="1" customWidth="1"/>
    <col min="8" max="16384" width="9.140625" style="161"/>
  </cols>
  <sheetData>
    <row r="1" spans="2:3" ht="15.75" thickBot="1" x14ac:dyDescent="0.3"/>
    <row r="2" spans="2:3" ht="15.75" thickBot="1" x14ac:dyDescent="0.3">
      <c r="B2" s="113" t="s">
        <v>134</v>
      </c>
      <c r="C2" s="114" t="s">
        <v>137</v>
      </c>
    </row>
    <row r="3" spans="2:3" x14ac:dyDescent="0.25">
      <c r="B3" s="209">
        <v>42358</v>
      </c>
      <c r="C3" s="210" t="s">
        <v>135</v>
      </c>
    </row>
    <row r="4" spans="2:3" x14ac:dyDescent="0.25">
      <c r="B4" s="211">
        <v>42359</v>
      </c>
      <c r="C4" s="144" t="s">
        <v>136</v>
      </c>
    </row>
    <row r="5" spans="2:3" x14ac:dyDescent="0.25">
      <c r="B5" s="211">
        <v>42379</v>
      </c>
      <c r="C5" s="144" t="s">
        <v>159</v>
      </c>
    </row>
    <row r="6" spans="2:3" x14ac:dyDescent="0.25">
      <c r="B6" s="211">
        <v>42389</v>
      </c>
      <c r="C6" s="144" t="s">
        <v>138</v>
      </c>
    </row>
    <row r="7" spans="2:3" x14ac:dyDescent="0.25">
      <c r="B7" s="211">
        <v>42389</v>
      </c>
      <c r="C7" s="144" t="s">
        <v>161</v>
      </c>
    </row>
    <row r="8" spans="2:3" x14ac:dyDescent="0.25">
      <c r="B8" s="211">
        <v>42392</v>
      </c>
      <c r="C8" s="144" t="s">
        <v>160</v>
      </c>
    </row>
    <row r="9" spans="2:3" x14ac:dyDescent="0.25">
      <c r="B9" s="211">
        <v>42394</v>
      </c>
      <c r="C9" s="144" t="s">
        <v>184</v>
      </c>
    </row>
    <row r="10" spans="2:3" x14ac:dyDescent="0.25">
      <c r="B10" s="211">
        <v>42399</v>
      </c>
      <c r="C10" s="144" t="s">
        <v>187</v>
      </c>
    </row>
    <row r="11" spans="2:3" x14ac:dyDescent="0.25">
      <c r="B11" s="211">
        <v>42401</v>
      </c>
      <c r="C11" s="144" t="s">
        <v>188</v>
      </c>
    </row>
    <row r="12" spans="2:3" x14ac:dyDescent="0.25">
      <c r="B12" s="211">
        <v>42403</v>
      </c>
      <c r="C12" s="144" t="s">
        <v>332</v>
      </c>
    </row>
    <row r="13" spans="2:3" x14ac:dyDescent="0.25">
      <c r="B13" s="211">
        <v>42409</v>
      </c>
      <c r="C13" s="144" t="s">
        <v>199</v>
      </c>
    </row>
    <row r="14" spans="2:3" x14ac:dyDescent="0.25">
      <c r="B14" s="211">
        <v>42430</v>
      </c>
      <c r="C14" s="144" t="s">
        <v>201</v>
      </c>
    </row>
    <row r="15" spans="2:3" x14ac:dyDescent="0.25">
      <c r="B15" s="211">
        <v>42443</v>
      </c>
      <c r="C15" s="144" t="s">
        <v>203</v>
      </c>
    </row>
    <row r="16" spans="2:3" x14ac:dyDescent="0.25">
      <c r="B16" s="211">
        <v>42447</v>
      </c>
      <c r="C16" s="144" t="s">
        <v>202</v>
      </c>
    </row>
    <row r="17" spans="2:3" x14ac:dyDescent="0.25">
      <c r="B17" s="211">
        <v>42449</v>
      </c>
      <c r="C17" s="144" t="s">
        <v>204</v>
      </c>
    </row>
    <row r="18" spans="2:3" x14ac:dyDescent="0.25">
      <c r="B18" s="211">
        <v>42457</v>
      </c>
      <c r="C18" s="144" t="s">
        <v>216</v>
      </c>
    </row>
    <row r="19" spans="2:3" x14ac:dyDescent="0.25">
      <c r="B19" s="236">
        <v>42457</v>
      </c>
      <c r="C19" s="150" t="s">
        <v>215</v>
      </c>
    </row>
    <row r="20" spans="2:3" x14ac:dyDescent="0.25">
      <c r="B20" s="236">
        <v>42469</v>
      </c>
      <c r="C20" s="150" t="s">
        <v>217</v>
      </c>
    </row>
    <row r="21" spans="2:3" x14ac:dyDescent="0.25">
      <c r="B21" s="236">
        <v>42443</v>
      </c>
      <c r="C21" s="150" t="s">
        <v>347</v>
      </c>
    </row>
    <row r="22" spans="2:3" x14ac:dyDescent="0.25">
      <c r="B22" s="236">
        <v>42444</v>
      </c>
      <c r="C22" s="150" t="s">
        <v>279</v>
      </c>
    </row>
    <row r="23" spans="2:3" x14ac:dyDescent="0.25">
      <c r="B23" s="236">
        <v>42470</v>
      </c>
      <c r="C23" s="150" t="s">
        <v>278</v>
      </c>
    </row>
    <row r="24" spans="2:3" x14ac:dyDescent="0.25">
      <c r="B24" s="236">
        <v>42470</v>
      </c>
      <c r="C24" s="150" t="s">
        <v>269</v>
      </c>
    </row>
    <row r="25" spans="2:3" x14ac:dyDescent="0.25">
      <c r="B25" s="236">
        <v>42470</v>
      </c>
      <c r="C25" s="150" t="s">
        <v>270</v>
      </c>
    </row>
    <row r="26" spans="2:3" x14ac:dyDescent="0.25">
      <c r="B26" s="236">
        <v>42474</v>
      </c>
      <c r="C26" s="150" t="s">
        <v>215</v>
      </c>
    </row>
    <row r="27" spans="2:3" x14ac:dyDescent="0.25">
      <c r="B27" s="236">
        <v>42485</v>
      </c>
      <c r="C27" s="150" t="s">
        <v>223</v>
      </c>
    </row>
    <row r="28" spans="2:3" x14ac:dyDescent="0.25">
      <c r="B28" s="236">
        <v>42485</v>
      </c>
      <c r="C28" s="150" t="s">
        <v>280</v>
      </c>
    </row>
    <row r="29" spans="2:3" x14ac:dyDescent="0.25">
      <c r="B29" s="236">
        <v>42493</v>
      </c>
      <c r="C29" s="150" t="s">
        <v>254</v>
      </c>
    </row>
    <row r="30" spans="2:3" x14ac:dyDescent="0.25">
      <c r="B30" s="236">
        <v>42493</v>
      </c>
      <c r="C30" s="144" t="s">
        <v>225</v>
      </c>
    </row>
    <row r="31" spans="2:3" x14ac:dyDescent="0.25">
      <c r="B31" s="236">
        <v>42493</v>
      </c>
      <c r="C31" s="237" t="s">
        <v>313</v>
      </c>
    </row>
    <row r="32" spans="2:3" x14ac:dyDescent="0.25">
      <c r="B32" s="236">
        <v>42497</v>
      </c>
      <c r="C32" s="150" t="s">
        <v>224</v>
      </c>
    </row>
    <row r="33" spans="2:8" x14ac:dyDescent="0.25">
      <c r="B33" s="236">
        <f>B32+5</f>
        <v>42502</v>
      </c>
      <c r="C33" s="150" t="s">
        <v>318</v>
      </c>
    </row>
    <row r="34" spans="2:8" x14ac:dyDescent="0.25">
      <c r="B34" s="236">
        <f>B32+7</f>
        <v>42504</v>
      </c>
      <c r="C34" s="150" t="s">
        <v>281</v>
      </c>
    </row>
    <row r="35" spans="2:8" x14ac:dyDescent="0.25">
      <c r="B35" s="236">
        <f>B34</f>
        <v>42504</v>
      </c>
      <c r="C35" s="150" t="s">
        <v>282</v>
      </c>
    </row>
    <row r="36" spans="2:8" x14ac:dyDescent="0.25">
      <c r="B36" s="236">
        <f>B35</f>
        <v>42504</v>
      </c>
      <c r="C36" s="150" t="s">
        <v>283</v>
      </c>
      <c r="F36" s="238"/>
      <c r="G36" s="238"/>
      <c r="H36" s="238"/>
    </row>
    <row r="37" spans="2:8" x14ac:dyDescent="0.25">
      <c r="B37" s="236">
        <v>42511</v>
      </c>
      <c r="C37" s="150" t="s">
        <v>297</v>
      </c>
      <c r="F37" s="238"/>
      <c r="G37" s="238"/>
      <c r="H37" s="238"/>
    </row>
    <row r="38" spans="2:8" x14ac:dyDescent="0.25">
      <c r="B38" s="236">
        <v>42506</v>
      </c>
      <c r="C38" s="150" t="s">
        <v>363</v>
      </c>
      <c r="F38" s="238"/>
      <c r="G38" s="238"/>
      <c r="H38" s="238"/>
    </row>
    <row r="39" spans="2:8" x14ac:dyDescent="0.25">
      <c r="B39" s="236">
        <v>42513</v>
      </c>
      <c r="C39" s="150" t="s">
        <v>298</v>
      </c>
    </row>
    <row r="40" spans="2:8" x14ac:dyDescent="0.25">
      <c r="B40" s="236">
        <v>42515</v>
      </c>
      <c r="C40" s="150" t="s">
        <v>362</v>
      </c>
    </row>
    <row r="41" spans="2:8" x14ac:dyDescent="0.25">
      <c r="B41" s="236">
        <v>42521</v>
      </c>
      <c r="C41" s="150" t="s">
        <v>302</v>
      </c>
    </row>
    <row r="42" spans="2:8" x14ac:dyDescent="0.25">
      <c r="B42" s="236">
        <v>42528</v>
      </c>
      <c r="C42" s="150" t="s">
        <v>299</v>
      </c>
    </row>
    <row r="43" spans="2:8" x14ac:dyDescent="0.25">
      <c r="B43" s="236">
        <v>42529</v>
      </c>
      <c r="C43" s="150" t="s">
        <v>308</v>
      </c>
    </row>
    <row r="44" spans="2:8" x14ac:dyDescent="0.25">
      <c r="B44" s="236">
        <v>42531</v>
      </c>
      <c r="C44" s="150" t="s">
        <v>361</v>
      </c>
    </row>
    <row r="45" spans="2:8" x14ac:dyDescent="0.25">
      <c r="B45" s="236">
        <v>42534</v>
      </c>
      <c r="C45" s="150" t="s">
        <v>312</v>
      </c>
    </row>
    <row r="46" spans="2:8" x14ac:dyDescent="0.25">
      <c r="B46" s="236">
        <v>42542</v>
      </c>
      <c r="C46" s="150" t="s">
        <v>360</v>
      </c>
    </row>
    <row r="47" spans="2:8" x14ac:dyDescent="0.25">
      <c r="B47" s="236">
        <v>42540</v>
      </c>
      <c r="C47" s="150" t="s">
        <v>359</v>
      </c>
    </row>
    <row r="48" spans="2:8" x14ac:dyDescent="0.25">
      <c r="B48" s="236">
        <v>42540</v>
      </c>
      <c r="C48" s="150" t="s">
        <v>317</v>
      </c>
    </row>
    <row r="49" spans="2:7" x14ac:dyDescent="0.25">
      <c r="B49" s="236">
        <v>42543</v>
      </c>
      <c r="C49" s="150" t="s">
        <v>358</v>
      </c>
    </row>
    <row r="50" spans="2:7" x14ac:dyDescent="0.25">
      <c r="B50" s="236">
        <v>42553</v>
      </c>
      <c r="C50" s="150" t="s">
        <v>357</v>
      </c>
      <c r="G50" s="239"/>
    </row>
    <row r="51" spans="2:7" x14ac:dyDescent="0.25">
      <c r="B51" s="236">
        <v>42554</v>
      </c>
      <c r="C51" s="150" t="s">
        <v>356</v>
      </c>
    </row>
    <row r="52" spans="2:7" x14ac:dyDescent="0.25">
      <c r="B52" s="240">
        <v>42553</v>
      </c>
      <c r="C52" s="150" t="s">
        <v>311</v>
      </c>
      <c r="G52" s="239"/>
    </row>
    <row r="53" spans="2:7" x14ac:dyDescent="0.25">
      <c r="B53" s="236">
        <v>42554</v>
      </c>
      <c r="C53" s="150" t="s">
        <v>355</v>
      </c>
      <c r="G53" s="241"/>
    </row>
    <row r="54" spans="2:7" x14ac:dyDescent="0.25">
      <c r="B54" s="236">
        <v>42555</v>
      </c>
      <c r="C54" s="150" t="s">
        <v>354</v>
      </c>
      <c r="E54" s="242"/>
    </row>
    <row r="55" spans="2:7" x14ac:dyDescent="0.25">
      <c r="B55" s="236">
        <v>42559</v>
      </c>
      <c r="C55" s="150" t="s">
        <v>353</v>
      </c>
    </row>
    <row r="56" spans="2:7" x14ac:dyDescent="0.25">
      <c r="B56" s="236">
        <v>42562</v>
      </c>
      <c r="C56" s="150" t="s">
        <v>307</v>
      </c>
    </row>
    <row r="57" spans="2:7" x14ac:dyDescent="0.25">
      <c r="B57" s="236">
        <v>42564</v>
      </c>
      <c r="C57" s="150" t="s">
        <v>352</v>
      </c>
    </row>
    <row r="58" spans="2:7" x14ac:dyDescent="0.25">
      <c r="B58" s="236">
        <f>B57-3</f>
        <v>42561</v>
      </c>
      <c r="C58" s="150" t="s">
        <v>386</v>
      </c>
    </row>
    <row r="59" spans="2:7" x14ac:dyDescent="0.25">
      <c r="B59" s="236">
        <f>B58+1</f>
        <v>42562</v>
      </c>
      <c r="C59" s="150" t="s">
        <v>389</v>
      </c>
    </row>
    <row r="60" spans="2:7" x14ac:dyDescent="0.25">
      <c r="B60" s="236">
        <v>42564</v>
      </c>
      <c r="C60" s="150" t="s">
        <v>368</v>
      </c>
    </row>
    <row r="61" spans="2:7" x14ac:dyDescent="0.25">
      <c r="B61" s="236">
        <v>42565</v>
      </c>
      <c r="C61" s="150" t="s">
        <v>369</v>
      </c>
    </row>
    <row r="62" spans="2:7" x14ac:dyDescent="0.25">
      <c r="B62" s="236">
        <f>B61+6</f>
        <v>42571</v>
      </c>
      <c r="C62" s="150" t="s">
        <v>370</v>
      </c>
    </row>
    <row r="63" spans="2:7" x14ac:dyDescent="0.25">
      <c r="B63" s="236">
        <f>B62+2</f>
        <v>42573</v>
      </c>
      <c r="C63" s="150" t="s">
        <v>371</v>
      </c>
    </row>
    <row r="64" spans="2:7" x14ac:dyDescent="0.25">
      <c r="B64" s="236">
        <f>B63</f>
        <v>42573</v>
      </c>
      <c r="C64" s="150" t="s">
        <v>372</v>
      </c>
    </row>
    <row r="65" spans="2:7" x14ac:dyDescent="0.25">
      <c r="B65" s="236">
        <f>B64</f>
        <v>42573</v>
      </c>
      <c r="C65" s="150" t="s">
        <v>377</v>
      </c>
    </row>
    <row r="66" spans="2:7" x14ac:dyDescent="0.25">
      <c r="B66" s="236">
        <f>B65+2</f>
        <v>42575</v>
      </c>
      <c r="C66" s="150" t="s">
        <v>368</v>
      </c>
    </row>
    <row r="67" spans="2:7" x14ac:dyDescent="0.25">
      <c r="B67" s="236">
        <f>B66+1</f>
        <v>42576</v>
      </c>
      <c r="C67" s="150" t="s">
        <v>376</v>
      </c>
    </row>
    <row r="68" spans="2:7" x14ac:dyDescent="0.25">
      <c r="B68" s="236">
        <f>B67+1</f>
        <v>42577</v>
      </c>
      <c r="C68" s="150" t="s">
        <v>373</v>
      </c>
    </row>
    <row r="69" spans="2:7" x14ac:dyDescent="0.25">
      <c r="B69" s="236">
        <f>B68+2</f>
        <v>42579</v>
      </c>
      <c r="C69" s="150" t="s">
        <v>374</v>
      </c>
    </row>
    <row r="70" spans="2:7" x14ac:dyDescent="0.25">
      <c r="B70" s="236">
        <f>B69+2</f>
        <v>42581</v>
      </c>
      <c r="C70" s="150" t="s">
        <v>375</v>
      </c>
    </row>
    <row r="71" spans="2:7" x14ac:dyDescent="0.25">
      <c r="B71" s="236">
        <f>B70+1</f>
        <v>42582</v>
      </c>
      <c r="C71" s="150" t="s">
        <v>378</v>
      </c>
    </row>
    <row r="72" spans="2:7" x14ac:dyDescent="0.25">
      <c r="B72" s="236">
        <f>B71+1</f>
        <v>42583</v>
      </c>
      <c r="C72" s="150" t="s">
        <v>379</v>
      </c>
    </row>
    <row r="73" spans="2:7" x14ac:dyDescent="0.25">
      <c r="B73" s="236">
        <f>B72+1</f>
        <v>42584</v>
      </c>
      <c r="C73" s="150" t="s">
        <v>380</v>
      </c>
    </row>
    <row r="74" spans="2:7" x14ac:dyDescent="0.25">
      <c r="B74" s="236">
        <f>B73+1</f>
        <v>42585</v>
      </c>
      <c r="C74" s="150" t="s">
        <v>384</v>
      </c>
    </row>
    <row r="75" spans="2:7" x14ac:dyDescent="0.25">
      <c r="B75" s="236">
        <f>B73+1</f>
        <v>42585</v>
      </c>
      <c r="C75" s="150" t="s">
        <v>381</v>
      </c>
    </row>
    <row r="76" spans="2:7" x14ac:dyDescent="0.25">
      <c r="B76" s="236">
        <f>B75</f>
        <v>42585</v>
      </c>
      <c r="C76" s="150" t="s">
        <v>382</v>
      </c>
    </row>
    <row r="77" spans="2:7" x14ac:dyDescent="0.25">
      <c r="B77" s="236">
        <f>B76+1</f>
        <v>42586</v>
      </c>
      <c r="C77" s="150" t="s">
        <v>385</v>
      </c>
    </row>
    <row r="78" spans="2:7" x14ac:dyDescent="0.25">
      <c r="B78" s="236">
        <f>B76+3</f>
        <v>42588</v>
      </c>
      <c r="C78" s="150" t="s">
        <v>383</v>
      </c>
    </row>
    <row r="79" spans="2:7" x14ac:dyDescent="0.25">
      <c r="B79" s="236">
        <f>B78+3</f>
        <v>42591</v>
      </c>
      <c r="C79" s="150" t="s">
        <v>387</v>
      </c>
      <c r="F79" s="161">
        <v>100</v>
      </c>
      <c r="G79" s="161" t="s">
        <v>391</v>
      </c>
    </row>
    <row r="80" spans="2:7" x14ac:dyDescent="0.25">
      <c r="B80" s="151">
        <f>B79+5</f>
        <v>42596</v>
      </c>
      <c r="C80" s="150" t="s">
        <v>394</v>
      </c>
      <c r="F80" s="161">
        <v>120</v>
      </c>
      <c r="G80" s="161" t="s">
        <v>390</v>
      </c>
    </row>
    <row r="81" spans="2:7" x14ac:dyDescent="0.25">
      <c r="B81" s="236">
        <v>42598</v>
      </c>
      <c r="C81" s="150" t="s">
        <v>395</v>
      </c>
      <c r="F81" s="161">
        <v>80</v>
      </c>
      <c r="G81" s="161" t="s">
        <v>392</v>
      </c>
    </row>
    <row r="82" spans="2:7" x14ac:dyDescent="0.25">
      <c r="B82" s="236">
        <v>42598</v>
      </c>
      <c r="C82" s="150" t="s">
        <v>396</v>
      </c>
      <c r="F82" s="161">
        <v>200</v>
      </c>
      <c r="G82" s="161" t="s">
        <v>393</v>
      </c>
    </row>
    <row r="83" spans="2:7" x14ac:dyDescent="0.25">
      <c r="B83" s="236">
        <f>B82+1</f>
        <v>42599</v>
      </c>
      <c r="C83" s="152" t="s">
        <v>397</v>
      </c>
      <c r="F83" s="238">
        <f>SUM(F79:F82)</f>
        <v>500</v>
      </c>
    </row>
    <row r="84" spans="2:7" x14ac:dyDescent="0.25">
      <c r="B84" s="236">
        <f>B83+3</f>
        <v>42602</v>
      </c>
      <c r="C84" s="152" t="s">
        <v>398</v>
      </c>
    </row>
    <row r="85" spans="2:7" x14ac:dyDescent="0.25">
      <c r="B85" s="236">
        <f>B84+1</f>
        <v>42603</v>
      </c>
      <c r="C85" s="152" t="s">
        <v>399</v>
      </c>
    </row>
    <row r="86" spans="2:7" x14ac:dyDescent="0.25">
      <c r="B86" s="240">
        <f>B85+2</f>
        <v>42605</v>
      </c>
      <c r="C86" s="281" t="s">
        <v>400</v>
      </c>
    </row>
    <row r="87" spans="2:7" x14ac:dyDescent="0.25">
      <c r="B87" s="240">
        <f>B86+4</f>
        <v>42609</v>
      </c>
      <c r="C87" s="285" t="s">
        <v>401</v>
      </c>
    </row>
    <row r="88" spans="2:7" x14ac:dyDescent="0.25">
      <c r="B88" s="240">
        <f>B87+6</f>
        <v>42615</v>
      </c>
      <c r="C88" s="285" t="s">
        <v>402</v>
      </c>
    </row>
    <row r="89" spans="2:7" x14ac:dyDescent="0.25">
      <c r="B89" s="240">
        <f>B88+2</f>
        <v>42617</v>
      </c>
      <c r="C89" s="285" t="s">
        <v>403</v>
      </c>
    </row>
    <row r="90" spans="2:7" x14ac:dyDescent="0.25">
      <c r="B90" s="240">
        <v>42617</v>
      </c>
      <c r="C90" s="285" t="s">
        <v>406</v>
      </c>
    </row>
    <row r="91" spans="2:7" x14ac:dyDescent="0.25">
      <c r="B91" s="240">
        <f>B90+1</f>
        <v>42618</v>
      </c>
      <c r="C91" s="285" t="s">
        <v>404</v>
      </c>
    </row>
    <row r="92" spans="2:7" x14ac:dyDescent="0.25">
      <c r="B92" s="240">
        <f>B91+2</f>
        <v>42620</v>
      </c>
      <c r="C92" s="285" t="s">
        <v>405</v>
      </c>
    </row>
    <row r="94" spans="2:7" x14ac:dyDescent="0.25">
      <c r="B94" s="240">
        <f>B92+3</f>
        <v>42623</v>
      </c>
      <c r="C94" s="285" t="s">
        <v>407</v>
      </c>
    </row>
    <row r="95" spans="2:7" x14ac:dyDescent="0.25">
      <c r="B95" s="240">
        <f>B94+1</f>
        <v>42624</v>
      </c>
      <c r="C95" s="53" t="s">
        <v>408</v>
      </c>
    </row>
    <row r="96" spans="2:7" x14ac:dyDescent="0.25">
      <c r="B96" s="240">
        <f>B95+3</f>
        <v>42627</v>
      </c>
      <c r="C96" s="53" t="s">
        <v>409</v>
      </c>
    </row>
    <row r="97" spans="2:7" x14ac:dyDescent="0.25">
      <c r="B97" s="240">
        <f>B96</f>
        <v>42627</v>
      </c>
      <c r="C97" s="286" t="s">
        <v>418</v>
      </c>
    </row>
    <row r="98" spans="2:7" s="284" customFormat="1" x14ac:dyDescent="0.25">
      <c r="B98" s="282">
        <f>B96+1</f>
        <v>42628</v>
      </c>
      <c r="C98" s="283" t="s">
        <v>410</v>
      </c>
    </row>
    <row r="99" spans="2:7" x14ac:dyDescent="0.25">
      <c r="B99" s="240">
        <f>B98+1</f>
        <v>42629</v>
      </c>
      <c r="C99" s="53" t="s">
        <v>411</v>
      </c>
    </row>
    <row r="100" spans="2:7" x14ac:dyDescent="0.25">
      <c r="B100" s="240">
        <v>42629</v>
      </c>
      <c r="C100" s="53" t="s">
        <v>412</v>
      </c>
    </row>
    <row r="101" spans="2:7" x14ac:dyDescent="0.25">
      <c r="B101" s="240">
        <f>B100+1</f>
        <v>42630</v>
      </c>
      <c r="C101" s="286" t="s">
        <v>413</v>
      </c>
    </row>
    <row r="102" spans="2:7" x14ac:dyDescent="0.25">
      <c r="B102" s="240">
        <f>B101+1</f>
        <v>42631</v>
      </c>
      <c r="C102" s="53" t="s">
        <v>414</v>
      </c>
      <c r="D102" s="161">
        <f>16115+2800</f>
        <v>18915</v>
      </c>
    </row>
    <row r="103" spans="2:7" x14ac:dyDescent="0.25">
      <c r="B103" s="240">
        <f>B102+7</f>
        <v>42638</v>
      </c>
      <c r="C103" s="53" t="s">
        <v>415</v>
      </c>
    </row>
    <row r="104" spans="2:7" x14ac:dyDescent="0.25">
      <c r="B104" s="240">
        <f>B103+2</f>
        <v>42640</v>
      </c>
      <c r="C104" s="53" t="s">
        <v>416</v>
      </c>
    </row>
    <row r="105" spans="2:7" x14ac:dyDescent="0.25">
      <c r="B105" s="240">
        <f>B104+0</f>
        <v>42640</v>
      </c>
      <c r="C105" s="53" t="s">
        <v>417</v>
      </c>
      <c r="E105" s="161">
        <v>4900</v>
      </c>
      <c r="G105" s="161">
        <v>1242</v>
      </c>
    </row>
    <row r="106" spans="2:7" x14ac:dyDescent="0.25">
      <c r="B106" s="240">
        <f>B105+2</f>
        <v>42642</v>
      </c>
      <c r="C106" s="53" t="s">
        <v>419</v>
      </c>
      <c r="E106" s="161">
        <v>1600</v>
      </c>
      <c r="G106" s="161">
        <v>1124</v>
      </c>
    </row>
    <row r="107" spans="2:7" x14ac:dyDescent="0.25">
      <c r="B107" s="240">
        <f>B106+0</f>
        <v>42642</v>
      </c>
      <c r="C107" s="53" t="s">
        <v>420</v>
      </c>
      <c r="E107" s="161">
        <f>SUM(E105:E106)</f>
        <v>6500</v>
      </c>
      <c r="G107" s="161">
        <f>SUM(G105:G106)</f>
        <v>2366</v>
      </c>
    </row>
    <row r="108" spans="2:7" x14ac:dyDescent="0.25">
      <c r="B108" s="240">
        <f>B107+3</f>
        <v>42645</v>
      </c>
      <c r="C108" s="53" t="s">
        <v>421</v>
      </c>
    </row>
    <row r="109" spans="2:7" x14ac:dyDescent="0.25">
      <c r="B109" s="240">
        <f>B108+2</f>
        <v>42647</v>
      </c>
      <c r="C109" s="53" t="s">
        <v>422</v>
      </c>
    </row>
    <row r="110" spans="2:7" x14ac:dyDescent="0.25">
      <c r="B110" s="240">
        <f>B109+0</f>
        <v>42647</v>
      </c>
      <c r="C110" s="53" t="s">
        <v>423</v>
      </c>
    </row>
    <row r="111" spans="2:7" x14ac:dyDescent="0.25">
      <c r="B111" s="240">
        <f>B110+3</f>
        <v>42650</v>
      </c>
      <c r="C111" s="53" t="s">
        <v>424</v>
      </c>
    </row>
  </sheetData>
  <autoFilter ref="B2:C57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7"/>
  <sheetViews>
    <sheetView topLeftCell="A27" workbookViewId="0">
      <selection activeCell="E37" sqref="E37"/>
    </sheetView>
  </sheetViews>
  <sheetFormatPr defaultRowHeight="15" x14ac:dyDescent="0.25"/>
  <cols>
    <col min="2" max="2" width="26" customWidth="1"/>
    <col min="3" max="3" width="10" customWidth="1"/>
    <col min="4" max="5" width="12.85546875" customWidth="1"/>
    <col min="6" max="6" width="9.85546875" customWidth="1"/>
    <col min="7" max="7" width="11.140625" customWidth="1"/>
    <col min="8" max="8" width="10.42578125" customWidth="1"/>
  </cols>
  <sheetData>
    <row r="2" spans="2:13" thickBot="1" x14ac:dyDescent="0.35"/>
    <row r="3" spans="2:13" thickBot="1" x14ac:dyDescent="0.35">
      <c r="B3" s="68" t="s">
        <v>179</v>
      </c>
    </row>
    <row r="4" spans="2:13" thickBot="1" x14ac:dyDescent="0.35">
      <c r="B4" s="11" t="s">
        <v>99</v>
      </c>
      <c r="C4" s="11" t="s">
        <v>100</v>
      </c>
      <c r="D4" s="11" t="s">
        <v>162</v>
      </c>
      <c r="E4" s="11" t="s">
        <v>173</v>
      </c>
      <c r="F4" s="11" t="s">
        <v>163</v>
      </c>
      <c r="G4" s="11" t="s">
        <v>174</v>
      </c>
      <c r="H4" s="113" t="s">
        <v>175</v>
      </c>
      <c r="I4" s="114" t="s">
        <v>64</v>
      </c>
    </row>
    <row r="5" spans="2:13" ht="14.45" x14ac:dyDescent="0.3">
      <c r="B5" s="2" t="s">
        <v>164</v>
      </c>
      <c r="C5" s="2" t="s">
        <v>165</v>
      </c>
      <c r="D5" s="2" t="s">
        <v>172</v>
      </c>
      <c r="E5" s="21">
        <v>10870</v>
      </c>
      <c r="F5" s="21">
        <v>1</v>
      </c>
      <c r="G5" s="28">
        <f t="shared" ref="G5:G10" si="0">E5*F5</f>
        <v>10870</v>
      </c>
      <c r="H5" s="2"/>
      <c r="I5" s="111" t="s">
        <v>63</v>
      </c>
    </row>
    <row r="6" spans="2:13" ht="14.45" x14ac:dyDescent="0.3">
      <c r="B6" s="2" t="s">
        <v>166</v>
      </c>
      <c r="C6" s="2" t="s">
        <v>167</v>
      </c>
      <c r="D6" s="2" t="s">
        <v>171</v>
      </c>
      <c r="E6" s="21">
        <v>4000</v>
      </c>
      <c r="F6" s="21">
        <v>1</v>
      </c>
      <c r="G6" s="28">
        <f t="shared" si="0"/>
        <v>4000</v>
      </c>
      <c r="H6" s="2"/>
      <c r="I6" s="111" t="s">
        <v>63</v>
      </c>
    </row>
    <row r="7" spans="2:13" ht="14.45" x14ac:dyDescent="0.3">
      <c r="B7" s="2" t="s">
        <v>166</v>
      </c>
      <c r="C7" s="2" t="s">
        <v>168</v>
      </c>
      <c r="D7" s="2" t="s">
        <v>172</v>
      </c>
      <c r="E7" s="21">
        <v>5200</v>
      </c>
      <c r="F7" s="21">
        <v>1</v>
      </c>
      <c r="G7" s="28">
        <f t="shared" si="0"/>
        <v>5200</v>
      </c>
      <c r="H7" s="2"/>
      <c r="I7" s="111" t="s">
        <v>63</v>
      </c>
    </row>
    <row r="8" spans="2:13" thickBot="1" x14ac:dyDescent="0.35">
      <c r="B8" s="2" t="s">
        <v>169</v>
      </c>
      <c r="C8" s="2" t="s">
        <v>165</v>
      </c>
      <c r="D8" s="2" t="s">
        <v>172</v>
      </c>
      <c r="E8" s="21">
        <v>2900</v>
      </c>
      <c r="F8" s="21">
        <v>1</v>
      </c>
      <c r="G8" s="28">
        <f t="shared" si="0"/>
        <v>2900</v>
      </c>
      <c r="H8" s="2"/>
      <c r="I8" s="111" t="s">
        <v>63</v>
      </c>
    </row>
    <row r="9" spans="2:13" thickBot="1" x14ac:dyDescent="0.35">
      <c r="B9" s="2" t="s">
        <v>169</v>
      </c>
      <c r="C9" s="2" t="s">
        <v>167</v>
      </c>
      <c r="D9" s="2" t="s">
        <v>171</v>
      </c>
      <c r="E9" s="21">
        <v>3240</v>
      </c>
      <c r="F9" s="21">
        <v>1</v>
      </c>
      <c r="G9" s="28">
        <f t="shared" si="0"/>
        <v>3240</v>
      </c>
      <c r="H9" s="2"/>
      <c r="I9" s="111" t="s">
        <v>63</v>
      </c>
      <c r="L9" s="50" t="s">
        <v>6</v>
      </c>
      <c r="M9" s="52">
        <f>G11+G23+G31</f>
        <v>74270</v>
      </c>
    </row>
    <row r="10" spans="2:13" thickBot="1" x14ac:dyDescent="0.35">
      <c r="B10" s="3" t="s">
        <v>170</v>
      </c>
      <c r="C10" s="3"/>
      <c r="D10" s="3" t="s">
        <v>178</v>
      </c>
      <c r="E10" s="7">
        <v>300</v>
      </c>
      <c r="F10" s="7">
        <v>2</v>
      </c>
      <c r="G10" s="5">
        <f t="shared" si="0"/>
        <v>600</v>
      </c>
      <c r="H10" s="3"/>
      <c r="I10" s="50" t="s">
        <v>63</v>
      </c>
      <c r="L10" s="50" t="s">
        <v>65</v>
      </c>
      <c r="M10" s="52" t="s">
        <v>3</v>
      </c>
    </row>
    <row r="11" spans="2:13" thickBot="1" x14ac:dyDescent="0.35">
      <c r="G11" s="115">
        <f>SUM(G5:G10)</f>
        <v>26810</v>
      </c>
      <c r="L11" s="2" t="s">
        <v>62</v>
      </c>
      <c r="M11" s="111">
        <v>10000</v>
      </c>
    </row>
    <row r="12" spans="2:13" thickBot="1" x14ac:dyDescent="0.35">
      <c r="L12" s="2" t="s">
        <v>182</v>
      </c>
      <c r="M12" s="111">
        <v>11290</v>
      </c>
    </row>
    <row r="13" spans="2:13" thickBot="1" x14ac:dyDescent="0.35">
      <c r="B13" s="68" t="s">
        <v>180</v>
      </c>
      <c r="L13" s="3" t="s">
        <v>63</v>
      </c>
      <c r="M13" s="112">
        <v>52980</v>
      </c>
    </row>
    <row r="14" spans="2:13" thickBot="1" x14ac:dyDescent="0.35">
      <c r="B14" s="11" t="s">
        <v>99</v>
      </c>
      <c r="C14" s="11" t="s">
        <v>100</v>
      </c>
      <c r="D14" s="11" t="s">
        <v>162</v>
      </c>
      <c r="E14" s="11" t="s">
        <v>173</v>
      </c>
      <c r="F14" s="11" t="s">
        <v>163</v>
      </c>
      <c r="G14" s="11" t="s">
        <v>174</v>
      </c>
      <c r="H14" s="113" t="s">
        <v>175</v>
      </c>
      <c r="I14" s="114" t="s">
        <v>64</v>
      </c>
      <c r="M14" s="50">
        <f>SUM(M11:M13)</f>
        <v>74270</v>
      </c>
    </row>
    <row r="15" spans="2:13" ht="14.45" x14ac:dyDescent="0.3">
      <c r="B15" s="2" t="s">
        <v>164</v>
      </c>
      <c r="C15" s="2" t="s">
        <v>165</v>
      </c>
      <c r="D15" s="2" t="s">
        <v>172</v>
      </c>
      <c r="E15" s="21">
        <v>8990</v>
      </c>
      <c r="F15" s="21">
        <v>1</v>
      </c>
      <c r="G15" s="28">
        <f t="shared" ref="G15:G22" si="1">E15*F15</f>
        <v>8990</v>
      </c>
      <c r="H15" s="2"/>
      <c r="I15" s="111" t="s">
        <v>63</v>
      </c>
    </row>
    <row r="16" spans="2:13" ht="14.45" x14ac:dyDescent="0.3">
      <c r="B16" s="2" t="s">
        <v>164</v>
      </c>
      <c r="C16" s="2" t="s">
        <v>176</v>
      </c>
      <c r="D16" s="2" t="s">
        <v>171</v>
      </c>
      <c r="E16" s="21">
        <v>8300</v>
      </c>
      <c r="F16" s="21">
        <v>1</v>
      </c>
      <c r="G16" s="28">
        <f t="shared" si="1"/>
        <v>8300</v>
      </c>
      <c r="H16" s="2"/>
      <c r="I16" s="111" t="s">
        <v>63</v>
      </c>
    </row>
    <row r="17" spans="2:9" ht="14.45" x14ac:dyDescent="0.3">
      <c r="B17" s="2" t="s">
        <v>166</v>
      </c>
      <c r="C17" s="2" t="s">
        <v>167</v>
      </c>
      <c r="D17" s="2" t="s">
        <v>171</v>
      </c>
      <c r="E17" s="21">
        <v>4000</v>
      </c>
      <c r="F17" s="21">
        <v>1</v>
      </c>
      <c r="G17" s="28">
        <f t="shared" si="1"/>
        <v>4000</v>
      </c>
      <c r="H17" s="2"/>
      <c r="I17" s="111" t="s">
        <v>63</v>
      </c>
    </row>
    <row r="18" spans="2:9" ht="14.45" x14ac:dyDescent="0.3">
      <c r="B18" s="2" t="s">
        <v>166</v>
      </c>
      <c r="C18" s="2" t="s">
        <v>168</v>
      </c>
      <c r="D18" s="2" t="s">
        <v>172</v>
      </c>
      <c r="E18" s="21">
        <v>4650</v>
      </c>
      <c r="F18" s="21">
        <v>1</v>
      </c>
      <c r="G18" s="28">
        <f t="shared" si="1"/>
        <v>4650</v>
      </c>
      <c r="H18" s="2"/>
      <c r="I18" s="111" t="s">
        <v>63</v>
      </c>
    </row>
    <row r="19" spans="2:9" ht="14.45" x14ac:dyDescent="0.3">
      <c r="B19" s="2" t="s">
        <v>169</v>
      </c>
      <c r="C19" s="2" t="s">
        <v>165</v>
      </c>
      <c r="D19" s="2" t="s">
        <v>172</v>
      </c>
      <c r="E19" s="21">
        <v>2900</v>
      </c>
      <c r="F19" s="21">
        <v>1</v>
      </c>
      <c r="G19" s="28">
        <f t="shared" si="1"/>
        <v>2900</v>
      </c>
      <c r="H19" s="2"/>
      <c r="I19" s="111" t="s">
        <v>63</v>
      </c>
    </row>
    <row r="20" spans="2:9" ht="14.45" x14ac:dyDescent="0.3">
      <c r="B20" s="2" t="s">
        <v>169</v>
      </c>
      <c r="C20" s="2" t="s">
        <v>167</v>
      </c>
      <c r="D20" s="2" t="s">
        <v>171</v>
      </c>
      <c r="E20" s="21">
        <v>3240</v>
      </c>
      <c r="F20" s="21">
        <v>1</v>
      </c>
      <c r="G20" s="28">
        <f t="shared" si="1"/>
        <v>3240</v>
      </c>
      <c r="H20" s="2"/>
      <c r="I20" s="111" t="s">
        <v>63</v>
      </c>
    </row>
    <row r="21" spans="2:9" thickBot="1" x14ac:dyDescent="0.35">
      <c r="B21" s="2" t="s">
        <v>177</v>
      </c>
      <c r="C21" s="2" t="s">
        <v>165</v>
      </c>
      <c r="D21" s="2" t="s">
        <v>171</v>
      </c>
      <c r="E21" s="21">
        <v>2280</v>
      </c>
      <c r="F21" s="21">
        <v>1</v>
      </c>
      <c r="G21" s="28">
        <f t="shared" si="1"/>
        <v>2280</v>
      </c>
      <c r="H21" s="2"/>
      <c r="I21" s="111" t="s">
        <v>63</v>
      </c>
    </row>
    <row r="22" spans="2:9" thickBot="1" x14ac:dyDescent="0.35">
      <c r="B22" s="3" t="s">
        <v>170</v>
      </c>
      <c r="C22" s="3"/>
      <c r="D22" s="3" t="s">
        <v>178</v>
      </c>
      <c r="E22" s="7">
        <v>300</v>
      </c>
      <c r="F22" s="7">
        <v>2</v>
      </c>
      <c r="G22" s="5">
        <f t="shared" si="1"/>
        <v>600</v>
      </c>
      <c r="H22" s="3"/>
      <c r="I22" s="50" t="s">
        <v>63</v>
      </c>
    </row>
    <row r="23" spans="2:9" thickBot="1" x14ac:dyDescent="0.35">
      <c r="G23" s="115">
        <f>SUM(G15:G22)</f>
        <v>34960</v>
      </c>
    </row>
    <row r="24" spans="2:9" thickBot="1" x14ac:dyDescent="0.35"/>
    <row r="25" spans="2:9" thickBot="1" x14ac:dyDescent="0.35">
      <c r="B25" s="68" t="s">
        <v>181</v>
      </c>
    </row>
    <row r="26" spans="2:9" thickBot="1" x14ac:dyDescent="0.35">
      <c r="B26" s="11" t="s">
        <v>99</v>
      </c>
      <c r="C26" s="11" t="s">
        <v>100</v>
      </c>
      <c r="D26" s="11" t="s">
        <v>162</v>
      </c>
      <c r="E26" s="11" t="s">
        <v>173</v>
      </c>
      <c r="F26" s="11" t="s">
        <v>163</v>
      </c>
      <c r="G26" s="11" t="s">
        <v>174</v>
      </c>
      <c r="H26" s="113" t="s">
        <v>175</v>
      </c>
      <c r="I26" s="114" t="s">
        <v>64</v>
      </c>
    </row>
    <row r="27" spans="2:9" ht="14.45" x14ac:dyDescent="0.3">
      <c r="B27" s="31" t="s">
        <v>169</v>
      </c>
      <c r="C27" s="31" t="s">
        <v>165</v>
      </c>
      <c r="D27" s="31" t="s">
        <v>171</v>
      </c>
      <c r="E27" s="33">
        <v>2900</v>
      </c>
      <c r="F27" s="33">
        <v>1</v>
      </c>
      <c r="G27" s="42">
        <f>E27*F27</f>
        <v>2900</v>
      </c>
      <c r="H27" s="31"/>
      <c r="I27" s="61" t="s">
        <v>63</v>
      </c>
    </row>
    <row r="28" spans="2:9" ht="14.45" x14ac:dyDescent="0.3">
      <c r="B28" s="2" t="s">
        <v>166</v>
      </c>
      <c r="C28" s="2" t="s">
        <v>167</v>
      </c>
      <c r="D28" s="2" t="s">
        <v>171</v>
      </c>
      <c r="E28" s="21">
        <v>4650</v>
      </c>
      <c r="F28" s="21">
        <v>1</v>
      </c>
      <c r="G28" s="28">
        <f>E28*F28</f>
        <v>4650</v>
      </c>
      <c r="H28" s="2"/>
      <c r="I28" s="111" t="s">
        <v>63</v>
      </c>
    </row>
    <row r="29" spans="2:9" thickBot="1" x14ac:dyDescent="0.35">
      <c r="B29" s="3" t="s">
        <v>166</v>
      </c>
      <c r="C29" s="3" t="s">
        <v>168</v>
      </c>
      <c r="D29" s="3" t="s">
        <v>172</v>
      </c>
      <c r="E29" s="7">
        <v>4650</v>
      </c>
      <c r="F29" s="7">
        <v>1</v>
      </c>
      <c r="G29" s="5">
        <f>E29*F29</f>
        <v>4650</v>
      </c>
      <c r="H29" s="3"/>
      <c r="I29" s="112" t="s">
        <v>63</v>
      </c>
    </row>
    <row r="30" spans="2:9" thickBot="1" x14ac:dyDescent="0.35">
      <c r="B30" s="3" t="s">
        <v>170</v>
      </c>
      <c r="C30" s="3"/>
      <c r="D30" s="3" t="s">
        <v>171</v>
      </c>
      <c r="E30" s="7">
        <v>300</v>
      </c>
      <c r="F30" s="7">
        <v>1</v>
      </c>
      <c r="G30" s="5">
        <f>E30*F30</f>
        <v>300</v>
      </c>
      <c r="H30" s="3"/>
      <c r="I30" s="50" t="s">
        <v>63</v>
      </c>
    </row>
    <row r="31" spans="2:9" thickBot="1" x14ac:dyDescent="0.35">
      <c r="G31" s="115">
        <f>SUM(G27:G30)</f>
        <v>12500</v>
      </c>
    </row>
    <row r="35" spans="2:5" x14ac:dyDescent="0.25">
      <c r="B35" t="s">
        <v>322</v>
      </c>
    </row>
    <row r="36" spans="2:5" x14ac:dyDescent="0.25">
      <c r="B36" t="s">
        <v>324</v>
      </c>
      <c r="D36">
        <v>4480</v>
      </c>
    </row>
    <row r="37" spans="2:5" x14ac:dyDescent="0.25">
      <c r="B37" t="s">
        <v>325</v>
      </c>
      <c r="D37">
        <v>3540</v>
      </c>
    </row>
    <row r="38" spans="2:5" x14ac:dyDescent="0.25">
      <c r="B38" t="s">
        <v>326</v>
      </c>
      <c r="D38">
        <v>750</v>
      </c>
    </row>
    <row r="39" spans="2:5" x14ac:dyDescent="0.25">
      <c r="B39" t="s">
        <v>327</v>
      </c>
      <c r="D39">
        <v>700</v>
      </c>
    </row>
    <row r="40" spans="2:5" x14ac:dyDescent="0.25">
      <c r="B40" t="s">
        <v>328</v>
      </c>
      <c r="D40">
        <v>1200</v>
      </c>
    </row>
    <row r="41" spans="2:5" x14ac:dyDescent="0.25">
      <c r="B41" t="s">
        <v>329</v>
      </c>
      <c r="D41">
        <v>540</v>
      </c>
    </row>
    <row r="42" spans="2:5" x14ac:dyDescent="0.25">
      <c r="B42" t="s">
        <v>330</v>
      </c>
      <c r="D42">
        <v>660</v>
      </c>
    </row>
    <row r="43" spans="2:5" x14ac:dyDescent="0.25">
      <c r="B43" t="s">
        <v>331</v>
      </c>
      <c r="D43">
        <v>340</v>
      </c>
    </row>
    <row r="44" spans="2:5" x14ac:dyDescent="0.25">
      <c r="D44">
        <f>SUM(D36:D43)</f>
        <v>12210</v>
      </c>
      <c r="E44" t="s">
        <v>323</v>
      </c>
    </row>
    <row r="46" spans="2:5" x14ac:dyDescent="0.25">
      <c r="B46" t="s">
        <v>320</v>
      </c>
      <c r="D46">
        <v>5000</v>
      </c>
    </row>
    <row r="47" spans="2:5" x14ac:dyDescent="0.25">
      <c r="B47" t="s">
        <v>321</v>
      </c>
      <c r="D47">
        <v>7200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opLeftCell="A10" workbookViewId="0">
      <selection activeCell="D32" sqref="D32"/>
    </sheetView>
  </sheetViews>
  <sheetFormatPr defaultColWidth="8.85546875" defaultRowHeight="15" x14ac:dyDescent="0.25"/>
  <cols>
    <col min="1" max="1" width="8.85546875" style="78"/>
    <col min="2" max="2" width="13.5703125" style="78" customWidth="1"/>
    <col min="3" max="3" width="8.5703125" style="78" customWidth="1"/>
    <col min="4" max="4" width="14.7109375" style="104" customWidth="1"/>
    <col min="5" max="5" width="14.7109375" style="78" customWidth="1"/>
    <col min="6" max="6" width="10.5703125" style="78" customWidth="1"/>
    <col min="7" max="7" width="10.140625" style="78" customWidth="1"/>
    <col min="8" max="8" width="27" style="78" customWidth="1"/>
    <col min="9" max="16384" width="8.85546875" style="78"/>
  </cols>
  <sheetData>
    <row r="2" spans="2:8" ht="14.45" x14ac:dyDescent="0.3">
      <c r="D2" s="277" t="s">
        <v>133</v>
      </c>
      <c r="E2" s="277"/>
      <c r="F2" s="277"/>
      <c r="G2" s="277"/>
    </row>
    <row r="3" spans="2:8" thickBot="1" x14ac:dyDescent="0.35"/>
    <row r="4" spans="2:8" thickBot="1" x14ac:dyDescent="0.35">
      <c r="B4" s="91" t="s">
        <v>97</v>
      </c>
      <c r="G4" s="91" t="s">
        <v>116</v>
      </c>
    </row>
    <row r="5" spans="2:8" ht="14.45" x14ac:dyDescent="0.3">
      <c r="B5" s="92" t="s">
        <v>99</v>
      </c>
      <c r="C5" s="92" t="s">
        <v>100</v>
      </c>
      <c r="D5" s="92" t="s">
        <v>102</v>
      </c>
      <c r="E5" s="92"/>
      <c r="G5" s="93" t="s">
        <v>119</v>
      </c>
      <c r="H5" s="93" t="s">
        <v>117</v>
      </c>
    </row>
    <row r="6" spans="2:8" ht="14.45" x14ac:dyDescent="0.3">
      <c r="B6" s="93" t="s">
        <v>98</v>
      </c>
      <c r="C6" s="93" t="s">
        <v>101</v>
      </c>
      <c r="D6" s="94" t="s">
        <v>103</v>
      </c>
      <c r="E6" s="93" t="s">
        <v>105</v>
      </c>
      <c r="G6" s="93" t="s">
        <v>120</v>
      </c>
      <c r="H6" s="93" t="s">
        <v>118</v>
      </c>
    </row>
    <row r="7" spans="2:8" ht="14.45" x14ac:dyDescent="0.3">
      <c r="B7" s="93"/>
      <c r="C7" s="93"/>
      <c r="D7" s="94"/>
      <c r="E7" s="93" t="s">
        <v>106</v>
      </c>
      <c r="G7" s="93" t="s">
        <v>121</v>
      </c>
      <c r="H7" s="93" t="s">
        <v>122</v>
      </c>
    </row>
    <row r="8" spans="2:8" ht="14.45" x14ac:dyDescent="0.3">
      <c r="B8" s="93"/>
      <c r="C8" s="93"/>
      <c r="D8" s="94" t="s">
        <v>104</v>
      </c>
      <c r="E8" s="93" t="s">
        <v>107</v>
      </c>
    </row>
    <row r="9" spans="2:8" ht="14.45" x14ac:dyDescent="0.3">
      <c r="B9" s="93"/>
      <c r="C9" s="93"/>
      <c r="D9" s="94"/>
      <c r="E9" s="93" t="s">
        <v>106</v>
      </c>
    </row>
    <row r="10" spans="2:8" ht="14.45" x14ac:dyDescent="0.3">
      <c r="B10" s="93" t="s">
        <v>111</v>
      </c>
      <c r="C10" s="93"/>
      <c r="D10" s="94"/>
      <c r="E10" s="93"/>
    </row>
    <row r="11" spans="2:8" ht="14.45" x14ac:dyDescent="0.3">
      <c r="B11" s="93"/>
      <c r="C11" s="93"/>
      <c r="D11" s="94"/>
      <c r="E11" s="93"/>
    </row>
    <row r="12" spans="2:8" ht="14.45" x14ac:dyDescent="0.3">
      <c r="B12" s="93" t="s">
        <v>108</v>
      </c>
      <c r="C12" s="93" t="s">
        <v>109</v>
      </c>
      <c r="D12" s="94" t="s">
        <v>110</v>
      </c>
      <c r="E12" s="93"/>
    </row>
    <row r="13" spans="2:8" ht="14.45" x14ac:dyDescent="0.3">
      <c r="B13" s="93"/>
      <c r="C13" s="93"/>
      <c r="D13" s="94"/>
      <c r="E13" s="93"/>
    </row>
    <row r="14" spans="2:8" ht="14.45" x14ac:dyDescent="0.3">
      <c r="B14" s="93" t="s">
        <v>112</v>
      </c>
      <c r="C14" s="93" t="s">
        <v>113</v>
      </c>
      <c r="D14" s="94" t="s">
        <v>115</v>
      </c>
      <c r="E14" s="93"/>
    </row>
    <row r="15" spans="2:8" ht="14.45" x14ac:dyDescent="0.3">
      <c r="B15" s="93" t="s">
        <v>111</v>
      </c>
      <c r="C15" s="93"/>
      <c r="D15" s="94" t="s">
        <v>114</v>
      </c>
      <c r="E15" s="93"/>
    </row>
    <row r="17" spans="2:6" thickBot="1" x14ac:dyDescent="0.35"/>
    <row r="18" spans="2:6" thickBot="1" x14ac:dyDescent="0.35">
      <c r="B18" s="91" t="s">
        <v>131</v>
      </c>
    </row>
    <row r="19" spans="2:6" s="103" customFormat="1" ht="26.45" customHeight="1" x14ac:dyDescent="0.3">
      <c r="B19" s="99" t="s">
        <v>99</v>
      </c>
      <c r="C19" s="100" t="s">
        <v>124</v>
      </c>
      <c r="D19" s="100" t="s">
        <v>125</v>
      </c>
      <c r="E19" s="101" t="s">
        <v>126</v>
      </c>
      <c r="F19" s="102" t="s">
        <v>130</v>
      </c>
    </row>
    <row r="20" spans="2:6" ht="14.45" x14ac:dyDescent="0.3">
      <c r="B20" s="93" t="s">
        <v>112</v>
      </c>
      <c r="C20" s="94">
        <v>80</v>
      </c>
      <c r="D20" s="94">
        <v>40.24</v>
      </c>
      <c r="E20" s="95">
        <f>C20*D20</f>
        <v>3219.2000000000003</v>
      </c>
      <c r="F20" s="94"/>
    </row>
    <row r="21" spans="2:6" ht="14.45" x14ac:dyDescent="0.3">
      <c r="B21" s="93" t="s">
        <v>127</v>
      </c>
      <c r="C21" s="94"/>
      <c r="D21" s="94"/>
      <c r="E21" s="95"/>
      <c r="F21" s="94"/>
    </row>
    <row r="22" spans="2:6" ht="14.45" x14ac:dyDescent="0.3">
      <c r="B22" s="93" t="s">
        <v>123</v>
      </c>
      <c r="C22" s="94">
        <v>550</v>
      </c>
      <c r="D22" s="94">
        <v>26.8</v>
      </c>
      <c r="E22" s="95">
        <f>C22*D22</f>
        <v>14740</v>
      </c>
      <c r="F22" s="94"/>
    </row>
    <row r="23" spans="2:6" ht="14.45" x14ac:dyDescent="0.3">
      <c r="B23" s="93"/>
      <c r="C23" s="94"/>
      <c r="D23" s="94"/>
      <c r="E23" s="95"/>
      <c r="F23" s="94"/>
    </row>
    <row r="24" spans="2:6" ht="14.45" x14ac:dyDescent="0.3">
      <c r="B24" s="93" t="s">
        <v>128</v>
      </c>
      <c r="C24" s="94">
        <v>580</v>
      </c>
      <c r="D24" s="94">
        <v>15.5</v>
      </c>
      <c r="E24" s="95">
        <f>C24*D24</f>
        <v>8990</v>
      </c>
      <c r="F24" s="94">
        <f>E24+E25</f>
        <v>14820</v>
      </c>
    </row>
    <row r="25" spans="2:6" ht="14.45" x14ac:dyDescent="0.3">
      <c r="B25" s="93"/>
      <c r="C25" s="94">
        <v>550</v>
      </c>
      <c r="D25" s="94">
        <v>10.6</v>
      </c>
      <c r="E25" s="95">
        <f>C25*D25</f>
        <v>5830</v>
      </c>
      <c r="F25" s="94"/>
    </row>
    <row r="26" spans="2:6" ht="14.45" x14ac:dyDescent="0.3">
      <c r="B26" s="93"/>
      <c r="C26" s="94"/>
      <c r="D26" s="94"/>
      <c r="E26" s="95"/>
      <c r="F26" s="94"/>
    </row>
    <row r="27" spans="2:6" ht="14.45" x14ac:dyDescent="0.3">
      <c r="B27" s="93" t="s">
        <v>129</v>
      </c>
      <c r="C27" s="94">
        <v>580</v>
      </c>
      <c r="D27" s="94">
        <v>10.8</v>
      </c>
      <c r="E27" s="95">
        <f>C27*D27</f>
        <v>6264</v>
      </c>
      <c r="F27" s="94">
        <f>E27+E28</f>
        <v>8739</v>
      </c>
    </row>
    <row r="28" spans="2:6" thickBot="1" x14ac:dyDescent="0.35">
      <c r="B28" s="93"/>
      <c r="C28" s="94">
        <v>550</v>
      </c>
      <c r="D28" s="94">
        <v>4.5</v>
      </c>
      <c r="E28" s="96">
        <f>C28*D28</f>
        <v>2475</v>
      </c>
      <c r="F28" s="94"/>
    </row>
    <row r="29" spans="2:6" thickBot="1" x14ac:dyDescent="0.35">
      <c r="B29" s="97" t="s">
        <v>6</v>
      </c>
      <c r="C29" s="93"/>
      <c r="D29" s="95"/>
      <c r="E29" s="98">
        <f>SUM(E20:E28)</f>
        <v>41518.199999999997</v>
      </c>
      <c r="F29" s="94"/>
    </row>
  </sheetData>
  <mergeCells count="1">
    <mergeCell ref="D2:G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K8" sqref="K8"/>
    </sheetView>
  </sheetViews>
  <sheetFormatPr defaultColWidth="8.85546875" defaultRowHeight="15" x14ac:dyDescent="0.25"/>
  <cols>
    <col min="1" max="1" width="8.85546875" style="78"/>
    <col min="2" max="2" width="13.5703125" style="78" customWidth="1"/>
    <col min="3" max="3" width="11" style="78" customWidth="1"/>
    <col min="4" max="4" width="13.7109375" style="78" customWidth="1"/>
    <col min="5" max="5" width="14.7109375" style="104" customWidth="1"/>
    <col min="6" max="6" width="14.7109375" style="78" customWidth="1"/>
    <col min="7" max="7" width="10.5703125" style="78" customWidth="1"/>
    <col min="8" max="9" width="10.140625" style="78" customWidth="1"/>
    <col min="10" max="10" width="9.42578125" style="78" customWidth="1"/>
    <col min="11" max="16384" width="8.85546875" style="78"/>
  </cols>
  <sheetData>
    <row r="2" spans="1:11" ht="14.45" x14ac:dyDescent="0.3">
      <c r="E2" s="277" t="s">
        <v>205</v>
      </c>
      <c r="F2" s="277"/>
      <c r="G2" s="277"/>
      <c r="H2" s="277"/>
    </row>
    <row r="4" spans="1:11" thickBot="1" x14ac:dyDescent="0.35"/>
    <row r="5" spans="1:11" thickBot="1" x14ac:dyDescent="0.35">
      <c r="B5" s="91" t="s">
        <v>131</v>
      </c>
    </row>
    <row r="6" spans="1:11" ht="43.15" x14ac:dyDescent="0.3">
      <c r="A6" s="103"/>
      <c r="B6" s="99" t="s">
        <v>99</v>
      </c>
      <c r="C6" s="100" t="s">
        <v>207</v>
      </c>
      <c r="D6" s="100" t="s">
        <v>208</v>
      </c>
      <c r="E6" s="100" t="s">
        <v>209</v>
      </c>
      <c r="F6" s="101" t="s">
        <v>210</v>
      </c>
      <c r="G6" s="102" t="s">
        <v>211</v>
      </c>
      <c r="H6" s="100" t="s">
        <v>214</v>
      </c>
      <c r="J6" s="103"/>
    </row>
    <row r="7" spans="1:11" ht="14.45" x14ac:dyDescent="0.3">
      <c r="B7" s="93" t="s">
        <v>206</v>
      </c>
      <c r="C7" s="94">
        <v>140</v>
      </c>
      <c r="D7" s="94">
        <v>55</v>
      </c>
      <c r="E7" s="94">
        <v>3</v>
      </c>
      <c r="F7" s="95">
        <f>D7*E7</f>
        <v>165</v>
      </c>
      <c r="G7" s="94">
        <f>F7*C7</f>
        <v>23100</v>
      </c>
      <c r="H7" s="93">
        <f>G7*0.94</f>
        <v>21714</v>
      </c>
      <c r="J7" s="93" t="s">
        <v>63</v>
      </c>
      <c r="K7" s="93">
        <f>H8+(H9+H10+H11)/2</f>
        <v>14440.75</v>
      </c>
    </row>
    <row r="8" spans="1:11" ht="14.45" x14ac:dyDescent="0.3">
      <c r="B8" s="93" t="s">
        <v>128</v>
      </c>
      <c r="C8" s="94">
        <v>140</v>
      </c>
      <c r="D8" s="94">
        <v>24.5</v>
      </c>
      <c r="E8" s="94">
        <v>2.5</v>
      </c>
      <c r="F8" s="95">
        <f>D8*E8</f>
        <v>61.25</v>
      </c>
      <c r="G8" s="94">
        <f>F8*C8</f>
        <v>8575</v>
      </c>
      <c r="H8" s="93">
        <f>G8*0.94</f>
        <v>8060.4999999999991</v>
      </c>
      <c r="J8" s="93" t="s">
        <v>62</v>
      </c>
      <c r="K8" s="93">
        <f>H7+(H9+H10+H11)/2</f>
        <v>28094.25</v>
      </c>
    </row>
    <row r="9" spans="1:11" ht="14.45" x14ac:dyDescent="0.3">
      <c r="B9" s="93" t="s">
        <v>129</v>
      </c>
      <c r="C9" s="94">
        <v>140</v>
      </c>
      <c r="D9" s="94">
        <v>24.5</v>
      </c>
      <c r="E9" s="94">
        <v>2.5</v>
      </c>
      <c r="F9" s="95">
        <f>D9*E9</f>
        <v>61.25</v>
      </c>
      <c r="G9" s="94">
        <f>F9*C9</f>
        <v>8575</v>
      </c>
      <c r="H9" s="93">
        <f>G9*0.94</f>
        <v>8060.4999999999991</v>
      </c>
      <c r="J9" s="93" t="s">
        <v>6</v>
      </c>
      <c r="K9" s="140">
        <f>SUM(K7:K8)</f>
        <v>42535</v>
      </c>
    </row>
    <row r="10" spans="1:11" ht="14.45" x14ac:dyDescent="0.3">
      <c r="B10" s="93" t="s">
        <v>213</v>
      </c>
      <c r="C10" s="94">
        <v>4500</v>
      </c>
      <c r="D10" s="94">
        <v>1</v>
      </c>
      <c r="E10" s="94">
        <v>1</v>
      </c>
      <c r="F10" s="95">
        <f>D10*E10</f>
        <v>1</v>
      </c>
      <c r="G10" s="94">
        <f>C10*F10</f>
        <v>4500</v>
      </c>
      <c r="H10" s="93">
        <f>G10*0.94</f>
        <v>4230</v>
      </c>
    </row>
    <row r="11" spans="1:11" ht="14.45" x14ac:dyDescent="0.3">
      <c r="B11" s="93" t="s">
        <v>212</v>
      </c>
      <c r="C11" s="94">
        <v>500</v>
      </c>
      <c r="D11" s="94">
        <v>1</v>
      </c>
      <c r="E11" s="134">
        <v>1</v>
      </c>
      <c r="F11" s="138">
        <f>D11*E11</f>
        <v>1</v>
      </c>
      <c r="G11" s="134">
        <f>F11*C11</f>
        <v>500</v>
      </c>
      <c r="H11" s="93">
        <f>500*0.94</f>
        <v>470</v>
      </c>
    </row>
    <row r="12" spans="1:11" ht="14.45" x14ac:dyDescent="0.3">
      <c r="B12" s="131" t="s">
        <v>6</v>
      </c>
      <c r="C12" s="93"/>
      <c r="D12" s="133"/>
      <c r="E12" s="135"/>
      <c r="F12" s="139"/>
      <c r="G12" s="142">
        <f>SUM(G7:G11)</f>
        <v>45250</v>
      </c>
      <c r="H12" s="141">
        <f>SUM(H7:H11)</f>
        <v>42535</v>
      </c>
    </row>
    <row r="13" spans="1:11" s="103" customFormat="1" ht="26.45" customHeight="1" x14ac:dyDescent="0.3">
      <c r="A13" s="78"/>
      <c r="B13" s="78"/>
      <c r="C13" s="78"/>
      <c r="D13" s="78"/>
      <c r="E13" s="136"/>
      <c r="F13" s="137"/>
      <c r="G13" s="137"/>
      <c r="H13" s="78"/>
      <c r="I13" s="78"/>
      <c r="J13" s="78"/>
    </row>
  </sheetData>
  <mergeCells count="1">
    <mergeCell ref="E2:H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2"/>
  <sheetViews>
    <sheetView workbookViewId="0">
      <selection activeCell="I8" sqref="I8"/>
    </sheetView>
  </sheetViews>
  <sheetFormatPr defaultColWidth="8.85546875" defaultRowHeight="15" x14ac:dyDescent="0.25"/>
  <cols>
    <col min="1" max="1" width="4" style="78" customWidth="1"/>
    <col min="2" max="2" width="9.28515625" style="104" customWidth="1"/>
    <col min="3" max="3" width="18.42578125" style="104" customWidth="1"/>
    <col min="4" max="4" width="12.7109375" style="104" customWidth="1"/>
    <col min="5" max="6" width="14.7109375" style="104" customWidth="1"/>
    <col min="7" max="7" width="11.7109375" style="78" customWidth="1"/>
    <col min="8" max="8" width="10.140625" style="78" customWidth="1"/>
    <col min="9" max="9" width="27" style="78" customWidth="1"/>
    <col min="10" max="16384" width="8.85546875" style="78"/>
  </cols>
  <sheetData>
    <row r="2" spans="2:8" ht="14.45" x14ac:dyDescent="0.3">
      <c r="D2" s="277" t="s">
        <v>158</v>
      </c>
      <c r="E2" s="277"/>
      <c r="F2" s="277"/>
      <c r="G2" s="277"/>
      <c r="H2" s="277"/>
    </row>
    <row r="3" spans="2:8" thickBot="1" x14ac:dyDescent="0.35"/>
    <row r="4" spans="2:8" thickBot="1" x14ac:dyDescent="0.35">
      <c r="B4" s="110" t="s">
        <v>97</v>
      </c>
    </row>
    <row r="5" spans="2:8" thickBot="1" x14ac:dyDescent="0.35">
      <c r="B5" s="83" t="s">
        <v>139</v>
      </c>
      <c r="C5" s="83" t="s">
        <v>149</v>
      </c>
      <c r="D5" s="83" t="s">
        <v>150</v>
      </c>
      <c r="E5" s="83" t="s">
        <v>100</v>
      </c>
      <c r="F5" s="83" t="s">
        <v>148</v>
      </c>
    </row>
    <row r="6" spans="2:8" ht="12.6" customHeight="1" x14ac:dyDescent="0.25">
      <c r="B6" s="278" t="s">
        <v>140</v>
      </c>
      <c r="C6" s="106" t="s">
        <v>141</v>
      </c>
      <c r="D6" s="106"/>
      <c r="E6" s="106" t="s">
        <v>152</v>
      </c>
      <c r="F6" s="106"/>
    </row>
    <row r="7" spans="2:8" x14ac:dyDescent="0.25">
      <c r="B7" s="279"/>
      <c r="C7" s="107" t="s">
        <v>142</v>
      </c>
      <c r="D7" s="107" t="s">
        <v>143</v>
      </c>
      <c r="E7" s="106" t="s">
        <v>152</v>
      </c>
      <c r="F7" s="107">
        <v>27000</v>
      </c>
    </row>
    <row r="8" spans="2:8" x14ac:dyDescent="0.25">
      <c r="B8" s="279"/>
      <c r="C8" s="107"/>
      <c r="D8" s="107" t="s">
        <v>144</v>
      </c>
      <c r="E8" s="106" t="s">
        <v>152</v>
      </c>
      <c r="F8" s="107">
        <v>30000</v>
      </c>
    </row>
    <row r="9" spans="2:8" ht="17.45" customHeight="1" x14ac:dyDescent="0.25">
      <c r="B9" s="280"/>
      <c r="C9" s="107" t="s">
        <v>145</v>
      </c>
      <c r="D9" s="107"/>
      <c r="E9" s="106" t="s">
        <v>152</v>
      </c>
      <c r="F9" s="107"/>
    </row>
    <row r="10" spans="2:8" ht="14.45" x14ac:dyDescent="0.3">
      <c r="B10" s="107" t="s">
        <v>146</v>
      </c>
      <c r="C10" s="107" t="s">
        <v>154</v>
      </c>
      <c r="D10" s="107"/>
      <c r="E10" s="107" t="s">
        <v>153</v>
      </c>
      <c r="F10" s="107" t="s">
        <v>151</v>
      </c>
    </row>
    <row r="11" spans="2:8" thickBot="1" x14ac:dyDescent="0.35">
      <c r="B11" s="108" t="s">
        <v>147</v>
      </c>
      <c r="C11" s="108" t="s">
        <v>193</v>
      </c>
      <c r="D11" s="108"/>
      <c r="E11" s="108"/>
      <c r="F11" s="108" t="s">
        <v>190</v>
      </c>
    </row>
    <row r="13" spans="2:8" thickBot="1" x14ac:dyDescent="0.35"/>
    <row r="14" spans="2:8" thickBot="1" x14ac:dyDescent="0.35">
      <c r="B14" s="110" t="s">
        <v>155</v>
      </c>
    </row>
    <row r="15" spans="2:8" thickBot="1" x14ac:dyDescent="0.35">
      <c r="B15" s="83" t="s">
        <v>139</v>
      </c>
      <c r="C15" s="83" t="s">
        <v>149</v>
      </c>
      <c r="D15" s="83" t="s">
        <v>150</v>
      </c>
      <c r="E15" s="83" t="s">
        <v>100</v>
      </c>
      <c r="F15" s="83" t="s">
        <v>156</v>
      </c>
      <c r="G15" s="83" t="s">
        <v>148</v>
      </c>
    </row>
    <row r="16" spans="2:8" ht="12.6" customHeight="1" x14ac:dyDescent="0.25">
      <c r="B16" s="278" t="s">
        <v>140</v>
      </c>
      <c r="C16" s="106" t="s">
        <v>141</v>
      </c>
      <c r="D16" s="106"/>
      <c r="E16" s="106" t="s">
        <v>152</v>
      </c>
      <c r="F16" s="106"/>
      <c r="G16" s="106"/>
    </row>
    <row r="17" spans="2:7" x14ac:dyDescent="0.25">
      <c r="B17" s="279"/>
      <c r="C17" s="107" t="s">
        <v>142</v>
      </c>
      <c r="D17" s="107"/>
      <c r="E17" s="106" t="s">
        <v>152</v>
      </c>
      <c r="F17" s="107"/>
      <c r="G17" s="107"/>
    </row>
    <row r="18" spans="2:7" x14ac:dyDescent="0.25">
      <c r="B18" s="279"/>
      <c r="C18" s="107"/>
      <c r="D18" s="107" t="s">
        <v>144</v>
      </c>
      <c r="E18" s="106" t="s">
        <v>152</v>
      </c>
      <c r="F18" s="107"/>
      <c r="G18" s="107">
        <v>30000</v>
      </c>
    </row>
    <row r="19" spans="2:7" ht="17.45" customHeight="1" x14ac:dyDescent="0.25">
      <c r="B19" s="280"/>
      <c r="C19" s="107" t="s">
        <v>145</v>
      </c>
      <c r="D19" s="107"/>
      <c r="E19" s="106" t="s">
        <v>152</v>
      </c>
      <c r="F19" s="107"/>
      <c r="G19" s="107"/>
    </row>
    <row r="20" spans="2:7" ht="14.45" x14ac:dyDescent="0.3">
      <c r="B20" s="107" t="s">
        <v>146</v>
      </c>
      <c r="C20" s="107" t="s">
        <v>154</v>
      </c>
      <c r="D20" s="107"/>
      <c r="E20" s="107" t="s">
        <v>153</v>
      </c>
      <c r="F20" s="107" t="s">
        <v>157</v>
      </c>
      <c r="G20" s="107">
        <v>1400</v>
      </c>
    </row>
    <row r="21" spans="2:7" thickBot="1" x14ac:dyDescent="0.35">
      <c r="B21" s="108" t="s">
        <v>147</v>
      </c>
      <c r="C21" s="108"/>
      <c r="D21" s="108"/>
      <c r="E21" s="108"/>
      <c r="F21" s="108">
        <v>25</v>
      </c>
      <c r="G21" s="108">
        <f>F21*90</f>
        <v>2250</v>
      </c>
    </row>
    <row r="22" spans="2:7" thickBot="1" x14ac:dyDescent="0.35">
      <c r="D22" s="105" t="s">
        <v>6</v>
      </c>
      <c r="E22" s="105"/>
      <c r="F22" s="105"/>
      <c r="G22" s="121">
        <f>SUM(G18:G21)</f>
        <v>33650</v>
      </c>
    </row>
    <row r="23" spans="2:7" thickBot="1" x14ac:dyDescent="0.35">
      <c r="B23" s="78"/>
      <c r="C23" s="78"/>
      <c r="D23" s="78"/>
      <c r="E23" s="78"/>
      <c r="F23" s="118" t="s">
        <v>191</v>
      </c>
      <c r="G23" s="122">
        <v>150</v>
      </c>
    </row>
    <row r="24" spans="2:7" thickBot="1" x14ac:dyDescent="0.35">
      <c r="B24" s="78"/>
      <c r="C24" s="78"/>
      <c r="D24" s="78"/>
      <c r="E24" s="78"/>
      <c r="F24" s="81" t="s">
        <v>192</v>
      </c>
      <c r="G24" s="120">
        <f>G22-G23</f>
        <v>33500</v>
      </c>
    </row>
    <row r="25" spans="2:7" s="103" customFormat="1" ht="26.45" customHeight="1" x14ac:dyDescent="0.3"/>
    <row r="26" spans="2:7" x14ac:dyDescent="0.25">
      <c r="B26" s="78"/>
      <c r="C26" s="78"/>
      <c r="D26" s="78"/>
      <c r="E26" s="78"/>
      <c r="F26" s="78"/>
    </row>
    <row r="27" spans="2:7" x14ac:dyDescent="0.25">
      <c r="B27" s="78"/>
      <c r="C27" s="78"/>
      <c r="D27" s="78"/>
      <c r="E27" s="78"/>
      <c r="F27" s="78"/>
    </row>
    <row r="28" spans="2:7" x14ac:dyDescent="0.25">
      <c r="B28" s="78"/>
      <c r="C28" s="78"/>
      <c r="D28" s="78"/>
      <c r="E28" s="78"/>
      <c r="F28" s="78"/>
    </row>
    <row r="29" spans="2:7" x14ac:dyDescent="0.25">
      <c r="B29" s="78"/>
      <c r="C29" s="78"/>
      <c r="D29" s="78"/>
      <c r="E29" s="78"/>
      <c r="F29" s="78"/>
    </row>
    <row r="30" spans="2:7" x14ac:dyDescent="0.25">
      <c r="B30" s="78"/>
      <c r="C30" s="78"/>
      <c r="D30" s="78"/>
      <c r="E30" s="78"/>
      <c r="F30" s="78"/>
    </row>
    <row r="31" spans="2:7" x14ac:dyDescent="0.25">
      <c r="B31" s="78"/>
      <c r="C31" s="78"/>
      <c r="D31" s="78"/>
      <c r="E31" s="78"/>
      <c r="F31" s="78"/>
    </row>
    <row r="32" spans="2:7" x14ac:dyDescent="0.25">
      <c r="B32" s="78"/>
      <c r="C32" s="78"/>
      <c r="D32" s="78"/>
      <c r="E32" s="78"/>
      <c r="F32" s="78"/>
    </row>
    <row r="33" spans="2:6" x14ac:dyDescent="0.25">
      <c r="B33" s="78"/>
      <c r="C33" s="78"/>
      <c r="D33" s="78"/>
      <c r="E33" s="78"/>
      <c r="F33" s="78"/>
    </row>
    <row r="34" spans="2:6" x14ac:dyDescent="0.25">
      <c r="B34" s="78"/>
      <c r="C34" s="78"/>
      <c r="D34" s="78"/>
      <c r="E34" s="78"/>
      <c r="F34" s="78"/>
    </row>
    <row r="35" spans="2:6" x14ac:dyDescent="0.25">
      <c r="B35" s="78"/>
      <c r="C35" s="78"/>
      <c r="D35" s="78"/>
      <c r="E35" s="78"/>
      <c r="F35" s="78"/>
    </row>
    <row r="36" spans="2:6" x14ac:dyDescent="0.25">
      <c r="B36" s="78"/>
      <c r="C36" s="78"/>
      <c r="D36" s="78"/>
      <c r="E36" s="78"/>
      <c r="F36" s="78"/>
    </row>
    <row r="37" spans="2:6" x14ac:dyDescent="0.25">
      <c r="B37" s="78"/>
      <c r="C37" s="78"/>
      <c r="D37" s="78"/>
      <c r="E37" s="78"/>
      <c r="F37" s="78"/>
    </row>
    <row r="38" spans="2:6" x14ac:dyDescent="0.25">
      <c r="B38" s="78"/>
      <c r="C38" s="78"/>
      <c r="D38" s="78"/>
      <c r="E38" s="78"/>
      <c r="F38" s="78"/>
    </row>
    <row r="39" spans="2:6" x14ac:dyDescent="0.25">
      <c r="B39" s="78"/>
      <c r="C39" s="78"/>
      <c r="D39" s="78"/>
      <c r="E39" s="78"/>
      <c r="F39" s="78"/>
    </row>
    <row r="40" spans="2:6" x14ac:dyDescent="0.25">
      <c r="B40" s="78"/>
      <c r="C40" s="78"/>
      <c r="D40" s="78"/>
      <c r="E40" s="78"/>
      <c r="F40" s="78"/>
    </row>
    <row r="41" spans="2:6" x14ac:dyDescent="0.25">
      <c r="B41" s="78"/>
      <c r="C41" s="78"/>
      <c r="D41" s="78"/>
      <c r="E41" s="78"/>
      <c r="F41" s="78"/>
    </row>
    <row r="42" spans="2:6" x14ac:dyDescent="0.25">
      <c r="B42" s="78"/>
      <c r="C42" s="78"/>
      <c r="D42" s="78"/>
      <c r="E42" s="78"/>
      <c r="F42" s="78"/>
    </row>
    <row r="43" spans="2:6" x14ac:dyDescent="0.25">
      <c r="B43" s="78"/>
      <c r="C43" s="78"/>
      <c r="D43" s="78"/>
      <c r="E43" s="78"/>
      <c r="F43" s="78"/>
    </row>
    <row r="44" spans="2:6" x14ac:dyDescent="0.25">
      <c r="B44" s="78"/>
      <c r="C44" s="78"/>
      <c r="D44" s="78"/>
      <c r="E44" s="78"/>
      <c r="F44" s="78"/>
    </row>
    <row r="45" spans="2:6" x14ac:dyDescent="0.25">
      <c r="B45" s="78"/>
      <c r="C45" s="78"/>
      <c r="D45" s="78"/>
      <c r="E45" s="78"/>
      <c r="F45" s="78"/>
    </row>
    <row r="46" spans="2:6" x14ac:dyDescent="0.25">
      <c r="B46" s="78"/>
      <c r="C46" s="78"/>
      <c r="D46" s="78"/>
      <c r="E46" s="78"/>
      <c r="F46" s="78"/>
    </row>
    <row r="47" spans="2:6" x14ac:dyDescent="0.25">
      <c r="B47" s="78"/>
      <c r="C47" s="78"/>
      <c r="D47" s="78"/>
      <c r="E47" s="78"/>
      <c r="F47" s="78"/>
    </row>
    <row r="48" spans="2:6" x14ac:dyDescent="0.25">
      <c r="B48" s="78"/>
      <c r="C48" s="78"/>
      <c r="D48" s="78"/>
      <c r="E48" s="78"/>
      <c r="F48" s="78"/>
    </row>
    <row r="49" spans="2:6" x14ac:dyDescent="0.25">
      <c r="B49" s="78"/>
      <c r="C49" s="78"/>
      <c r="D49" s="78"/>
      <c r="E49" s="78"/>
      <c r="F49" s="78"/>
    </row>
    <row r="50" spans="2:6" x14ac:dyDescent="0.25">
      <c r="B50" s="78"/>
      <c r="C50" s="78"/>
      <c r="D50" s="78"/>
      <c r="E50" s="78"/>
      <c r="F50" s="78"/>
    </row>
    <row r="51" spans="2:6" x14ac:dyDescent="0.25">
      <c r="B51" s="78"/>
      <c r="C51" s="78"/>
      <c r="D51" s="78"/>
      <c r="E51" s="78"/>
      <c r="F51" s="78"/>
    </row>
    <row r="52" spans="2:6" x14ac:dyDescent="0.25">
      <c r="B52" s="78"/>
      <c r="C52" s="78"/>
      <c r="D52" s="78"/>
      <c r="E52" s="78"/>
      <c r="F52" s="78"/>
    </row>
    <row r="53" spans="2:6" x14ac:dyDescent="0.25">
      <c r="B53" s="78"/>
      <c r="C53" s="78"/>
      <c r="D53" s="78"/>
      <c r="E53" s="78"/>
      <c r="F53" s="78"/>
    </row>
    <row r="54" spans="2:6" x14ac:dyDescent="0.25">
      <c r="B54" s="78"/>
      <c r="C54" s="78"/>
      <c r="D54" s="78"/>
      <c r="E54" s="78"/>
      <c r="F54" s="78"/>
    </row>
    <row r="55" spans="2:6" x14ac:dyDescent="0.25">
      <c r="B55" s="78"/>
      <c r="C55" s="78"/>
      <c r="D55" s="78"/>
      <c r="E55" s="78"/>
      <c r="F55" s="78"/>
    </row>
    <row r="56" spans="2:6" x14ac:dyDescent="0.25">
      <c r="B56" s="78"/>
      <c r="C56" s="78"/>
      <c r="D56" s="78"/>
      <c r="E56" s="78"/>
      <c r="F56" s="78"/>
    </row>
    <row r="57" spans="2:6" x14ac:dyDescent="0.25">
      <c r="B57" s="78"/>
      <c r="C57" s="78"/>
      <c r="D57" s="78"/>
      <c r="E57" s="78"/>
      <c r="F57" s="78"/>
    </row>
    <row r="58" spans="2:6" x14ac:dyDescent="0.25">
      <c r="B58" s="78"/>
      <c r="C58" s="78"/>
      <c r="D58" s="78"/>
      <c r="E58" s="78"/>
      <c r="F58" s="78"/>
    </row>
    <row r="59" spans="2:6" x14ac:dyDescent="0.25">
      <c r="B59" s="78"/>
      <c r="C59" s="78"/>
      <c r="D59" s="78"/>
      <c r="E59" s="78"/>
      <c r="F59" s="78"/>
    </row>
    <row r="60" spans="2:6" x14ac:dyDescent="0.25">
      <c r="B60" s="78"/>
      <c r="C60" s="78"/>
      <c r="D60" s="78"/>
      <c r="E60" s="78"/>
      <c r="F60" s="78"/>
    </row>
    <row r="61" spans="2:6" x14ac:dyDescent="0.25">
      <c r="B61" s="78"/>
      <c r="C61" s="78"/>
      <c r="D61" s="78"/>
      <c r="E61" s="78"/>
      <c r="F61" s="78"/>
    </row>
    <row r="62" spans="2:6" x14ac:dyDescent="0.25">
      <c r="B62" s="78"/>
      <c r="C62" s="78"/>
      <c r="D62" s="78"/>
      <c r="E62" s="78"/>
      <c r="F62" s="78"/>
    </row>
  </sheetData>
  <mergeCells count="3">
    <mergeCell ref="D2:H2"/>
    <mergeCell ref="B16:B19"/>
    <mergeCell ref="B6:B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1" t="s">
        <v>334</v>
      </c>
    </row>
    <row r="3" spans="1:2" x14ac:dyDescent="0.25">
      <c r="A3" s="145">
        <v>42379</v>
      </c>
      <c r="B3" s="143" t="s">
        <v>159</v>
      </c>
    </row>
    <row r="4" spans="1:2" x14ac:dyDescent="0.25">
      <c r="A4" s="145">
        <v>42389</v>
      </c>
      <c r="B4" s="143" t="s">
        <v>161</v>
      </c>
    </row>
    <row r="5" spans="1:2" x14ac:dyDescent="0.25">
      <c r="A5" s="145">
        <v>42392</v>
      </c>
      <c r="B5" s="143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1"/>
  <sheetViews>
    <sheetView workbookViewId="0"/>
  </sheetViews>
  <sheetFormatPr defaultColWidth="8.85546875" defaultRowHeight="15" x14ac:dyDescent="0.25"/>
  <cols>
    <col min="1" max="1" width="4" style="78" customWidth="1"/>
    <col min="2" max="2" width="13.28515625" style="104" customWidth="1"/>
    <col min="3" max="3" width="18.42578125" style="104" customWidth="1"/>
    <col min="4" max="6" width="14.7109375" style="104" customWidth="1"/>
    <col min="7" max="7" width="11.7109375" style="78" customWidth="1"/>
    <col min="8" max="8" width="10.140625" style="78" customWidth="1"/>
    <col min="9" max="9" width="27" style="78" customWidth="1"/>
    <col min="10" max="16384" width="8.85546875" style="78"/>
  </cols>
  <sheetData>
    <row r="2" spans="2:8" ht="14.45" x14ac:dyDescent="0.3">
      <c r="D2" s="277" t="s">
        <v>198</v>
      </c>
      <c r="E2" s="277"/>
      <c r="F2" s="277"/>
      <c r="G2" s="277"/>
      <c r="H2" s="277"/>
    </row>
    <row r="3" spans="2:8" thickBot="1" x14ac:dyDescent="0.35"/>
    <row r="4" spans="2:8" thickBot="1" x14ac:dyDescent="0.35">
      <c r="B4" s="110" t="s">
        <v>97</v>
      </c>
      <c r="F4" s="78"/>
    </row>
    <row r="5" spans="2:8" thickBot="1" x14ac:dyDescent="0.35">
      <c r="B5" s="83" t="s">
        <v>139</v>
      </c>
      <c r="C5" s="83" t="s">
        <v>185</v>
      </c>
      <c r="D5" s="83" t="s">
        <v>163</v>
      </c>
      <c r="E5" s="83" t="s">
        <v>174</v>
      </c>
      <c r="F5" s="78"/>
    </row>
    <row r="6" spans="2:8" ht="12.6" customHeight="1" x14ac:dyDescent="0.3">
      <c r="B6" s="116" t="s">
        <v>183</v>
      </c>
      <c r="C6" s="116">
        <v>160</v>
      </c>
      <c r="D6" s="116" t="s">
        <v>194</v>
      </c>
      <c r="E6" s="116">
        <f>C6*30</f>
        <v>4800</v>
      </c>
      <c r="F6" s="78"/>
    </row>
    <row r="7" spans="2:8" ht="14.45" x14ac:dyDescent="0.3">
      <c r="B7" s="109" t="s">
        <v>186</v>
      </c>
      <c r="C7" s="107">
        <v>200</v>
      </c>
      <c r="D7" s="107">
        <v>4</v>
      </c>
      <c r="E7" s="106">
        <f>C7*D7</f>
        <v>800</v>
      </c>
      <c r="F7" s="78"/>
    </row>
    <row r="8" spans="2:8" thickBot="1" x14ac:dyDescent="0.35">
      <c r="B8" s="117" t="s">
        <v>147</v>
      </c>
      <c r="C8" s="108">
        <v>400</v>
      </c>
      <c r="D8" s="108">
        <v>2</v>
      </c>
      <c r="E8" s="117">
        <f>C8*D8</f>
        <v>800</v>
      </c>
      <c r="F8" s="78"/>
    </row>
    <row r="9" spans="2:8" ht="17.45" customHeight="1" thickBot="1" x14ac:dyDescent="0.35">
      <c r="B9" s="78"/>
      <c r="C9" s="78"/>
      <c r="D9" s="78"/>
      <c r="E9" s="118">
        <f>SUM(E6:E8)</f>
        <v>6400</v>
      </c>
      <c r="F9" s="78"/>
    </row>
    <row r="10" spans="2:8" thickBot="1" x14ac:dyDescent="0.35">
      <c r="B10" s="78"/>
      <c r="C10" s="78"/>
      <c r="D10" s="78"/>
      <c r="E10" s="78"/>
      <c r="F10" s="78"/>
    </row>
    <row r="11" spans="2:8" thickBot="1" x14ac:dyDescent="0.35">
      <c r="B11" s="110" t="s">
        <v>155</v>
      </c>
      <c r="F11" s="78"/>
    </row>
    <row r="12" spans="2:8" thickBot="1" x14ac:dyDescent="0.35">
      <c r="B12" s="83" t="s">
        <v>139</v>
      </c>
      <c r="C12" s="83" t="s">
        <v>185</v>
      </c>
      <c r="D12" s="83" t="s">
        <v>163</v>
      </c>
      <c r="E12" s="83" t="s">
        <v>174</v>
      </c>
      <c r="F12" s="78"/>
    </row>
    <row r="13" spans="2:8" ht="14.45" x14ac:dyDescent="0.3">
      <c r="B13" s="116" t="s">
        <v>183</v>
      </c>
      <c r="C13" s="116">
        <v>160</v>
      </c>
      <c r="D13" s="116" t="s">
        <v>195</v>
      </c>
      <c r="E13" s="116">
        <f>C13*21.5</f>
        <v>3440</v>
      </c>
      <c r="F13" s="78"/>
    </row>
    <row r="14" spans="2:8" ht="14.45" x14ac:dyDescent="0.3">
      <c r="B14" s="109" t="s">
        <v>186</v>
      </c>
      <c r="C14" s="107">
        <v>200</v>
      </c>
      <c r="D14" s="107">
        <v>4</v>
      </c>
      <c r="E14" s="106">
        <f>C14*D14</f>
        <v>800</v>
      </c>
      <c r="F14" s="78"/>
    </row>
    <row r="15" spans="2:8" ht="12.6" customHeight="1" thickBot="1" x14ac:dyDescent="0.35">
      <c r="B15" s="117" t="s">
        <v>147</v>
      </c>
      <c r="C15" s="108">
        <v>400</v>
      </c>
      <c r="D15" s="108">
        <v>2</v>
      </c>
      <c r="E15" s="117">
        <f>C15*D15</f>
        <v>800</v>
      </c>
      <c r="F15" s="78"/>
    </row>
    <row r="16" spans="2:8" thickBot="1" x14ac:dyDescent="0.35">
      <c r="B16" s="78"/>
      <c r="C16" s="78"/>
      <c r="D16" s="118" t="s">
        <v>6</v>
      </c>
      <c r="E16" s="122">
        <f>SUM(E13:E15)</f>
        <v>5040</v>
      </c>
      <c r="F16" s="78"/>
    </row>
    <row r="17" spans="2:6" thickBot="1" x14ac:dyDescent="0.35">
      <c r="B17" s="78"/>
      <c r="C17" s="78"/>
      <c r="D17" s="118" t="s">
        <v>196</v>
      </c>
      <c r="E17" s="122">
        <v>160</v>
      </c>
      <c r="F17" s="78"/>
    </row>
    <row r="18" spans="2:6" ht="17.45" customHeight="1" thickBot="1" x14ac:dyDescent="0.35">
      <c r="B18" s="78"/>
      <c r="C18" s="78"/>
      <c r="D18" s="81" t="s">
        <v>197</v>
      </c>
      <c r="E18" s="120">
        <f>E16+E17</f>
        <v>5200</v>
      </c>
      <c r="F18" s="78"/>
    </row>
    <row r="19" spans="2:6" ht="14.45" x14ac:dyDescent="0.3">
      <c r="B19" s="78"/>
      <c r="C19" s="78"/>
      <c r="D19" s="78"/>
      <c r="E19" s="78"/>
      <c r="F19" s="78"/>
    </row>
    <row r="20" spans="2:6" ht="14.45" x14ac:dyDescent="0.3">
      <c r="B20" s="78"/>
      <c r="C20" s="78"/>
      <c r="D20" s="78"/>
      <c r="E20" s="78"/>
      <c r="F20" s="78"/>
    </row>
    <row r="21" spans="2:6" ht="14.45" x14ac:dyDescent="0.3">
      <c r="B21" s="78"/>
      <c r="C21" s="78"/>
      <c r="D21" s="78"/>
      <c r="E21" s="78"/>
      <c r="F21" s="78"/>
    </row>
    <row r="22" spans="2:6" ht="14.45" x14ac:dyDescent="0.3">
      <c r="B22" s="78"/>
      <c r="C22" s="78"/>
      <c r="D22" s="78"/>
      <c r="E22" s="78"/>
      <c r="F22" s="78"/>
    </row>
    <row r="23" spans="2:6" ht="14.45" x14ac:dyDescent="0.3">
      <c r="B23" s="78"/>
      <c r="C23" s="78"/>
      <c r="D23" s="78"/>
      <c r="E23" s="78"/>
      <c r="F23" s="78"/>
    </row>
    <row r="24" spans="2:6" s="103" customFormat="1" ht="26.45" customHeight="1" x14ac:dyDescent="0.3"/>
    <row r="25" spans="2:6" ht="14.45" x14ac:dyDescent="0.3">
      <c r="B25" s="78"/>
      <c r="C25" s="78"/>
      <c r="D25" s="78"/>
      <c r="E25" s="78"/>
      <c r="F25" s="78"/>
    </row>
    <row r="26" spans="2:6" ht="14.45" x14ac:dyDescent="0.3">
      <c r="B26" s="78"/>
      <c r="C26" s="78"/>
      <c r="D26" s="78"/>
      <c r="E26" s="78"/>
      <c r="F26" s="78"/>
    </row>
    <row r="27" spans="2:6" x14ac:dyDescent="0.25">
      <c r="B27" s="78"/>
      <c r="C27" s="78"/>
      <c r="D27" s="78"/>
      <c r="E27" s="78"/>
      <c r="F27" s="78"/>
    </row>
    <row r="28" spans="2:6" x14ac:dyDescent="0.25">
      <c r="B28" s="78"/>
      <c r="C28" s="78"/>
      <c r="D28" s="78"/>
      <c r="E28" s="78"/>
      <c r="F28" s="78"/>
    </row>
    <row r="29" spans="2:6" x14ac:dyDescent="0.25">
      <c r="B29" s="78"/>
      <c r="C29" s="78"/>
      <c r="D29" s="78"/>
      <c r="E29" s="78"/>
      <c r="F29" s="78"/>
    </row>
    <row r="30" spans="2:6" x14ac:dyDescent="0.25">
      <c r="B30" s="78"/>
      <c r="C30" s="78"/>
      <c r="D30" s="78"/>
      <c r="E30" s="78"/>
      <c r="F30" s="78"/>
    </row>
    <row r="31" spans="2:6" x14ac:dyDescent="0.25">
      <c r="B31" s="78"/>
      <c r="C31" s="78"/>
      <c r="D31" s="78"/>
      <c r="E31" s="78"/>
      <c r="F31" s="78"/>
    </row>
    <row r="32" spans="2:6" x14ac:dyDescent="0.25">
      <c r="B32" s="78"/>
      <c r="C32" s="78"/>
      <c r="D32" s="78"/>
      <c r="E32" s="78"/>
      <c r="F32" s="78"/>
    </row>
    <row r="33" spans="2:6" x14ac:dyDescent="0.25">
      <c r="B33" s="78"/>
      <c r="C33" s="78"/>
      <c r="D33" s="78"/>
      <c r="E33" s="78"/>
      <c r="F33" s="78"/>
    </row>
    <row r="34" spans="2:6" x14ac:dyDescent="0.25">
      <c r="B34" s="78"/>
      <c r="C34" s="78"/>
      <c r="D34" s="78"/>
      <c r="E34" s="78"/>
      <c r="F34" s="78"/>
    </row>
    <row r="35" spans="2:6" x14ac:dyDescent="0.25">
      <c r="B35" s="78"/>
      <c r="C35" s="78"/>
      <c r="D35" s="78"/>
      <c r="E35" s="78"/>
      <c r="F35" s="78"/>
    </row>
    <row r="36" spans="2:6" x14ac:dyDescent="0.25">
      <c r="B36" s="78"/>
      <c r="C36" s="78"/>
      <c r="D36" s="78"/>
      <c r="E36" s="78"/>
      <c r="F36" s="78"/>
    </row>
    <row r="37" spans="2:6" x14ac:dyDescent="0.25">
      <c r="B37" s="78"/>
      <c r="C37" s="78"/>
      <c r="D37" s="78"/>
      <c r="E37" s="78"/>
      <c r="F37" s="78"/>
    </row>
    <row r="38" spans="2:6" x14ac:dyDescent="0.25">
      <c r="B38" s="78"/>
      <c r="C38" s="78"/>
      <c r="D38" s="78"/>
      <c r="E38" s="78"/>
      <c r="F38" s="78"/>
    </row>
    <row r="39" spans="2:6" x14ac:dyDescent="0.25">
      <c r="B39" s="78"/>
      <c r="C39" s="78"/>
      <c r="D39" s="78"/>
      <c r="E39" s="78"/>
      <c r="F39" s="78"/>
    </row>
    <row r="40" spans="2:6" x14ac:dyDescent="0.25">
      <c r="B40" s="78"/>
      <c r="C40" s="78"/>
      <c r="D40" s="78"/>
      <c r="E40" s="78"/>
      <c r="F40" s="78"/>
    </row>
    <row r="41" spans="2:6" x14ac:dyDescent="0.25">
      <c r="B41" s="78"/>
      <c r="C41" s="78"/>
      <c r="D41" s="78"/>
      <c r="E41" s="78"/>
      <c r="F41" s="78"/>
    </row>
    <row r="42" spans="2:6" x14ac:dyDescent="0.25">
      <c r="B42" s="78"/>
      <c r="C42" s="78"/>
      <c r="D42" s="78"/>
      <c r="E42" s="78"/>
      <c r="F42" s="78"/>
    </row>
    <row r="43" spans="2:6" x14ac:dyDescent="0.25">
      <c r="B43" s="78"/>
      <c r="C43" s="78"/>
      <c r="D43" s="78"/>
      <c r="E43" s="78"/>
      <c r="F43" s="78"/>
    </row>
    <row r="44" spans="2:6" x14ac:dyDescent="0.25">
      <c r="B44" s="78"/>
      <c r="C44" s="78"/>
      <c r="D44" s="78"/>
      <c r="E44" s="78"/>
      <c r="F44" s="78"/>
    </row>
    <row r="45" spans="2:6" x14ac:dyDescent="0.25">
      <c r="B45" s="78"/>
      <c r="C45" s="78"/>
      <c r="D45" s="78"/>
      <c r="E45" s="78"/>
      <c r="F45" s="78"/>
    </row>
    <row r="46" spans="2:6" x14ac:dyDescent="0.25">
      <c r="B46" s="78"/>
      <c r="C46" s="78"/>
      <c r="D46" s="78"/>
      <c r="E46" s="78"/>
      <c r="F46" s="78"/>
    </row>
    <row r="47" spans="2:6" x14ac:dyDescent="0.25">
      <c r="B47" s="78"/>
      <c r="C47" s="78"/>
      <c r="D47" s="78"/>
      <c r="E47" s="78"/>
      <c r="F47" s="78"/>
    </row>
    <row r="48" spans="2:6" x14ac:dyDescent="0.25">
      <c r="B48" s="78"/>
      <c r="C48" s="78"/>
      <c r="D48" s="78"/>
      <c r="E48" s="78"/>
      <c r="F48" s="78"/>
    </row>
    <row r="49" spans="2:6" x14ac:dyDescent="0.25">
      <c r="B49" s="78"/>
      <c r="C49" s="78"/>
      <c r="D49" s="78"/>
      <c r="E49" s="78"/>
      <c r="F49" s="78"/>
    </row>
    <row r="50" spans="2:6" x14ac:dyDescent="0.25">
      <c r="B50" s="78"/>
      <c r="C50" s="78"/>
      <c r="D50" s="78"/>
      <c r="E50" s="78"/>
      <c r="F50" s="78"/>
    </row>
    <row r="51" spans="2:6" x14ac:dyDescent="0.25">
      <c r="B51" s="78"/>
      <c r="C51" s="78"/>
      <c r="D51" s="78"/>
      <c r="E51" s="78"/>
      <c r="F51" s="78"/>
    </row>
    <row r="52" spans="2:6" x14ac:dyDescent="0.25">
      <c r="B52" s="78"/>
      <c r="C52" s="78"/>
      <c r="D52" s="78"/>
      <c r="E52" s="78"/>
      <c r="F52" s="78"/>
    </row>
    <row r="53" spans="2:6" x14ac:dyDescent="0.25">
      <c r="B53" s="78"/>
      <c r="C53" s="78"/>
      <c r="D53" s="78"/>
      <c r="E53" s="78"/>
      <c r="F53" s="78"/>
    </row>
    <row r="54" spans="2:6" x14ac:dyDescent="0.25">
      <c r="B54" s="78"/>
      <c r="C54" s="78"/>
      <c r="D54" s="78"/>
      <c r="E54" s="78"/>
      <c r="F54" s="78"/>
    </row>
    <row r="55" spans="2:6" x14ac:dyDescent="0.25">
      <c r="B55" s="78"/>
      <c r="C55" s="78"/>
      <c r="D55" s="78"/>
      <c r="E55" s="78"/>
      <c r="F55" s="78"/>
    </row>
    <row r="56" spans="2:6" x14ac:dyDescent="0.25">
      <c r="B56" s="78"/>
      <c r="C56" s="78"/>
      <c r="D56" s="78"/>
      <c r="E56" s="78"/>
      <c r="F56" s="78"/>
    </row>
    <row r="57" spans="2:6" x14ac:dyDescent="0.25">
      <c r="B57" s="78"/>
      <c r="C57" s="78"/>
      <c r="D57" s="78"/>
      <c r="E57" s="78"/>
      <c r="F57" s="78"/>
    </row>
    <row r="58" spans="2:6" x14ac:dyDescent="0.25">
      <c r="B58" s="78"/>
      <c r="C58" s="78"/>
      <c r="D58" s="78"/>
      <c r="E58" s="78"/>
      <c r="F58" s="78"/>
    </row>
    <row r="59" spans="2:6" x14ac:dyDescent="0.25">
      <c r="B59" s="78"/>
      <c r="C59" s="78"/>
      <c r="D59" s="78"/>
      <c r="E59" s="78"/>
      <c r="F59" s="78"/>
    </row>
    <row r="60" spans="2:6" x14ac:dyDescent="0.25">
      <c r="B60" s="78"/>
      <c r="C60" s="78"/>
      <c r="D60" s="78"/>
      <c r="E60" s="78"/>
      <c r="F60" s="78"/>
    </row>
    <row r="61" spans="2:6" x14ac:dyDescent="0.25">
      <c r="B61" s="78"/>
      <c r="C61" s="78"/>
      <c r="D61" s="78"/>
      <c r="E61" s="78"/>
      <c r="F61" s="78"/>
    </row>
  </sheetData>
  <mergeCells count="1">
    <mergeCell ref="D2:H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44"/>
  <sheetViews>
    <sheetView topLeftCell="C1" workbookViewId="0">
      <pane ySplit="5" topLeftCell="A27" activePane="bottomLeft" state="frozen"/>
      <selection pane="bottomLeft" activeCell="R46" sqref="R46"/>
    </sheetView>
  </sheetViews>
  <sheetFormatPr defaultRowHeight="15" x14ac:dyDescent="0.25"/>
  <cols>
    <col min="1" max="1" width="12.5703125" customWidth="1"/>
    <col min="3" max="3" width="15.28515625" bestFit="1" customWidth="1"/>
    <col min="5" max="5" width="12.7109375" bestFit="1" customWidth="1"/>
    <col min="6" max="6" width="10.7109375" bestFit="1" customWidth="1"/>
    <col min="7" max="7" width="12.140625" bestFit="1" customWidth="1"/>
    <col min="8" max="8" width="10.5703125" bestFit="1" customWidth="1"/>
    <col min="9" max="9" width="14.7109375" bestFit="1" customWidth="1"/>
    <col min="10" max="10" width="11.42578125" bestFit="1" customWidth="1"/>
    <col min="13" max="13" width="12.140625" bestFit="1" customWidth="1"/>
    <col min="15" max="15" width="13.85546875" bestFit="1" customWidth="1"/>
    <col min="18" max="18" width="10.5703125" bestFit="1" customWidth="1"/>
  </cols>
  <sheetData>
    <row r="1" spans="1:21" ht="14.45" x14ac:dyDescent="0.3">
      <c r="A1" s="1" t="s">
        <v>227</v>
      </c>
    </row>
    <row r="3" spans="1:21" ht="14.45" x14ac:dyDescent="0.3">
      <c r="A3" s="1" t="s">
        <v>228</v>
      </c>
    </row>
    <row r="4" spans="1:21" x14ac:dyDescent="0.25">
      <c r="I4" s="154" t="s">
        <v>229</v>
      </c>
      <c r="O4" s="154" t="s">
        <v>230</v>
      </c>
    </row>
    <row r="5" spans="1:21" x14ac:dyDescent="0.25">
      <c r="A5" s="154" t="s">
        <v>206</v>
      </c>
      <c r="C5" s="1" t="s">
        <v>149</v>
      </c>
      <c r="D5" s="1" t="s">
        <v>250</v>
      </c>
      <c r="E5" s="1" t="s">
        <v>249</v>
      </c>
      <c r="F5" s="1" t="s">
        <v>266</v>
      </c>
      <c r="G5" s="1" t="s">
        <v>6</v>
      </c>
      <c r="H5" s="1"/>
      <c r="I5" s="1" t="s">
        <v>149</v>
      </c>
      <c r="J5" s="1" t="s">
        <v>250</v>
      </c>
      <c r="K5" s="1" t="s">
        <v>249</v>
      </c>
      <c r="L5" s="1" t="s">
        <v>266</v>
      </c>
      <c r="M5" s="1" t="s">
        <v>6</v>
      </c>
      <c r="O5" s="1" t="s">
        <v>149</v>
      </c>
      <c r="P5" s="1" t="s">
        <v>249</v>
      </c>
      <c r="Q5" s="1" t="s">
        <v>266</v>
      </c>
      <c r="R5" s="1" t="s">
        <v>6</v>
      </c>
      <c r="S5" s="1" t="s">
        <v>250</v>
      </c>
    </row>
    <row r="6" spans="1:21" ht="14.45" x14ac:dyDescent="0.3">
      <c r="A6" t="s">
        <v>231</v>
      </c>
    </row>
    <row r="7" spans="1:21" ht="14.45" x14ac:dyDescent="0.3">
      <c r="A7" t="s">
        <v>247</v>
      </c>
      <c r="C7" t="s">
        <v>234</v>
      </c>
      <c r="D7" t="s">
        <v>241</v>
      </c>
      <c r="E7" s="157">
        <f>78/2</f>
        <v>39</v>
      </c>
      <c r="F7">
        <f>G7/E7</f>
        <v>210</v>
      </c>
      <c r="G7" s="160">
        <v>8190</v>
      </c>
      <c r="H7" s="155"/>
      <c r="I7" t="s">
        <v>265</v>
      </c>
      <c r="J7" t="s">
        <v>241</v>
      </c>
      <c r="K7" s="157">
        <v>46</v>
      </c>
      <c r="L7">
        <f>M7/K7</f>
        <v>200</v>
      </c>
      <c r="M7" s="157">
        <v>9200</v>
      </c>
      <c r="N7" s="157"/>
      <c r="T7">
        <f>46</f>
        <v>46</v>
      </c>
      <c r="U7">
        <f>R13/T7</f>
        <v>208</v>
      </c>
    </row>
    <row r="8" spans="1:21" ht="14.45" x14ac:dyDescent="0.3">
      <c r="A8" t="s">
        <v>233</v>
      </c>
      <c r="C8" t="s">
        <v>235</v>
      </c>
      <c r="D8" t="s">
        <v>241</v>
      </c>
      <c r="E8" s="157">
        <v>180</v>
      </c>
      <c r="F8">
        <f>G8/E8</f>
        <v>27</v>
      </c>
      <c r="G8" s="160">
        <v>4860</v>
      </c>
      <c r="H8" s="155"/>
      <c r="I8" t="s">
        <v>240</v>
      </c>
      <c r="J8" t="s">
        <v>242</v>
      </c>
    </row>
    <row r="9" spans="1:21" ht="14.45" x14ac:dyDescent="0.3">
      <c r="A9" t="s">
        <v>246</v>
      </c>
      <c r="C9" t="s">
        <v>263</v>
      </c>
      <c r="E9" s="157">
        <v>38</v>
      </c>
      <c r="F9" s="157">
        <f>G9/E9</f>
        <v>45</v>
      </c>
      <c r="G9" s="160">
        <v>1710</v>
      </c>
      <c r="H9" s="155"/>
      <c r="L9" t="s">
        <v>6</v>
      </c>
      <c r="M9">
        <f>M7+M8</f>
        <v>9200</v>
      </c>
    </row>
    <row r="10" spans="1:21" ht="14.45" x14ac:dyDescent="0.3">
      <c r="F10" t="s">
        <v>6</v>
      </c>
      <c r="G10" s="156">
        <f>SUM(G7:G9)</f>
        <v>14760</v>
      </c>
      <c r="H10" s="155"/>
      <c r="L10" t="s">
        <v>267</v>
      </c>
      <c r="M10" s="164">
        <f>M9*1.065</f>
        <v>9798</v>
      </c>
    </row>
    <row r="11" spans="1:21" ht="14.45" x14ac:dyDescent="0.3">
      <c r="F11" t="s">
        <v>267</v>
      </c>
      <c r="G11" s="155">
        <f>G10*1.065</f>
        <v>15719.4</v>
      </c>
      <c r="H11" s="164">
        <f>G11+550</f>
        <v>16269.4</v>
      </c>
    </row>
    <row r="12" spans="1:21" ht="14.45" x14ac:dyDescent="0.3">
      <c r="A12" s="1" t="s">
        <v>232</v>
      </c>
    </row>
    <row r="13" spans="1:21" ht="14.45" x14ac:dyDescent="0.3">
      <c r="A13" t="s">
        <v>247</v>
      </c>
      <c r="C13" t="s">
        <v>236</v>
      </c>
      <c r="D13" t="s">
        <v>241</v>
      </c>
      <c r="E13" s="157">
        <v>46</v>
      </c>
      <c r="F13">
        <f>G13/E13</f>
        <v>180</v>
      </c>
      <c r="G13" s="162">
        <v>8280</v>
      </c>
      <c r="I13" t="s">
        <v>238</v>
      </c>
      <c r="J13" t="s">
        <v>242</v>
      </c>
      <c r="K13" s="157">
        <v>52</v>
      </c>
      <c r="L13">
        <f>M13/K13</f>
        <v>210</v>
      </c>
      <c r="M13" s="162">
        <v>10920</v>
      </c>
      <c r="N13" s="161"/>
      <c r="O13" t="s">
        <v>265</v>
      </c>
      <c r="P13">
        <v>46</v>
      </c>
      <c r="Q13">
        <f>R13/P13</f>
        <v>208</v>
      </c>
      <c r="R13" s="162">
        <v>9568</v>
      </c>
      <c r="S13" t="s">
        <v>241</v>
      </c>
    </row>
    <row r="14" spans="1:21" ht="14.45" x14ac:dyDescent="0.3">
      <c r="A14" t="s">
        <v>233</v>
      </c>
      <c r="C14" t="s">
        <v>237</v>
      </c>
      <c r="D14" t="s">
        <v>241</v>
      </c>
      <c r="E14" s="157">
        <v>320</v>
      </c>
      <c r="F14">
        <f>G14/E14</f>
        <v>18</v>
      </c>
      <c r="G14" s="162">
        <f>3840+1920</f>
        <v>5760</v>
      </c>
      <c r="I14" t="s">
        <v>239</v>
      </c>
      <c r="J14" t="s">
        <v>242</v>
      </c>
      <c r="K14" s="157">
        <v>320</v>
      </c>
      <c r="L14">
        <f>M14/K14</f>
        <v>24</v>
      </c>
      <c r="M14" s="162">
        <f>7680</f>
        <v>7680</v>
      </c>
      <c r="N14" s="161"/>
      <c r="O14" t="s">
        <v>244</v>
      </c>
      <c r="P14">
        <v>120</v>
      </c>
      <c r="Q14">
        <f>R14/P14</f>
        <v>27.5</v>
      </c>
      <c r="R14" s="155">
        <v>3300</v>
      </c>
      <c r="S14" t="s">
        <v>243</v>
      </c>
    </row>
    <row r="15" spans="1:21" ht="14.45" x14ac:dyDescent="0.3">
      <c r="A15" t="s">
        <v>246</v>
      </c>
      <c r="K15" s="157">
        <v>48</v>
      </c>
      <c r="L15">
        <f>M15/K15</f>
        <v>40</v>
      </c>
      <c r="M15" s="162">
        <v>1920</v>
      </c>
      <c r="O15" t="s">
        <v>264</v>
      </c>
      <c r="P15" s="157">
        <v>38</v>
      </c>
      <c r="Q15" s="157">
        <f>R15/P15</f>
        <v>45</v>
      </c>
      <c r="R15" s="162">
        <v>1710</v>
      </c>
      <c r="S15" t="s">
        <v>241</v>
      </c>
    </row>
    <row r="16" spans="1:21" ht="14.45" x14ac:dyDescent="0.3">
      <c r="F16" t="s">
        <v>6</v>
      </c>
      <c r="G16" s="163">
        <f>SUM(G13:G15)</f>
        <v>14040</v>
      </c>
      <c r="L16" t="s">
        <v>6</v>
      </c>
      <c r="M16" s="155">
        <f>SUM(M13:M15)</f>
        <v>20520</v>
      </c>
      <c r="R16" s="156">
        <f>SUM(R13:R15)</f>
        <v>14578</v>
      </c>
    </row>
    <row r="17" spans="1:18" ht="14.45" x14ac:dyDescent="0.3">
      <c r="A17" s="1" t="s">
        <v>245</v>
      </c>
      <c r="F17" t="s">
        <v>267</v>
      </c>
      <c r="G17" s="164">
        <f>G16*1.065</f>
        <v>14952.599999999999</v>
      </c>
      <c r="L17" t="s">
        <v>268</v>
      </c>
      <c r="M17" s="164">
        <v>21800</v>
      </c>
      <c r="Q17" t="s">
        <v>268</v>
      </c>
      <c r="R17" s="164">
        <f>R16*1.065</f>
        <v>15525.57</v>
      </c>
    </row>
    <row r="18" spans="1:18" ht="14.45" x14ac:dyDescent="0.3">
      <c r="L18" s="1"/>
      <c r="M18" s="156"/>
    </row>
    <row r="19" spans="1:18" ht="14.45" x14ac:dyDescent="0.3">
      <c r="A19" t="s">
        <v>233</v>
      </c>
      <c r="C19" t="s">
        <v>248</v>
      </c>
      <c r="D19" t="s">
        <v>241</v>
      </c>
      <c r="E19" s="157">
        <f>1800/2</f>
        <v>900</v>
      </c>
      <c r="F19" s="155">
        <f>G19/E19</f>
        <v>16</v>
      </c>
      <c r="G19" s="162">
        <v>14400</v>
      </c>
    </row>
    <row r="20" spans="1:18" ht="14.45" x14ac:dyDescent="0.3">
      <c r="F20" t="s">
        <v>267</v>
      </c>
      <c r="G20" s="164">
        <f>G19*1.065</f>
        <v>15336</v>
      </c>
    </row>
    <row r="21" spans="1:18" ht="14.45" x14ac:dyDescent="0.3">
      <c r="G21" s="155"/>
    </row>
    <row r="22" spans="1:18" ht="14.45" x14ac:dyDescent="0.3">
      <c r="A22" s="151">
        <v>42493</v>
      </c>
      <c r="B22" s="153" t="s">
        <v>314</v>
      </c>
    </row>
    <row r="23" spans="1:18" ht="14.45" x14ac:dyDescent="0.3">
      <c r="A23" s="151">
        <v>42485</v>
      </c>
      <c r="B23" s="152" t="s">
        <v>226</v>
      </c>
    </row>
    <row r="24" spans="1:18" x14ac:dyDescent="0.25">
      <c r="A24" s="176">
        <v>42534</v>
      </c>
      <c r="B24" s="177" t="s">
        <v>312</v>
      </c>
    </row>
    <row r="25" spans="1:18" ht="14.45" x14ac:dyDescent="0.3">
      <c r="E25" t="s">
        <v>272</v>
      </c>
      <c r="H25" s="159">
        <f>H11+G17+G20+M10+R17</f>
        <v>71881.570000000007</v>
      </c>
      <c r="I25" t="s">
        <v>241</v>
      </c>
      <c r="J25" s="159"/>
    </row>
    <row r="26" spans="1:18" ht="14.45" x14ac:dyDescent="0.3">
      <c r="E26" t="s">
        <v>273</v>
      </c>
      <c r="H26" s="159">
        <f>M17</f>
        <v>21800</v>
      </c>
      <c r="I26" t="s">
        <v>242</v>
      </c>
    </row>
    <row r="27" spans="1:18" ht="14.45" x14ac:dyDescent="0.3">
      <c r="H27" s="163">
        <f>SUM(H25:H26)</f>
        <v>93681.57</v>
      </c>
    </row>
    <row r="28" spans="1:18" ht="14.45" x14ac:dyDescent="0.3">
      <c r="G28" s="1" t="s">
        <v>274</v>
      </c>
    </row>
    <row r="29" spans="1:18" ht="14.45" x14ac:dyDescent="0.3">
      <c r="G29" t="s">
        <v>271</v>
      </c>
      <c r="H29" s="155">
        <f>27784+1500</f>
        <v>29284</v>
      </c>
      <c r="I29" t="s">
        <v>276</v>
      </c>
    </row>
    <row r="30" spans="1:18" ht="14.45" x14ac:dyDescent="0.3">
      <c r="G30" t="s">
        <v>271</v>
      </c>
      <c r="H30" s="155">
        <f>19000+4600</f>
        <v>23600</v>
      </c>
      <c r="I30" t="s">
        <v>276</v>
      </c>
    </row>
    <row r="31" spans="1:18" ht="14.45" x14ac:dyDescent="0.3">
      <c r="G31" t="s">
        <v>271</v>
      </c>
      <c r="H31" s="155">
        <v>3840</v>
      </c>
      <c r="I31" t="s">
        <v>276</v>
      </c>
    </row>
    <row r="32" spans="1:18" ht="14.45" x14ac:dyDescent="0.3">
      <c r="G32" t="s">
        <v>271</v>
      </c>
      <c r="H32" s="155">
        <v>12200</v>
      </c>
      <c r="I32" t="s">
        <v>276</v>
      </c>
    </row>
    <row r="33" spans="1:19" ht="14.45" x14ac:dyDescent="0.3">
      <c r="G33" t="s">
        <v>277</v>
      </c>
      <c r="H33" s="155">
        <f>H26</f>
        <v>21800</v>
      </c>
      <c r="I33" t="s">
        <v>276</v>
      </c>
    </row>
    <row r="34" spans="1:19" x14ac:dyDescent="0.25">
      <c r="G34" t="s">
        <v>6</v>
      </c>
      <c r="H34" s="156">
        <f>SUM(H29:H33)</f>
        <v>90724</v>
      </c>
    </row>
    <row r="35" spans="1:19" x14ac:dyDescent="0.25">
      <c r="G35" t="s">
        <v>275</v>
      </c>
      <c r="H35" s="159">
        <f>H27-H34</f>
        <v>2957.570000000007</v>
      </c>
    </row>
    <row r="37" spans="1:19" x14ac:dyDescent="0.25">
      <c r="A37" s="1" t="s">
        <v>285</v>
      </c>
    </row>
    <row r="38" spans="1:19" x14ac:dyDescent="0.25">
      <c r="C38" t="s">
        <v>284</v>
      </c>
      <c r="E38" s="162"/>
      <c r="F38" s="162"/>
      <c r="G38" s="160"/>
      <c r="I38" t="s">
        <v>336</v>
      </c>
      <c r="J38" t="s">
        <v>337</v>
      </c>
      <c r="K38">
        <v>295</v>
      </c>
      <c r="L38" s="205">
        <f>M38/K38</f>
        <v>446.4406779661017</v>
      </c>
      <c r="M38" s="155">
        <f>88000+21000+22700</f>
        <v>131700</v>
      </c>
      <c r="O38" t="s">
        <v>265</v>
      </c>
      <c r="P38">
        <v>46</v>
      </c>
      <c r="Q38">
        <f>169</f>
        <v>169</v>
      </c>
      <c r="R38" s="160">
        <f>P38*Q38</f>
        <v>7774</v>
      </c>
      <c r="S38" t="s">
        <v>241</v>
      </c>
    </row>
    <row r="39" spans="1:19" x14ac:dyDescent="0.25">
      <c r="C39" t="s">
        <v>289</v>
      </c>
      <c r="D39" t="s">
        <v>286</v>
      </c>
      <c r="E39" s="157">
        <v>80</v>
      </c>
      <c r="F39" s="162">
        <f>G39/E39</f>
        <v>263.07499999999999</v>
      </c>
      <c r="G39" s="160">
        <v>21046</v>
      </c>
      <c r="M39" s="155"/>
      <c r="O39" t="s">
        <v>284</v>
      </c>
      <c r="P39" s="162">
        <v>91.42</v>
      </c>
      <c r="Q39" s="162">
        <v>170.64</v>
      </c>
      <c r="R39" s="160">
        <f>(P39*Q39)+1374</f>
        <v>16973.908799999997</v>
      </c>
      <c r="S39" t="s">
        <v>241</v>
      </c>
    </row>
    <row r="40" spans="1:19" x14ac:dyDescent="0.25">
      <c r="C40" t="s">
        <v>288</v>
      </c>
      <c r="D40" t="s">
        <v>287</v>
      </c>
      <c r="E40" s="157">
        <v>73</v>
      </c>
      <c r="F40" s="162">
        <f>G40/E40</f>
        <v>222.46575342465752</v>
      </c>
      <c r="G40" s="160">
        <f>1040+15200</f>
        <v>16240</v>
      </c>
      <c r="M40" s="155"/>
    </row>
    <row r="41" spans="1:19" x14ac:dyDescent="0.25">
      <c r="G41" s="163">
        <f>SUM(G38:G40)</f>
        <v>37286</v>
      </c>
      <c r="M41" s="155"/>
    </row>
    <row r="42" spans="1:19" x14ac:dyDescent="0.25">
      <c r="M42" s="155"/>
    </row>
    <row r="43" spans="1:19" x14ac:dyDescent="0.25">
      <c r="C43" t="s">
        <v>338</v>
      </c>
      <c r="D43" t="s">
        <v>339</v>
      </c>
      <c r="E43">
        <v>250</v>
      </c>
      <c r="F43">
        <f>365.5+91.97</f>
        <v>457.47</v>
      </c>
      <c r="G43" s="155">
        <f>(E43*F43)+2700</f>
        <v>117067.5</v>
      </c>
      <c r="I43" t="s">
        <v>341</v>
      </c>
      <c r="J43" t="s">
        <v>339</v>
      </c>
      <c r="K43">
        <v>110</v>
      </c>
      <c r="L43">
        <v>660</v>
      </c>
      <c r="M43" s="155">
        <f>(K43*L43)+3700</f>
        <v>76300</v>
      </c>
      <c r="N43" t="s">
        <v>340</v>
      </c>
    </row>
    <row r="44" spans="1:19" x14ac:dyDescent="0.25">
      <c r="G44" t="s">
        <v>342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3"/>
  <sheetViews>
    <sheetView topLeftCell="A10" workbookViewId="0">
      <selection activeCell="C33" sqref="C33"/>
    </sheetView>
  </sheetViews>
  <sheetFormatPr defaultRowHeight="15" x14ac:dyDescent="0.25"/>
  <cols>
    <col min="1" max="1" width="10.140625" bestFit="1" customWidth="1"/>
    <col min="2" max="2" width="10.5703125" bestFit="1" customWidth="1"/>
    <col min="11" max="11" width="10.5703125" bestFit="1" customWidth="1"/>
  </cols>
  <sheetData>
    <row r="1" spans="1:2" x14ac:dyDescent="0.3">
      <c r="A1" s="1" t="s">
        <v>251</v>
      </c>
    </row>
    <row r="3" spans="1:2" x14ac:dyDescent="0.3">
      <c r="A3" t="s">
        <v>252</v>
      </c>
    </row>
    <row r="4" spans="1:2" x14ac:dyDescent="0.25">
      <c r="A4" s="208" t="s">
        <v>253</v>
      </c>
    </row>
    <row r="5" spans="1:2" s="1" customFormat="1" x14ac:dyDescent="0.25">
      <c r="A5" s="1" t="s">
        <v>335</v>
      </c>
      <c r="B5" s="1" t="s">
        <v>3</v>
      </c>
    </row>
    <row r="6" spans="1:2" x14ac:dyDescent="0.25">
      <c r="A6" s="194">
        <v>42546</v>
      </c>
      <c r="B6" s="162">
        <v>630</v>
      </c>
    </row>
    <row r="7" spans="1:2" x14ac:dyDescent="0.25">
      <c r="A7" s="194">
        <v>42531</v>
      </c>
      <c r="B7" s="155">
        <v>1440</v>
      </c>
    </row>
    <row r="8" spans="1:2" x14ac:dyDescent="0.25">
      <c r="A8" s="194">
        <v>42491</v>
      </c>
      <c r="B8" s="162">
        <v>1810</v>
      </c>
    </row>
    <row r="9" spans="1:2" x14ac:dyDescent="0.25">
      <c r="A9" s="194">
        <v>42495</v>
      </c>
      <c r="B9" s="155">
        <v>4550</v>
      </c>
    </row>
    <row r="10" spans="1:2" x14ac:dyDescent="0.25">
      <c r="A10" s="194">
        <v>42500</v>
      </c>
      <c r="B10" s="155">
        <v>940</v>
      </c>
    </row>
    <row r="11" spans="1:2" x14ac:dyDescent="0.25">
      <c r="A11" s="194">
        <v>42531</v>
      </c>
      <c r="B11" s="155">
        <v>35600</v>
      </c>
    </row>
    <row r="12" spans="1:2" x14ac:dyDescent="0.25">
      <c r="A12" s="194">
        <v>42484</v>
      </c>
      <c r="B12" s="155">
        <v>5330</v>
      </c>
    </row>
    <row r="13" spans="1:2" x14ac:dyDescent="0.25">
      <c r="A13" s="194">
        <v>42491</v>
      </c>
      <c r="B13" s="162">
        <v>6324</v>
      </c>
    </row>
    <row r="14" spans="1:2" x14ac:dyDescent="0.25">
      <c r="A14" s="194">
        <v>42491</v>
      </c>
      <c r="B14" s="162">
        <v>880</v>
      </c>
    </row>
    <row r="15" spans="1:2" x14ac:dyDescent="0.25">
      <c r="A15" s="194">
        <v>42497</v>
      </c>
      <c r="B15" s="162">
        <v>5900</v>
      </c>
    </row>
    <row r="16" spans="1:2" x14ac:dyDescent="0.25">
      <c r="A16" s="194">
        <v>42512</v>
      </c>
      <c r="B16" s="155">
        <v>2300</v>
      </c>
    </row>
    <row r="17" spans="1:3" x14ac:dyDescent="0.25">
      <c r="A17" s="194">
        <v>42512</v>
      </c>
      <c r="B17" s="155">
        <v>150</v>
      </c>
    </row>
    <row r="18" spans="1:3" x14ac:dyDescent="0.25">
      <c r="A18" s="194">
        <v>42512</v>
      </c>
      <c r="B18" s="155">
        <v>130</v>
      </c>
    </row>
    <row r="19" spans="1:3" x14ac:dyDescent="0.25">
      <c r="A19" s="194">
        <v>42531</v>
      </c>
      <c r="B19" s="206">
        <v>26880</v>
      </c>
    </row>
    <row r="20" spans="1:3" x14ac:dyDescent="0.25">
      <c r="A20" s="194">
        <v>42531</v>
      </c>
      <c r="B20" s="207">
        <v>630</v>
      </c>
    </row>
    <row r="21" spans="1:3" x14ac:dyDescent="0.25">
      <c r="A21" s="194">
        <v>42531</v>
      </c>
      <c r="B21" s="162">
        <v>1250</v>
      </c>
    </row>
    <row r="22" spans="1:3" x14ac:dyDescent="0.25">
      <c r="B22" s="163">
        <f>SUM(B6:B21)</f>
        <v>94744</v>
      </c>
      <c r="C22" t="s">
        <v>319</v>
      </c>
    </row>
    <row r="24" spans="1:3" x14ac:dyDescent="0.3">
      <c r="A24" t="s">
        <v>316</v>
      </c>
    </row>
    <row r="25" spans="1:3" x14ac:dyDescent="0.3">
      <c r="B25" s="159">
        <v>73370</v>
      </c>
      <c r="C25" t="s">
        <v>63</v>
      </c>
    </row>
    <row r="26" spans="1:3" x14ac:dyDescent="0.3">
      <c r="B26" s="155">
        <v>8953</v>
      </c>
      <c r="C26" t="s">
        <v>63</v>
      </c>
    </row>
    <row r="27" spans="1:3" x14ac:dyDescent="0.3">
      <c r="B27" s="159">
        <v>12421</v>
      </c>
      <c r="C27" t="s">
        <v>63</v>
      </c>
    </row>
    <row r="28" spans="1:3" x14ac:dyDescent="0.25">
      <c r="A28" t="s">
        <v>315</v>
      </c>
      <c r="B28" s="163">
        <f>SUM(B25:B27)</f>
        <v>94744</v>
      </c>
    </row>
    <row r="30" spans="1:3" x14ac:dyDescent="0.25">
      <c r="A30" s="1" t="s">
        <v>350</v>
      </c>
    </row>
    <row r="31" spans="1:3" x14ac:dyDescent="0.25">
      <c r="A31" t="s">
        <v>351</v>
      </c>
      <c r="B31" s="155">
        <v>4500</v>
      </c>
    </row>
    <row r="32" spans="1:3" x14ac:dyDescent="0.25">
      <c r="A32" t="s">
        <v>147</v>
      </c>
      <c r="B32" s="155">
        <v>3000</v>
      </c>
    </row>
    <row r="33" spans="1:2" x14ac:dyDescent="0.25">
      <c r="A33" s="1" t="s">
        <v>6</v>
      </c>
      <c r="B33" s="156">
        <f>SUM(B31:B32)</f>
        <v>7500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4"/>
  <sheetViews>
    <sheetView workbookViewId="0">
      <selection activeCell="A13" sqref="A13"/>
    </sheetView>
  </sheetViews>
  <sheetFormatPr defaultRowHeight="15" x14ac:dyDescent="0.25"/>
  <cols>
    <col min="2" max="2" width="54.7109375" bestFit="1" customWidth="1"/>
  </cols>
  <sheetData>
    <row r="1" spans="1:6" x14ac:dyDescent="0.3">
      <c r="A1" s="1" t="s">
        <v>255</v>
      </c>
    </row>
    <row r="2" spans="1:6" x14ac:dyDescent="0.25">
      <c r="E2" t="s">
        <v>343</v>
      </c>
      <c r="F2" t="s">
        <v>344</v>
      </c>
    </row>
    <row r="3" spans="1:6" x14ac:dyDescent="0.3">
      <c r="A3" s="1" t="s">
        <v>256</v>
      </c>
      <c r="E3" t="s">
        <v>345</v>
      </c>
      <c r="F3" t="s">
        <v>63</v>
      </c>
    </row>
    <row r="4" spans="1:6" x14ac:dyDescent="0.3">
      <c r="A4" s="1"/>
    </row>
    <row r="5" spans="1:6" x14ac:dyDescent="0.3">
      <c r="A5" s="158" t="s">
        <v>261</v>
      </c>
      <c r="B5" s="158" t="s">
        <v>262</v>
      </c>
      <c r="C5" s="158" t="s">
        <v>64</v>
      </c>
    </row>
    <row r="6" spans="1:6" x14ac:dyDescent="0.3">
      <c r="A6" s="151">
        <v>42457</v>
      </c>
      <c r="B6" s="152" t="s">
        <v>260</v>
      </c>
      <c r="C6" s="152" t="s">
        <v>63</v>
      </c>
    </row>
    <row r="7" spans="1:6" x14ac:dyDescent="0.3">
      <c r="A7" s="151">
        <v>42474</v>
      </c>
      <c r="B7" s="152" t="s">
        <v>259</v>
      </c>
      <c r="C7" s="152" t="s">
        <v>63</v>
      </c>
    </row>
    <row r="8" spans="1:6" x14ac:dyDescent="0.3">
      <c r="A8" s="151">
        <v>42485</v>
      </c>
      <c r="B8" s="152" t="s">
        <v>258</v>
      </c>
      <c r="C8" s="152" t="s">
        <v>63</v>
      </c>
    </row>
    <row r="9" spans="1:6" x14ac:dyDescent="0.3">
      <c r="A9" s="151">
        <v>42497</v>
      </c>
      <c r="B9" s="152" t="s">
        <v>257</v>
      </c>
      <c r="C9" s="152" t="s">
        <v>63</v>
      </c>
    </row>
    <row r="10" spans="1:6" x14ac:dyDescent="0.3">
      <c r="A10" s="151">
        <v>42511</v>
      </c>
      <c r="B10" s="152" t="s">
        <v>260</v>
      </c>
      <c r="C10" s="152" t="s">
        <v>62</v>
      </c>
    </row>
    <row r="11" spans="1:6" x14ac:dyDescent="0.25">
      <c r="A11" s="151">
        <v>42521</v>
      </c>
      <c r="B11" s="152" t="s">
        <v>302</v>
      </c>
      <c r="C11" s="152" t="s">
        <v>62</v>
      </c>
    </row>
    <row r="12" spans="1:6" x14ac:dyDescent="0.25">
      <c r="A12" s="151">
        <v>42541</v>
      </c>
      <c r="B12" s="152" t="s">
        <v>309</v>
      </c>
      <c r="C12" s="152" t="s">
        <v>63</v>
      </c>
    </row>
    <row r="13" spans="1:6" x14ac:dyDescent="0.25">
      <c r="A13" s="151">
        <v>42553</v>
      </c>
      <c r="B13" s="152" t="s">
        <v>258</v>
      </c>
      <c r="C13" s="152" t="s">
        <v>62</v>
      </c>
    </row>
    <row r="14" spans="1:6" x14ac:dyDescent="0.25">
      <c r="A14" s="151">
        <v>42553</v>
      </c>
      <c r="B14" s="152" t="s">
        <v>310</v>
      </c>
      <c r="C14" s="152" t="s">
        <v>63</v>
      </c>
    </row>
  </sheetData>
  <autoFilter ref="A5:C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62"/>
  <sheetViews>
    <sheetView topLeftCell="A24" workbookViewId="0">
      <selection activeCell="D40" sqref="D40"/>
    </sheetView>
  </sheetViews>
  <sheetFormatPr defaultRowHeight="15" x14ac:dyDescent="0.25"/>
  <cols>
    <col min="1" max="1" width="4.5703125" customWidth="1"/>
    <col min="2" max="2" width="6.7109375" customWidth="1"/>
    <col min="3" max="3" width="37.28515625" customWidth="1"/>
    <col min="4" max="4" width="16" customWidth="1"/>
    <col min="5" max="5" width="11.5703125" style="8" bestFit="1" customWidth="1"/>
    <col min="6" max="6" width="13.28515625" style="72" customWidth="1"/>
    <col min="7" max="7" width="8.85546875" style="6"/>
    <col min="9" max="9" width="6.28515625" customWidth="1"/>
    <col min="10" max="10" width="53" bestFit="1" customWidth="1"/>
    <col min="11" max="11" width="16.140625" bestFit="1" customWidth="1"/>
    <col min="12" max="12" width="18.42578125" customWidth="1"/>
  </cols>
  <sheetData>
    <row r="1" spans="2:17" ht="15.75" thickBot="1" x14ac:dyDescent="0.3"/>
    <row r="2" spans="2:17" ht="15.75" thickBot="1" x14ac:dyDescent="0.3">
      <c r="B2" s="244" t="s">
        <v>14</v>
      </c>
      <c r="C2" s="245"/>
      <c r="D2" s="245"/>
      <c r="E2" s="245"/>
      <c r="F2" s="245"/>
      <c r="G2" s="245"/>
      <c r="H2" s="246"/>
    </row>
    <row r="3" spans="2:17" ht="15.75" thickBot="1" x14ac:dyDescent="0.3"/>
    <row r="4" spans="2:17" s="1" customFormat="1" ht="15.75" thickBot="1" x14ac:dyDescent="0.3">
      <c r="B4" s="30" t="s">
        <v>11</v>
      </c>
      <c r="C4" s="4" t="s">
        <v>12</v>
      </c>
      <c r="D4" s="4" t="s">
        <v>5</v>
      </c>
      <c r="E4" s="10" t="s">
        <v>3</v>
      </c>
      <c r="F4" s="73" t="s">
        <v>26</v>
      </c>
      <c r="G4" s="11" t="s">
        <v>4</v>
      </c>
      <c r="H4" s="4" t="s">
        <v>64</v>
      </c>
    </row>
    <row r="5" spans="2:17" x14ac:dyDescent="0.25">
      <c r="B5" s="247">
        <v>0</v>
      </c>
      <c r="C5" s="31" t="s">
        <v>0</v>
      </c>
      <c r="D5" s="47">
        <v>41983</v>
      </c>
      <c r="E5" s="32">
        <v>20000</v>
      </c>
      <c r="F5" s="252">
        <f>E5+E6+E7</f>
        <v>300000</v>
      </c>
      <c r="G5" s="33" t="s">
        <v>2</v>
      </c>
      <c r="H5" s="2"/>
    </row>
    <row r="6" spans="2:17" x14ac:dyDescent="0.25">
      <c r="B6" s="251"/>
      <c r="C6" s="2" t="s">
        <v>0</v>
      </c>
      <c r="D6" s="48">
        <v>41989</v>
      </c>
      <c r="E6" s="20">
        <v>100000</v>
      </c>
      <c r="F6" s="253"/>
      <c r="G6" s="21" t="s">
        <v>2</v>
      </c>
      <c r="H6" s="2"/>
    </row>
    <row r="7" spans="2:17" ht="15.75" thickBot="1" x14ac:dyDescent="0.3">
      <c r="B7" s="248"/>
      <c r="C7" s="3" t="s">
        <v>0</v>
      </c>
      <c r="D7" s="49">
        <v>42085</v>
      </c>
      <c r="E7" s="17">
        <v>180000</v>
      </c>
      <c r="F7" s="254"/>
      <c r="G7" s="7" t="s">
        <v>2</v>
      </c>
      <c r="H7" s="2"/>
    </row>
    <row r="8" spans="2:17" x14ac:dyDescent="0.25">
      <c r="B8" s="251">
        <v>1</v>
      </c>
      <c r="C8" s="2" t="s">
        <v>1</v>
      </c>
      <c r="D8" s="48">
        <v>42114</v>
      </c>
      <c r="E8" s="20">
        <v>36800</v>
      </c>
      <c r="F8" s="249">
        <f>E8+E9+E10+E11</f>
        <v>482800</v>
      </c>
      <c r="G8" s="21" t="s">
        <v>2</v>
      </c>
      <c r="H8" s="31"/>
    </row>
    <row r="9" spans="2:17" ht="15.75" thickBot="1" x14ac:dyDescent="0.3">
      <c r="B9" s="251"/>
      <c r="C9" s="2" t="s">
        <v>23</v>
      </c>
      <c r="D9" s="48">
        <v>42114</v>
      </c>
      <c r="E9" s="20">
        <v>300000</v>
      </c>
      <c r="F9" s="255"/>
      <c r="G9" s="21" t="s">
        <v>2</v>
      </c>
      <c r="H9" s="2"/>
      <c r="N9">
        <f>M11*7.5%</f>
        <v>266028.75</v>
      </c>
      <c r="O9" s="159">
        <f>N9-F33</f>
        <v>-61971.25</v>
      </c>
    </row>
    <row r="10" spans="2:17" ht="28.9" customHeight="1" thickBot="1" x14ac:dyDescent="0.3">
      <c r="B10" s="251"/>
      <c r="C10" s="2" t="s">
        <v>24</v>
      </c>
      <c r="D10" s="48">
        <v>42152</v>
      </c>
      <c r="E10" s="20">
        <v>120000</v>
      </c>
      <c r="F10" s="255"/>
      <c r="G10" s="21" t="s">
        <v>2</v>
      </c>
      <c r="H10" s="2"/>
      <c r="M10" s="11" t="s">
        <v>6</v>
      </c>
      <c r="N10" s="82" t="s">
        <v>91</v>
      </c>
      <c r="O10" s="83" t="s">
        <v>92</v>
      </c>
      <c r="P10" s="84" t="s">
        <v>94</v>
      </c>
      <c r="Q10" s="85" t="s">
        <v>93</v>
      </c>
    </row>
    <row r="11" spans="2:17" ht="15.75" thickBot="1" x14ac:dyDescent="0.3">
      <c r="B11" s="248"/>
      <c r="C11" s="3" t="s">
        <v>25</v>
      </c>
      <c r="D11" s="49">
        <v>42152</v>
      </c>
      <c r="E11" s="17">
        <v>26000</v>
      </c>
      <c r="F11" s="250"/>
      <c r="G11" s="7" t="s">
        <v>2</v>
      </c>
      <c r="H11" s="3"/>
      <c r="M11" s="86">
        <v>3547050</v>
      </c>
      <c r="N11" s="80">
        <f>(M11*10)/100</f>
        <v>354705</v>
      </c>
      <c r="O11" s="89">
        <f>N11-(F5/6)</f>
        <v>304705</v>
      </c>
      <c r="P11" s="81">
        <f>(M11*15)/100</f>
        <v>532057.5</v>
      </c>
      <c r="Q11" s="90">
        <f>P11-(F5/6)</f>
        <v>482057.5</v>
      </c>
    </row>
    <row r="12" spans="2:17" x14ac:dyDescent="0.25">
      <c r="B12" s="251">
        <v>2</v>
      </c>
      <c r="C12" s="2" t="s">
        <v>22</v>
      </c>
      <c r="D12" s="19">
        <v>42166</v>
      </c>
      <c r="E12" s="20">
        <v>200000</v>
      </c>
      <c r="F12" s="249">
        <f>E12+E13+E14</f>
        <v>482000</v>
      </c>
      <c r="G12" s="21" t="s">
        <v>2</v>
      </c>
      <c r="H12" s="31"/>
      <c r="L12" s="78"/>
    </row>
    <row r="13" spans="2:17" x14ac:dyDescent="0.25">
      <c r="B13" s="251"/>
      <c r="C13" s="2" t="s">
        <v>47</v>
      </c>
      <c r="D13" s="19">
        <v>42172</v>
      </c>
      <c r="E13" s="20">
        <v>100000</v>
      </c>
      <c r="F13" s="255"/>
      <c r="G13" s="21" t="s">
        <v>2</v>
      </c>
      <c r="H13" s="2"/>
      <c r="L13" s="78"/>
    </row>
    <row r="14" spans="2:17" ht="15.75" thickBot="1" x14ac:dyDescent="0.3">
      <c r="B14" s="248"/>
      <c r="C14" s="3" t="s">
        <v>48</v>
      </c>
      <c r="D14" s="34">
        <v>42177</v>
      </c>
      <c r="E14" s="17">
        <v>182000</v>
      </c>
      <c r="F14" s="250"/>
      <c r="G14" s="7" t="s">
        <v>2</v>
      </c>
      <c r="H14" s="3" t="s">
        <v>291</v>
      </c>
      <c r="L14" s="78"/>
    </row>
    <row r="15" spans="2:17" x14ac:dyDescent="0.25">
      <c r="B15" s="251">
        <v>3</v>
      </c>
      <c r="C15" s="2" t="s">
        <v>54</v>
      </c>
      <c r="D15" s="19">
        <v>42199</v>
      </c>
      <c r="E15" s="20">
        <v>100000</v>
      </c>
      <c r="F15" s="256">
        <f>E15+E16+E17</f>
        <v>482000</v>
      </c>
      <c r="G15" s="21" t="s">
        <v>2</v>
      </c>
      <c r="H15" s="31" t="s">
        <v>63</v>
      </c>
      <c r="L15" s="165"/>
    </row>
    <row r="16" spans="2:17" x14ac:dyDescent="0.25">
      <c r="B16" s="251"/>
      <c r="C16" s="2" t="s">
        <v>59</v>
      </c>
      <c r="D16" s="19">
        <v>42201</v>
      </c>
      <c r="E16" s="20">
        <v>382000</v>
      </c>
      <c r="F16" s="257"/>
      <c r="G16" s="21" t="s">
        <v>2</v>
      </c>
      <c r="H16" s="2" t="s">
        <v>63</v>
      </c>
      <c r="L16" s="78"/>
    </row>
    <row r="17" spans="2:12" ht="15.75" thickBot="1" x14ac:dyDescent="0.3">
      <c r="B17" s="248"/>
      <c r="C17" s="3"/>
      <c r="D17" s="34"/>
      <c r="E17" s="17"/>
      <c r="F17" s="258"/>
      <c r="G17" s="7" t="s">
        <v>2</v>
      </c>
      <c r="H17" s="3" t="s">
        <v>63</v>
      </c>
      <c r="L17" s="78"/>
    </row>
    <row r="18" spans="2:12" x14ac:dyDescent="0.25">
      <c r="B18" s="259">
        <v>4</v>
      </c>
      <c r="C18" s="2" t="s">
        <v>56</v>
      </c>
      <c r="D18" s="19">
        <v>42192</v>
      </c>
      <c r="E18" s="166">
        <v>25000</v>
      </c>
      <c r="F18" s="252">
        <f>E18+E19+E20+E21+E22+E23+E24</f>
        <v>304000</v>
      </c>
      <c r="G18" s="21" t="s">
        <v>2</v>
      </c>
      <c r="H18" s="31" t="s">
        <v>63</v>
      </c>
      <c r="L18" s="78"/>
    </row>
    <row r="19" spans="2:12" x14ac:dyDescent="0.25">
      <c r="B19" s="253"/>
      <c r="C19" s="2" t="s">
        <v>55</v>
      </c>
      <c r="D19" s="19">
        <v>42193</v>
      </c>
      <c r="E19" s="166">
        <v>25000</v>
      </c>
      <c r="F19" s="253"/>
      <c r="G19" s="21" t="s">
        <v>2</v>
      </c>
      <c r="H19" s="2" t="s">
        <v>63</v>
      </c>
      <c r="L19" s="78"/>
    </row>
    <row r="20" spans="2:12" x14ac:dyDescent="0.25">
      <c r="B20" s="253"/>
      <c r="C20" s="2" t="s">
        <v>57</v>
      </c>
      <c r="D20" s="19">
        <v>42198</v>
      </c>
      <c r="E20" s="171">
        <v>40000</v>
      </c>
      <c r="F20" s="253"/>
      <c r="G20" s="21" t="s">
        <v>2</v>
      </c>
      <c r="H20" s="2" t="s">
        <v>63</v>
      </c>
    </row>
    <row r="21" spans="2:12" x14ac:dyDescent="0.25">
      <c r="B21" s="253"/>
      <c r="C21" s="69" t="s">
        <v>66</v>
      </c>
      <c r="D21" s="70">
        <v>42257</v>
      </c>
      <c r="E21" s="171">
        <v>100000</v>
      </c>
      <c r="F21" s="253"/>
      <c r="G21" s="71" t="s">
        <v>2</v>
      </c>
      <c r="H21" s="69" t="s">
        <v>62</v>
      </c>
    </row>
    <row r="22" spans="2:12" x14ac:dyDescent="0.25">
      <c r="B22" s="253"/>
      <c r="C22" s="69" t="s">
        <v>85</v>
      </c>
      <c r="D22" s="70">
        <v>42295</v>
      </c>
      <c r="E22" s="171">
        <v>50000</v>
      </c>
      <c r="F22" s="253"/>
      <c r="G22" s="71" t="s">
        <v>2</v>
      </c>
      <c r="H22" s="69" t="s">
        <v>62</v>
      </c>
    </row>
    <row r="23" spans="2:12" x14ac:dyDescent="0.25">
      <c r="B23" s="253"/>
      <c r="C23" s="69" t="s">
        <v>84</v>
      </c>
      <c r="D23" s="70">
        <v>42295</v>
      </c>
      <c r="E23" s="166">
        <v>54000</v>
      </c>
      <c r="F23" s="253"/>
      <c r="G23" s="71" t="s">
        <v>2</v>
      </c>
      <c r="H23" s="69" t="s">
        <v>63</v>
      </c>
    </row>
    <row r="24" spans="2:12" ht="15.75" thickBot="1" x14ac:dyDescent="0.3">
      <c r="B24" s="254"/>
      <c r="C24" s="69" t="s">
        <v>87</v>
      </c>
      <c r="D24" s="70">
        <v>42345</v>
      </c>
      <c r="E24" s="167">
        <v>10000</v>
      </c>
      <c r="F24" s="254"/>
      <c r="G24" s="119" t="s">
        <v>2</v>
      </c>
      <c r="H24" s="69" t="s">
        <v>63</v>
      </c>
    </row>
    <row r="25" spans="2:12" x14ac:dyDescent="0.25">
      <c r="B25" s="247">
        <v>5</v>
      </c>
      <c r="C25" s="31" t="s">
        <v>58</v>
      </c>
      <c r="D25" s="58">
        <v>42229</v>
      </c>
      <c r="E25" s="172">
        <v>300000</v>
      </c>
      <c r="F25" s="249">
        <f>E25+E26</f>
        <v>482000</v>
      </c>
      <c r="G25" s="33" t="s">
        <v>2</v>
      </c>
      <c r="H25" s="31" t="s">
        <v>62</v>
      </c>
      <c r="I25" s="79"/>
    </row>
    <row r="26" spans="2:12" ht="15.75" thickBot="1" x14ac:dyDescent="0.3">
      <c r="B26" s="248"/>
      <c r="C26" s="3" t="s">
        <v>60</v>
      </c>
      <c r="D26" s="34">
        <v>42237</v>
      </c>
      <c r="E26" s="173">
        <v>182000</v>
      </c>
      <c r="F26" s="250"/>
      <c r="G26" s="7" t="s">
        <v>2</v>
      </c>
      <c r="H26" s="3" t="s">
        <v>62</v>
      </c>
      <c r="I26" s="79"/>
    </row>
    <row r="27" spans="2:12" ht="15.75" thickBot="1" x14ac:dyDescent="0.3">
      <c r="B27" s="60">
        <v>6</v>
      </c>
      <c r="C27" s="64" t="s">
        <v>86</v>
      </c>
      <c r="D27" s="74">
        <v>42305</v>
      </c>
      <c r="E27" s="168">
        <v>250000</v>
      </c>
      <c r="F27" s="75">
        <f>E27</f>
        <v>250000</v>
      </c>
      <c r="G27" s="76" t="s">
        <v>2</v>
      </c>
      <c r="H27" s="77" t="s">
        <v>63</v>
      </c>
      <c r="I27" s="79"/>
    </row>
    <row r="28" spans="2:12" x14ac:dyDescent="0.25">
      <c r="B28" s="259">
        <v>7</v>
      </c>
      <c r="C28" s="63" t="s">
        <v>88</v>
      </c>
      <c r="D28" s="124">
        <v>42345</v>
      </c>
      <c r="E28" s="169">
        <v>40000</v>
      </c>
      <c r="F28" s="260">
        <f>E28+E29+E31+E30+E32</f>
        <v>304000</v>
      </c>
      <c r="G28" s="125" t="s">
        <v>2</v>
      </c>
      <c r="H28" s="63" t="s">
        <v>63</v>
      </c>
    </row>
    <row r="29" spans="2:12" x14ac:dyDescent="0.25">
      <c r="B29" s="253"/>
      <c r="C29" s="126" t="s">
        <v>189</v>
      </c>
      <c r="D29" s="127">
        <v>42401</v>
      </c>
      <c r="E29" s="174">
        <v>50000</v>
      </c>
      <c r="F29" s="261"/>
      <c r="G29" s="71" t="s">
        <v>2</v>
      </c>
      <c r="H29" s="69" t="s">
        <v>62</v>
      </c>
    </row>
    <row r="30" spans="2:12" x14ac:dyDescent="0.25">
      <c r="B30" s="123"/>
      <c r="C30" s="126" t="s">
        <v>200</v>
      </c>
      <c r="D30" s="127">
        <v>42430</v>
      </c>
      <c r="E30" s="170">
        <v>150000</v>
      </c>
      <c r="F30" s="261"/>
      <c r="G30" s="71" t="s">
        <v>2</v>
      </c>
      <c r="H30" s="69" t="s">
        <v>63</v>
      </c>
    </row>
    <row r="31" spans="2:12" x14ac:dyDescent="0.25">
      <c r="B31" s="132"/>
      <c r="C31" s="126" t="s">
        <v>200</v>
      </c>
      <c r="D31" s="146">
        <v>42447</v>
      </c>
      <c r="E31" s="171">
        <v>50000</v>
      </c>
      <c r="F31" s="261"/>
      <c r="G31" s="71" t="s">
        <v>2</v>
      </c>
      <c r="H31" s="69" t="s">
        <v>62</v>
      </c>
    </row>
    <row r="32" spans="2:12" ht="15.75" thickBot="1" x14ac:dyDescent="0.3">
      <c r="B32" s="175"/>
      <c r="C32" s="126" t="s">
        <v>200</v>
      </c>
      <c r="D32" s="146">
        <v>42469</v>
      </c>
      <c r="E32" s="171">
        <v>14000</v>
      </c>
      <c r="F32" s="261"/>
      <c r="G32" s="71" t="s">
        <v>2</v>
      </c>
      <c r="H32" s="69" t="s">
        <v>62</v>
      </c>
    </row>
    <row r="33" spans="2:8" x14ac:dyDescent="0.25">
      <c r="B33" s="247">
        <v>8</v>
      </c>
      <c r="C33" s="186" t="s">
        <v>218</v>
      </c>
      <c r="D33" s="180">
        <v>42469</v>
      </c>
      <c r="E33" s="183">
        <f>50000-E32</f>
        <v>36000</v>
      </c>
      <c r="F33" s="262">
        <f>E33+E34+E35+E36+E37</f>
        <v>328000</v>
      </c>
      <c r="G33" s="190" t="s">
        <v>2</v>
      </c>
      <c r="H33" s="63" t="s">
        <v>62</v>
      </c>
    </row>
    <row r="34" spans="2:8" x14ac:dyDescent="0.25">
      <c r="B34" s="251"/>
      <c r="C34" s="187" t="s">
        <v>219</v>
      </c>
      <c r="D34" s="145">
        <v>42469</v>
      </c>
      <c r="E34" s="184">
        <v>100000</v>
      </c>
      <c r="F34" s="263"/>
      <c r="G34" s="191" t="s">
        <v>2</v>
      </c>
      <c r="H34" s="69" t="s">
        <v>63</v>
      </c>
    </row>
    <row r="35" spans="2:8" x14ac:dyDescent="0.25">
      <c r="B35" s="251"/>
      <c r="C35" s="188" t="s">
        <v>301</v>
      </c>
      <c r="D35" s="181">
        <v>42493</v>
      </c>
      <c r="E35" s="185">
        <v>50000</v>
      </c>
      <c r="F35" s="263"/>
      <c r="G35" s="179" t="s">
        <v>2</v>
      </c>
      <c r="H35" s="178" t="s">
        <v>63</v>
      </c>
    </row>
    <row r="36" spans="2:8" x14ac:dyDescent="0.25">
      <c r="B36" s="251"/>
      <c r="C36" s="188" t="s">
        <v>300</v>
      </c>
      <c r="D36" s="181">
        <v>42528</v>
      </c>
      <c r="E36" s="185">
        <v>100000</v>
      </c>
      <c r="F36" s="263"/>
      <c r="G36" s="192" t="s">
        <v>2</v>
      </c>
      <c r="H36" s="193" t="s">
        <v>62</v>
      </c>
    </row>
    <row r="37" spans="2:8" ht="15.75" thickBot="1" x14ac:dyDescent="0.3">
      <c r="B37" s="248"/>
      <c r="C37" s="197" t="s">
        <v>303</v>
      </c>
      <c r="D37" s="196">
        <v>42559</v>
      </c>
      <c r="E37" s="195">
        <v>42000</v>
      </c>
      <c r="F37" s="264"/>
      <c r="G37" s="200" t="s">
        <v>2</v>
      </c>
      <c r="H37" s="201" t="s">
        <v>63</v>
      </c>
    </row>
    <row r="38" spans="2:8" x14ac:dyDescent="0.25">
      <c r="B38" s="247">
        <v>9</v>
      </c>
      <c r="C38" s="198" t="s">
        <v>304</v>
      </c>
      <c r="D38" s="199">
        <v>42559</v>
      </c>
      <c r="E38" s="185">
        <v>8000</v>
      </c>
      <c r="F38" s="265">
        <f>E38+E39+E41+E40</f>
        <v>128000</v>
      </c>
      <c r="G38" s="202" t="s">
        <v>2</v>
      </c>
      <c r="H38" s="198" t="s">
        <v>63</v>
      </c>
    </row>
    <row r="39" spans="2:8" x14ac:dyDescent="0.25">
      <c r="B39" s="251"/>
      <c r="C39" s="188" t="s">
        <v>305</v>
      </c>
      <c r="D39" s="181">
        <v>42562</v>
      </c>
      <c r="E39" s="185">
        <v>50000</v>
      </c>
      <c r="F39" s="266"/>
      <c r="G39" s="203" t="s">
        <v>2</v>
      </c>
      <c r="H39" s="188" t="s">
        <v>62</v>
      </c>
    </row>
    <row r="40" spans="2:8" x14ac:dyDescent="0.25">
      <c r="B40" s="251"/>
      <c r="C40" s="188" t="s">
        <v>388</v>
      </c>
      <c r="D40" s="181">
        <v>42562</v>
      </c>
      <c r="E40" s="185">
        <v>50000</v>
      </c>
      <c r="F40" s="267"/>
      <c r="G40" s="243" t="s">
        <v>2</v>
      </c>
      <c r="H40" s="197" t="s">
        <v>63</v>
      </c>
    </row>
    <row r="41" spans="2:8" ht="15.75" thickBot="1" x14ac:dyDescent="0.3">
      <c r="B41" s="248"/>
      <c r="C41" s="189" t="s">
        <v>306</v>
      </c>
      <c r="D41" s="182">
        <v>42562</v>
      </c>
      <c r="E41" s="185">
        <v>20000</v>
      </c>
      <c r="F41" s="268"/>
      <c r="G41" s="204" t="s">
        <v>2</v>
      </c>
      <c r="H41" s="189" t="s">
        <v>62</v>
      </c>
    </row>
    <row r="42" spans="2:8" ht="15.75" thickBot="1" x14ac:dyDescent="0.3">
      <c r="B42" s="147" t="s">
        <v>6</v>
      </c>
      <c r="C42" s="3"/>
      <c r="D42" s="3"/>
      <c r="E42" s="148">
        <f>SUM(E5:E41)</f>
        <v>3542800</v>
      </c>
      <c r="F42" s="148">
        <f>SUM(F5:F41)</f>
        <v>3542800</v>
      </c>
      <c r="G42" s="149"/>
      <c r="H42" s="3"/>
    </row>
    <row r="43" spans="2:8" ht="15.75" thickBot="1" x14ac:dyDescent="0.3">
      <c r="B43" s="128"/>
      <c r="E43" s="129"/>
      <c r="F43" s="130"/>
    </row>
    <row r="44" spans="2:8" x14ac:dyDescent="0.25">
      <c r="C44" s="31" t="s">
        <v>89</v>
      </c>
    </row>
    <row r="45" spans="2:8" x14ac:dyDescent="0.25">
      <c r="C45" s="2" t="s">
        <v>132</v>
      </c>
    </row>
    <row r="46" spans="2:8" ht="15.75" thickBot="1" x14ac:dyDescent="0.3">
      <c r="C46" s="3" t="s">
        <v>90</v>
      </c>
    </row>
    <row r="47" spans="2:8" ht="15.75" thickBot="1" x14ac:dyDescent="0.3"/>
    <row r="48" spans="2:8" x14ac:dyDescent="0.25">
      <c r="C48" s="31" t="s">
        <v>220</v>
      </c>
    </row>
    <row r="49" spans="3:12" x14ac:dyDescent="0.25">
      <c r="C49" s="2" t="s">
        <v>221</v>
      </c>
    </row>
    <row r="50" spans="3:12" ht="15.75" thickBot="1" x14ac:dyDescent="0.3">
      <c r="C50" s="3" t="s">
        <v>222</v>
      </c>
    </row>
    <row r="61" spans="3:12" x14ac:dyDescent="0.25">
      <c r="K61" s="159"/>
      <c r="L61" s="159"/>
    </row>
    <row r="62" spans="3:12" x14ac:dyDescent="0.25">
      <c r="L62" s="159"/>
    </row>
  </sheetData>
  <mergeCells count="19">
    <mergeCell ref="F28:F32"/>
    <mergeCell ref="F33:F37"/>
    <mergeCell ref="B33:B37"/>
    <mergeCell ref="F38:F41"/>
    <mergeCell ref="B28:B29"/>
    <mergeCell ref="B38:B41"/>
    <mergeCell ref="B2:H2"/>
    <mergeCell ref="B25:B26"/>
    <mergeCell ref="F25:F26"/>
    <mergeCell ref="B8:B11"/>
    <mergeCell ref="B12:B14"/>
    <mergeCell ref="F5:F7"/>
    <mergeCell ref="F8:F11"/>
    <mergeCell ref="F12:F14"/>
    <mergeCell ref="B15:B17"/>
    <mergeCell ref="F15:F17"/>
    <mergeCell ref="B5:B7"/>
    <mergeCell ref="F18:F24"/>
    <mergeCell ref="B18:B2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H7" sqref="H7"/>
    </sheetView>
  </sheetViews>
  <sheetFormatPr defaultRowHeight="15" x14ac:dyDescent="0.25"/>
  <cols>
    <col min="1" max="1" width="53" bestFit="1" customWidth="1"/>
    <col min="2" max="3" width="10.5703125" bestFit="1" customWidth="1"/>
    <col min="4" max="4" width="10.5703125" style="161" bestFit="1" customWidth="1"/>
  </cols>
  <sheetData>
    <row r="2" spans="1:4" ht="15.75" thickBot="1" x14ac:dyDescent="0.3"/>
    <row r="3" spans="1:4" ht="15.75" thickBot="1" x14ac:dyDescent="0.3">
      <c r="A3" s="212" t="s">
        <v>367</v>
      </c>
    </row>
    <row r="4" spans="1:4" ht="15.75" thickBot="1" x14ac:dyDescent="0.3"/>
    <row r="5" spans="1:4" ht="15.75" thickBot="1" x14ac:dyDescent="0.3">
      <c r="A5" s="4"/>
      <c r="B5" s="269" t="s">
        <v>366</v>
      </c>
      <c r="C5" s="270"/>
      <c r="D5" s="271"/>
    </row>
    <row r="6" spans="1:4" ht="15.75" thickBot="1" x14ac:dyDescent="0.3">
      <c r="A6" s="36"/>
      <c r="B6" s="234" t="s">
        <v>290</v>
      </c>
      <c r="C6" s="234" t="s">
        <v>62</v>
      </c>
      <c r="D6" s="235" t="s">
        <v>63</v>
      </c>
    </row>
    <row r="7" spans="1:4" x14ac:dyDescent="0.25">
      <c r="A7" s="233" t="s">
        <v>30</v>
      </c>
      <c r="B7" s="231">
        <f>Ramjilal!F5+Ramjilal!F8+Ramjilal!F12-182000</f>
        <v>1082800</v>
      </c>
      <c r="C7" s="231">
        <f>Ramjilal!E21+Ramjilal!E22+Ramjilal!E25+Ramjilal!E26+Ramjilal!E29+Ramjilal!E31+Ramjilal!E32+Ramjilal!E33+Ramjilal!E36+Ramjilal!E39+(Ramjilal!E14*0.5)</f>
        <v>1023000</v>
      </c>
      <c r="D7" s="232">
        <f>Ramjilal!F15+Ramjilal!E18+Ramjilal!E19+Ramjilal!E20+Ramjilal!E23+Ramjilal!E24+Ramjilal!E27+Ramjilal!E28+Ramjilal!E30+Ramjilal!E34+Ramjilal!E35+Ramjilal!E37+Ramjilal!E38+(Ramjilal!E14*0.5)</f>
        <v>1367000</v>
      </c>
    </row>
    <row r="8" spans="1:4" x14ac:dyDescent="0.25">
      <c r="A8" s="215" t="s">
        <v>292</v>
      </c>
      <c r="B8" s="87">
        <v>0</v>
      </c>
      <c r="C8" s="87">
        <v>10000</v>
      </c>
      <c r="D8" s="217">
        <f>52980+11290</f>
        <v>64270</v>
      </c>
    </row>
    <row r="9" spans="1:4" x14ac:dyDescent="0.25">
      <c r="A9" s="214" t="s">
        <v>293</v>
      </c>
      <c r="B9" s="87"/>
      <c r="C9" s="87"/>
      <c r="D9" s="218">
        <f>9200+15526+7774+35000+30800+16974</f>
        <v>115274</v>
      </c>
    </row>
    <row r="10" spans="1:4" x14ac:dyDescent="0.25">
      <c r="A10" s="214" t="s">
        <v>294</v>
      </c>
      <c r="B10" s="87"/>
      <c r="C10" s="213">
        <v>20000</v>
      </c>
      <c r="D10" s="218">
        <f>Electrical!B22+20000</f>
        <v>114744</v>
      </c>
    </row>
    <row r="11" spans="1:4" x14ac:dyDescent="0.25">
      <c r="A11" s="214" t="s">
        <v>295</v>
      </c>
      <c r="B11" s="87"/>
      <c r="C11" s="213">
        <v>75000</v>
      </c>
      <c r="D11" s="218">
        <v>115000</v>
      </c>
    </row>
    <row r="12" spans="1:4" x14ac:dyDescent="0.25">
      <c r="A12" s="214" t="s">
        <v>296</v>
      </c>
      <c r="B12" s="87"/>
      <c r="C12" s="213">
        <f>41500</f>
        <v>41500</v>
      </c>
      <c r="D12" s="217">
        <v>0</v>
      </c>
    </row>
    <row r="13" spans="1:4" x14ac:dyDescent="0.25">
      <c r="A13" s="214" t="s">
        <v>245</v>
      </c>
      <c r="B13" s="87"/>
      <c r="C13" s="216">
        <v>0</v>
      </c>
      <c r="D13" s="218">
        <v>60000</v>
      </c>
    </row>
    <row r="14" spans="1:4" x14ac:dyDescent="0.25">
      <c r="A14" s="214" t="s">
        <v>333</v>
      </c>
      <c r="B14" s="87"/>
      <c r="C14" s="213">
        <v>47000</v>
      </c>
      <c r="D14" s="219">
        <v>0</v>
      </c>
    </row>
    <row r="15" spans="1:4" x14ac:dyDescent="0.25">
      <c r="A15" s="214" t="s">
        <v>346</v>
      </c>
      <c r="B15" s="87"/>
      <c r="C15" s="216">
        <v>0</v>
      </c>
      <c r="D15" s="218">
        <v>19500</v>
      </c>
    </row>
    <row r="16" spans="1:4" x14ac:dyDescent="0.25">
      <c r="A16" s="214" t="s">
        <v>349</v>
      </c>
      <c r="B16" s="87"/>
      <c r="C16" s="87">
        <v>0</v>
      </c>
      <c r="D16" s="218">
        <f>'Bath &amp; floor Tiles'!M43</f>
        <v>76300</v>
      </c>
    </row>
    <row r="17" spans="1:4" ht="15.75" thickBot="1" x14ac:dyDescent="0.3">
      <c r="A17" s="221" t="s">
        <v>364</v>
      </c>
      <c r="B17" s="222"/>
      <c r="C17" s="223">
        <v>0</v>
      </c>
      <c r="D17" s="224">
        <f>45000+23400+12200+15700+1800+3000+7500</f>
        <v>108600</v>
      </c>
    </row>
    <row r="18" spans="1:4" ht="15.75" thickBot="1" x14ac:dyDescent="0.3">
      <c r="A18" s="227" t="s">
        <v>348</v>
      </c>
      <c r="B18" s="228"/>
      <c r="C18" s="229">
        <f>SUM(C7:C17)</f>
        <v>1216500</v>
      </c>
      <c r="D18" s="230">
        <f>SUM(D7:D17)</f>
        <v>2040688</v>
      </c>
    </row>
    <row r="19" spans="1:4" ht="15.75" thickBot="1" x14ac:dyDescent="0.3">
      <c r="A19" s="220" t="s">
        <v>365</v>
      </c>
      <c r="B19" s="225"/>
      <c r="C19" s="225"/>
      <c r="D19" s="226">
        <f>D18-C18</f>
        <v>824188</v>
      </c>
    </row>
  </sheetData>
  <mergeCells count="1"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workbookViewId="0">
      <selection activeCell="C16" sqref="C16"/>
    </sheetView>
  </sheetViews>
  <sheetFormatPr defaultColWidth="8.85546875" defaultRowHeight="15" x14ac:dyDescent="0.25"/>
  <cols>
    <col min="1" max="1" width="4.5703125" style="6" customWidth="1"/>
    <col min="2" max="2" width="6.7109375" style="6" customWidth="1"/>
    <col min="3" max="3" width="21.140625" style="13" customWidth="1"/>
    <col min="4" max="4" width="16" style="6" customWidth="1"/>
    <col min="5" max="5" width="11.5703125" style="8" bestFit="1" customWidth="1"/>
    <col min="6" max="16384" width="8.85546875" style="6"/>
  </cols>
  <sheetData>
    <row r="1" spans="2:7" thickBot="1" x14ac:dyDescent="0.35"/>
    <row r="2" spans="2:7" thickBot="1" x14ac:dyDescent="0.35">
      <c r="B2" s="244" t="s">
        <v>13</v>
      </c>
      <c r="C2" s="272"/>
      <c r="D2" s="272"/>
      <c r="E2" s="272"/>
      <c r="F2" s="273"/>
    </row>
    <row r="3" spans="2:7" thickBot="1" x14ac:dyDescent="0.35"/>
    <row r="4" spans="2:7" s="12" customFormat="1" thickBot="1" x14ac:dyDescent="0.35">
      <c r="B4" s="36" t="s">
        <v>11</v>
      </c>
      <c r="C4" s="11" t="s">
        <v>12</v>
      </c>
      <c r="D4" s="11" t="s">
        <v>5</v>
      </c>
      <c r="E4" s="10" t="s">
        <v>3</v>
      </c>
      <c r="F4" s="11" t="s">
        <v>4</v>
      </c>
      <c r="G4" s="11" t="s">
        <v>65</v>
      </c>
    </row>
    <row r="5" spans="2:7" ht="14.45" x14ac:dyDescent="0.3">
      <c r="B5" s="23">
        <v>0</v>
      </c>
      <c r="C5" s="26" t="s">
        <v>8</v>
      </c>
      <c r="D5" s="27">
        <v>41848</v>
      </c>
      <c r="E5" s="29">
        <v>10000</v>
      </c>
      <c r="F5" s="21" t="s">
        <v>2</v>
      </c>
      <c r="G5" s="21"/>
    </row>
    <row r="6" spans="2:7" ht="14.45" x14ac:dyDescent="0.3">
      <c r="B6" s="23">
        <v>1</v>
      </c>
      <c r="C6" s="18" t="s">
        <v>7</v>
      </c>
      <c r="D6" s="27">
        <v>41948</v>
      </c>
      <c r="E6" s="29">
        <v>15000</v>
      </c>
      <c r="F6" s="21" t="s">
        <v>2</v>
      </c>
      <c r="G6" s="21"/>
    </row>
    <row r="7" spans="2:7" thickBot="1" x14ac:dyDescent="0.35">
      <c r="B7" s="35">
        <v>2</v>
      </c>
      <c r="C7" s="18" t="s">
        <v>9</v>
      </c>
      <c r="D7" s="19">
        <v>42100</v>
      </c>
      <c r="E7" s="20">
        <v>30000</v>
      </c>
      <c r="F7" s="21" t="s">
        <v>2</v>
      </c>
      <c r="G7" s="21"/>
    </row>
    <row r="8" spans="2:7" thickBot="1" x14ac:dyDescent="0.35">
      <c r="B8" s="55">
        <v>3</v>
      </c>
      <c r="C8" s="18" t="s">
        <v>52</v>
      </c>
      <c r="D8" s="19">
        <v>42188</v>
      </c>
      <c r="E8" s="20">
        <v>10000</v>
      </c>
      <c r="F8" s="21" t="s">
        <v>2</v>
      </c>
      <c r="G8" s="21"/>
    </row>
    <row r="9" spans="2:7" thickBot="1" x14ac:dyDescent="0.35">
      <c r="B9" s="56">
        <v>4</v>
      </c>
      <c r="C9" s="18" t="s">
        <v>53</v>
      </c>
      <c r="D9" s="19">
        <v>42204</v>
      </c>
      <c r="E9" s="20">
        <v>20000</v>
      </c>
      <c r="F9" s="21" t="s">
        <v>2</v>
      </c>
      <c r="G9" s="21" t="s">
        <v>63</v>
      </c>
    </row>
    <row r="10" spans="2:7" thickBot="1" x14ac:dyDescent="0.35">
      <c r="B10" s="57">
        <v>5</v>
      </c>
      <c r="C10" s="18" t="s">
        <v>61</v>
      </c>
      <c r="D10" s="19">
        <v>42237</v>
      </c>
      <c r="E10" s="20">
        <v>20000</v>
      </c>
      <c r="F10" s="21" t="s">
        <v>2</v>
      </c>
      <c r="G10" s="21" t="s">
        <v>62</v>
      </c>
    </row>
    <row r="11" spans="2:7" thickBot="1" x14ac:dyDescent="0.35">
      <c r="B11" s="25" t="s">
        <v>6</v>
      </c>
      <c r="C11" s="14"/>
      <c r="D11" s="37"/>
      <c r="E11" s="10">
        <f>SUM(E5:E10)</f>
        <v>105000</v>
      </c>
      <c r="F11" s="37"/>
      <c r="G11" s="37"/>
    </row>
    <row r="24" spans="5:5" thickBot="1" x14ac:dyDescent="0.35"/>
    <row r="25" spans="5:5" ht="14.45" x14ac:dyDescent="0.3">
      <c r="E25" s="32">
        <v>1082000</v>
      </c>
    </row>
    <row r="26" spans="5:5" ht="14.45" x14ac:dyDescent="0.3">
      <c r="E26" s="20">
        <v>55000</v>
      </c>
    </row>
    <row r="27" spans="5:5" x14ac:dyDescent="0.25">
      <c r="E27" s="20">
        <v>144500</v>
      </c>
    </row>
    <row r="28" spans="5:5" x14ac:dyDescent="0.25">
      <c r="E28" s="20">
        <v>23000</v>
      </c>
    </row>
    <row r="29" spans="5:5" ht="15.75" thickBot="1" x14ac:dyDescent="0.3">
      <c r="E29" s="17">
        <f>SUM(E25:E28)</f>
        <v>1304500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5" sqref="E5"/>
    </sheetView>
  </sheetViews>
  <sheetFormatPr defaultColWidth="8.85546875" defaultRowHeight="15" x14ac:dyDescent="0.25"/>
  <cols>
    <col min="1" max="1" width="4.5703125" style="6" customWidth="1"/>
    <col min="2" max="2" width="6.7109375" style="6" customWidth="1"/>
    <col min="3" max="3" width="17.42578125" style="13" customWidth="1"/>
    <col min="4" max="4" width="16" style="6" customWidth="1"/>
    <col min="5" max="5" width="11.5703125" style="8" bestFit="1" customWidth="1"/>
    <col min="6" max="16384" width="8.85546875" style="6"/>
  </cols>
  <sheetData>
    <row r="1" spans="2:6" thickBot="1" x14ac:dyDescent="0.35"/>
    <row r="2" spans="2:6" thickBot="1" x14ac:dyDescent="0.35">
      <c r="B2" s="244" t="s">
        <v>18</v>
      </c>
      <c r="C2" s="272"/>
      <c r="D2" s="272"/>
      <c r="E2" s="272"/>
      <c r="F2" s="273"/>
    </row>
    <row r="3" spans="2:6" thickBot="1" x14ac:dyDescent="0.35"/>
    <row r="4" spans="2:6" s="12" customFormat="1" thickBot="1" x14ac:dyDescent="0.35">
      <c r="B4" s="24" t="s">
        <v>11</v>
      </c>
      <c r="C4" s="11" t="s">
        <v>12</v>
      </c>
      <c r="D4" s="11" t="s">
        <v>5</v>
      </c>
      <c r="E4" s="10" t="s">
        <v>3</v>
      </c>
      <c r="F4" s="11" t="s">
        <v>4</v>
      </c>
    </row>
    <row r="5" spans="2:6" ht="14.45" x14ac:dyDescent="0.3">
      <c r="B5" s="22">
        <v>0</v>
      </c>
      <c r="C5" s="38" t="s">
        <v>15</v>
      </c>
      <c r="D5" s="39">
        <v>41848</v>
      </c>
      <c r="E5" s="40">
        <v>120000</v>
      </c>
      <c r="F5" s="33" t="s">
        <v>2</v>
      </c>
    </row>
    <row r="6" spans="2:6" ht="14.45" x14ac:dyDescent="0.3">
      <c r="B6" s="23">
        <v>1</v>
      </c>
      <c r="C6" s="18" t="s">
        <v>16</v>
      </c>
      <c r="D6" s="27">
        <v>41948</v>
      </c>
      <c r="E6" s="29">
        <v>5500</v>
      </c>
      <c r="F6" s="21" t="s">
        <v>2</v>
      </c>
    </row>
    <row r="7" spans="2:6" ht="14.45" x14ac:dyDescent="0.3">
      <c r="B7" s="23">
        <v>2</v>
      </c>
      <c r="C7" s="18" t="s">
        <v>17</v>
      </c>
      <c r="D7" s="27">
        <v>41948</v>
      </c>
      <c r="E7" s="20">
        <v>17000</v>
      </c>
      <c r="F7" s="21" t="s">
        <v>2</v>
      </c>
    </row>
    <row r="8" spans="2:6" thickBot="1" x14ac:dyDescent="0.35">
      <c r="B8" s="35">
        <v>3</v>
      </c>
      <c r="C8" s="16" t="s">
        <v>10</v>
      </c>
      <c r="D8" s="19">
        <v>42100</v>
      </c>
      <c r="E8" s="17">
        <v>2000</v>
      </c>
      <c r="F8" s="7" t="s">
        <v>2</v>
      </c>
    </row>
    <row r="9" spans="2:6" thickBot="1" x14ac:dyDescent="0.35">
      <c r="B9" s="25" t="s">
        <v>6</v>
      </c>
      <c r="C9" s="15"/>
      <c r="D9" s="37"/>
      <c r="E9" s="9">
        <f>SUM(E5:E8)</f>
        <v>144500</v>
      </c>
      <c r="F9" s="7"/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7" sqref="E7"/>
    </sheetView>
  </sheetViews>
  <sheetFormatPr defaultColWidth="8.85546875" defaultRowHeight="15" x14ac:dyDescent="0.25"/>
  <cols>
    <col min="1" max="1" width="4.5703125" style="6" customWidth="1"/>
    <col min="2" max="2" width="6.7109375" style="6" customWidth="1"/>
    <col min="3" max="3" width="17.42578125" style="13" customWidth="1"/>
    <col min="4" max="4" width="16" style="6" customWidth="1"/>
    <col min="5" max="5" width="11.5703125" style="8" bestFit="1" customWidth="1"/>
    <col min="6" max="16384" width="8.85546875" style="6"/>
  </cols>
  <sheetData>
    <row r="1" spans="2:6" thickBot="1" x14ac:dyDescent="0.35"/>
    <row r="2" spans="2:6" thickBot="1" x14ac:dyDescent="0.35">
      <c r="B2" s="244" t="s">
        <v>19</v>
      </c>
      <c r="C2" s="272"/>
      <c r="D2" s="272"/>
      <c r="E2" s="272"/>
      <c r="F2" s="273"/>
    </row>
    <row r="3" spans="2:6" thickBot="1" x14ac:dyDescent="0.35"/>
    <row r="4" spans="2:6" s="12" customFormat="1" thickBot="1" x14ac:dyDescent="0.35">
      <c r="B4" s="24" t="s">
        <v>11</v>
      </c>
      <c r="C4" s="11" t="s">
        <v>12</v>
      </c>
      <c r="D4" s="36" t="s">
        <v>5</v>
      </c>
      <c r="E4" s="10" t="s">
        <v>3</v>
      </c>
      <c r="F4" s="46" t="s">
        <v>4</v>
      </c>
    </row>
    <row r="5" spans="2:6" ht="14.45" x14ac:dyDescent="0.3">
      <c r="B5" s="22">
        <v>0</v>
      </c>
      <c r="C5" s="38" t="s">
        <v>20</v>
      </c>
      <c r="D5" s="41">
        <v>41848</v>
      </c>
      <c r="E5" s="29">
        <v>15000</v>
      </c>
      <c r="F5" s="42" t="s">
        <v>2</v>
      </c>
    </row>
    <row r="6" spans="2:6" ht="14.45" x14ac:dyDescent="0.3">
      <c r="B6" s="23">
        <v>1</v>
      </c>
      <c r="C6" s="18" t="s">
        <v>21</v>
      </c>
      <c r="D6" s="43">
        <v>41948</v>
      </c>
      <c r="E6" s="29">
        <v>4000</v>
      </c>
      <c r="F6" s="28" t="s">
        <v>2</v>
      </c>
    </row>
    <row r="7" spans="2:6" ht="14.45" x14ac:dyDescent="0.3">
      <c r="B7" s="23">
        <v>2</v>
      </c>
      <c r="C7" s="18" t="s">
        <v>10</v>
      </c>
      <c r="D7" s="43">
        <v>42100</v>
      </c>
      <c r="E7" s="21">
        <v>4000</v>
      </c>
      <c r="F7" s="28" t="s">
        <v>2</v>
      </c>
    </row>
    <row r="8" spans="2:6" thickBot="1" x14ac:dyDescent="0.35">
      <c r="B8" s="35"/>
      <c r="C8" s="16"/>
      <c r="D8" s="44"/>
      <c r="E8" s="17"/>
      <c r="F8" s="5"/>
    </row>
    <row r="9" spans="2:6" thickBot="1" x14ac:dyDescent="0.35">
      <c r="B9" s="25" t="s">
        <v>6</v>
      </c>
      <c r="C9" s="15"/>
      <c r="D9" s="45"/>
      <c r="E9" s="9">
        <f>SUM(E5:E8)</f>
        <v>23000</v>
      </c>
      <c r="F9" s="5"/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0" sqref="C10"/>
    </sheetView>
  </sheetViews>
  <sheetFormatPr defaultRowHeight="15" x14ac:dyDescent="0.25"/>
  <cols>
    <col min="2" max="2" width="52.28515625" customWidth="1"/>
    <col min="4" max="4" width="40.28515625" customWidth="1"/>
  </cols>
  <sheetData>
    <row r="2" spans="2:5" thickBot="1" x14ac:dyDescent="0.35"/>
    <row r="3" spans="2:5" thickBot="1" x14ac:dyDescent="0.35">
      <c r="E3" s="50" t="s">
        <v>46</v>
      </c>
    </row>
    <row r="4" spans="2:5" ht="14.45" x14ac:dyDescent="0.3">
      <c r="B4" t="s">
        <v>27</v>
      </c>
      <c r="C4">
        <v>4000000</v>
      </c>
    </row>
    <row r="5" spans="2:5" ht="14.45" x14ac:dyDescent="0.3">
      <c r="B5" t="s">
        <v>28</v>
      </c>
      <c r="C5">
        <v>1000000</v>
      </c>
    </row>
    <row r="6" spans="2:5" ht="14.45" x14ac:dyDescent="0.3">
      <c r="B6" t="s">
        <v>36</v>
      </c>
      <c r="C6">
        <v>200000</v>
      </c>
    </row>
    <row r="7" spans="2:5" ht="14.45" x14ac:dyDescent="0.3">
      <c r="B7" t="s">
        <v>37</v>
      </c>
      <c r="C7">
        <f>C5-C6</f>
        <v>800000</v>
      </c>
    </row>
    <row r="8" spans="2:5" ht="14.45" x14ac:dyDescent="0.3">
      <c r="B8" t="s">
        <v>38</v>
      </c>
      <c r="C8">
        <v>100000</v>
      </c>
    </row>
    <row r="10" spans="2:5" ht="14.45" x14ac:dyDescent="0.3">
      <c r="B10" t="s">
        <v>29</v>
      </c>
      <c r="C10">
        <v>1082000</v>
      </c>
      <c r="D10" t="s">
        <v>30</v>
      </c>
    </row>
    <row r="11" spans="2:5" ht="14.45" x14ac:dyDescent="0.3">
      <c r="C11">
        <v>30000</v>
      </c>
      <c r="D11" t="s">
        <v>31</v>
      </c>
    </row>
    <row r="12" spans="2:5" ht="14.45" x14ac:dyDescent="0.3">
      <c r="C12">
        <v>22500</v>
      </c>
      <c r="D12" t="s">
        <v>40</v>
      </c>
    </row>
    <row r="13" spans="2:5" ht="14.45" x14ac:dyDescent="0.3">
      <c r="C13">
        <v>120000</v>
      </c>
      <c r="D13" t="s">
        <v>39</v>
      </c>
    </row>
    <row r="14" spans="2:5" ht="14.45" x14ac:dyDescent="0.3">
      <c r="C14">
        <v>6000</v>
      </c>
      <c r="D14" t="s">
        <v>42</v>
      </c>
    </row>
    <row r="15" spans="2:5" thickBot="1" x14ac:dyDescent="0.35">
      <c r="C15">
        <v>4000</v>
      </c>
      <c r="D15" t="s">
        <v>41</v>
      </c>
    </row>
    <row r="16" spans="2:5" thickBot="1" x14ac:dyDescent="0.35">
      <c r="C16" s="50">
        <f>SUM(C10:C15)</f>
        <v>1264500</v>
      </c>
    </row>
    <row r="18" spans="2:5" ht="14.45" x14ac:dyDescent="0.3">
      <c r="B18" t="s">
        <v>32</v>
      </c>
      <c r="C18">
        <f>C16-C7</f>
        <v>464500</v>
      </c>
      <c r="E18" t="s">
        <v>43</v>
      </c>
    </row>
    <row r="19" spans="2:5" ht="14.45" x14ac:dyDescent="0.3">
      <c r="B19" t="s">
        <v>33</v>
      </c>
      <c r="C19">
        <f>C18/2</f>
        <v>232250</v>
      </c>
      <c r="E19" t="s">
        <v>44</v>
      </c>
    </row>
    <row r="20" spans="2:5" thickBot="1" x14ac:dyDescent="0.35">
      <c r="B20" t="s">
        <v>34</v>
      </c>
      <c r="C20">
        <f>C18/2</f>
        <v>232250</v>
      </c>
      <c r="E20" t="s">
        <v>44</v>
      </c>
    </row>
    <row r="21" spans="2:5" thickBot="1" x14ac:dyDescent="0.35">
      <c r="B21" s="51" t="s">
        <v>35</v>
      </c>
      <c r="C21" s="52">
        <f>C20-C8</f>
        <v>132250</v>
      </c>
      <c r="E21" s="31" t="s">
        <v>45</v>
      </c>
    </row>
    <row r="22" spans="2:5" thickBot="1" x14ac:dyDescent="0.35">
      <c r="B22" s="53" t="s">
        <v>49</v>
      </c>
      <c r="C22" t="s">
        <v>50</v>
      </c>
      <c r="E22" s="26">
        <v>91</v>
      </c>
    </row>
    <row r="23" spans="2:5" thickBot="1" x14ac:dyDescent="0.35">
      <c r="B23" s="53" t="s">
        <v>51</v>
      </c>
      <c r="E23" s="54">
        <f>221</f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opLeftCell="A3" workbookViewId="0">
      <selection activeCell="F26" sqref="F26"/>
    </sheetView>
  </sheetViews>
  <sheetFormatPr defaultRowHeight="15" x14ac:dyDescent="0.25"/>
  <cols>
    <col min="2" max="2" width="20" customWidth="1"/>
    <col min="3" max="3" width="19.7109375" customWidth="1"/>
    <col min="5" max="6" width="15.7109375" customWidth="1"/>
  </cols>
  <sheetData>
    <row r="1" spans="2:6" thickBot="1" x14ac:dyDescent="0.35"/>
    <row r="2" spans="2:6" thickBot="1" x14ac:dyDescent="0.35">
      <c r="B2" s="274" t="s">
        <v>67</v>
      </c>
      <c r="C2" s="275"/>
      <c r="D2" s="246"/>
    </row>
    <row r="3" spans="2:6" thickBot="1" x14ac:dyDescent="0.35"/>
    <row r="4" spans="2:6" thickBot="1" x14ac:dyDescent="0.35">
      <c r="B4" s="62" t="s">
        <v>72</v>
      </c>
    </row>
    <row r="5" spans="2:6" ht="14.45" x14ac:dyDescent="0.3">
      <c r="B5" s="31" t="s">
        <v>68</v>
      </c>
      <c r="C5" s="61" t="s">
        <v>69</v>
      </c>
      <c r="E5" s="88" t="s">
        <v>95</v>
      </c>
      <c r="F5" s="88" t="s">
        <v>96</v>
      </c>
    </row>
    <row r="6" spans="2:6" ht="14.45" x14ac:dyDescent="0.3">
      <c r="B6" s="2" t="s">
        <v>70</v>
      </c>
      <c r="C6" s="28">
        <v>1730</v>
      </c>
      <c r="E6" s="87" t="s">
        <v>71</v>
      </c>
      <c r="F6" s="87">
        <v>11.72</v>
      </c>
    </row>
    <row r="7" spans="2:6" ht="14.45" x14ac:dyDescent="0.3">
      <c r="B7" s="2" t="s">
        <v>71</v>
      </c>
      <c r="C7" s="28">
        <v>81.459999999999994</v>
      </c>
      <c r="E7" s="87" t="s">
        <v>6</v>
      </c>
      <c r="F7" s="87">
        <f>F6*C6</f>
        <v>20275.600000000002</v>
      </c>
    </row>
    <row r="8" spans="2:6" thickBot="1" x14ac:dyDescent="0.35">
      <c r="B8" s="3" t="s">
        <v>6</v>
      </c>
      <c r="C8" s="65">
        <f>C6*C7</f>
        <v>140925.79999999999</v>
      </c>
      <c r="E8" s="87" t="s">
        <v>73</v>
      </c>
      <c r="F8" s="87">
        <f>F6*C15</f>
        <v>15001.6</v>
      </c>
    </row>
    <row r="9" spans="2:6" ht="14.45" x14ac:dyDescent="0.3">
      <c r="B9" s="63" t="s">
        <v>73</v>
      </c>
      <c r="C9" s="66">
        <f>C17</f>
        <v>104268.79999999999</v>
      </c>
      <c r="E9" s="87" t="s">
        <v>74</v>
      </c>
      <c r="F9" s="87">
        <f>F6*450</f>
        <v>5274</v>
      </c>
    </row>
    <row r="10" spans="2:6" thickBot="1" x14ac:dyDescent="0.35">
      <c r="B10" s="64" t="s">
        <v>74</v>
      </c>
      <c r="C10" s="65">
        <f>C8-C9</f>
        <v>36657</v>
      </c>
    </row>
    <row r="11" spans="2:6" ht="14.45" x14ac:dyDescent="0.3">
      <c r="B11" s="53"/>
      <c r="C11" s="67"/>
    </row>
    <row r="12" spans="2:6" thickBot="1" x14ac:dyDescent="0.35">
      <c r="B12" s="53"/>
      <c r="C12" s="67"/>
    </row>
    <row r="13" spans="2:6" thickBot="1" x14ac:dyDescent="0.35">
      <c r="B13" s="68" t="s">
        <v>75</v>
      </c>
    </row>
    <row r="14" spans="2:6" thickBot="1" x14ac:dyDescent="0.35">
      <c r="B14" s="276" t="s">
        <v>76</v>
      </c>
      <c r="C14" s="246"/>
    </row>
    <row r="15" spans="2:6" ht="14.45" x14ac:dyDescent="0.3">
      <c r="B15" s="31" t="s">
        <v>77</v>
      </c>
      <c r="C15" s="28">
        <v>1280</v>
      </c>
    </row>
    <row r="16" spans="2:6" ht="14.45" x14ac:dyDescent="0.3">
      <c r="B16" s="2" t="s">
        <v>78</v>
      </c>
      <c r="C16" s="28">
        <v>81.459999999999994</v>
      </c>
    </row>
    <row r="17" spans="2:3" thickBot="1" x14ac:dyDescent="0.35">
      <c r="B17" s="3" t="s">
        <v>79</v>
      </c>
      <c r="C17" s="5">
        <f>C15*C16</f>
        <v>104268.79999999999</v>
      </c>
    </row>
    <row r="19" spans="2:3" thickBot="1" x14ac:dyDescent="0.35"/>
    <row r="20" spans="2:3" thickBot="1" x14ac:dyDescent="0.35">
      <c r="B20" s="68" t="s">
        <v>80</v>
      </c>
    </row>
    <row r="21" spans="2:3" ht="14.45" x14ac:dyDescent="0.3">
      <c r="B21" s="31" t="s">
        <v>81</v>
      </c>
      <c r="C21" s="42">
        <v>3</v>
      </c>
    </row>
    <row r="22" spans="2:3" ht="14.45" x14ac:dyDescent="0.3">
      <c r="B22" s="2" t="s">
        <v>82</v>
      </c>
      <c r="C22" s="28">
        <v>64</v>
      </c>
    </row>
    <row r="23" spans="2:3" thickBot="1" x14ac:dyDescent="0.35">
      <c r="B23" s="2" t="s">
        <v>83</v>
      </c>
      <c r="C23" s="28">
        <v>26</v>
      </c>
    </row>
    <row r="24" spans="2:3" thickBot="1" x14ac:dyDescent="0.35">
      <c r="B24" s="50" t="s">
        <v>6</v>
      </c>
      <c r="C24" s="59">
        <f>C21+C22+C23</f>
        <v>93</v>
      </c>
    </row>
  </sheetData>
  <mergeCells count="2">
    <mergeCell ref="B2:D2"/>
    <mergeCell ref="B14:C1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B29"/>
  <sheetViews>
    <sheetView topLeftCell="A26" workbookViewId="0">
      <selection activeCell="A28" sqref="A28"/>
    </sheetView>
  </sheetViews>
  <sheetFormatPr defaultRowHeight="15" x14ac:dyDescent="0.25"/>
  <cols>
    <col min="2" max="2" width="50.7109375" bestFit="1" customWidth="1"/>
  </cols>
  <sheetData>
    <row r="26" spans="1:2" x14ac:dyDescent="0.25">
      <c r="A26" t="s">
        <v>333</v>
      </c>
    </row>
    <row r="28" spans="1:2" x14ac:dyDescent="0.25">
      <c r="A28" s="209">
        <v>42358</v>
      </c>
      <c r="B28" s="210" t="s">
        <v>135</v>
      </c>
    </row>
    <row r="29" spans="1:2" x14ac:dyDescent="0.25">
      <c r="A29" s="211">
        <v>42409</v>
      </c>
      <c r="B29" s="144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Activity</vt:lpstr>
      <vt:lpstr>Ramjilal</vt:lpstr>
      <vt:lpstr>Payment by </vt:lpstr>
      <vt:lpstr>Amit</vt:lpstr>
      <vt:lpstr>HUDA</vt:lpstr>
      <vt:lpstr>Others</vt:lpstr>
      <vt:lpstr>Kharcha</vt:lpstr>
      <vt:lpstr>Wood</vt:lpstr>
      <vt:lpstr>Plumber</vt:lpstr>
      <vt:lpstr>Bathroom</vt:lpstr>
      <vt:lpstr>AC</vt:lpstr>
      <vt:lpstr>Grill</vt:lpstr>
      <vt:lpstr>Video door calling</vt:lpstr>
      <vt:lpstr>Kitchen</vt:lpstr>
      <vt:lpstr>Cylinder</vt:lpstr>
      <vt:lpstr>Bath &amp; floor Tiles</vt:lpstr>
      <vt:lpstr>Electrical</vt:lpstr>
      <vt:lpstr>POP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sumit.malik</dc:creator>
  <cp:lastModifiedBy>Sumit Malik</cp:lastModifiedBy>
  <dcterms:created xsi:type="dcterms:W3CDTF">2015-05-09T18:06:29Z</dcterms:created>
  <dcterms:modified xsi:type="dcterms:W3CDTF">2016-10-09T11:45:14Z</dcterms:modified>
</cp:coreProperties>
</file>