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DS\Projects\MR Project\MR Project\"/>
    </mc:Choice>
  </mc:AlternateContent>
  <xr:revisionPtr revIDLastSave="0" documentId="13_ncr:1_{AF3C1351-4609-473C-B0D4-A76CC99044A6}" xr6:coauthVersionLast="47" xr6:coauthVersionMax="47" xr10:uidLastSave="{00000000-0000-0000-0000-000000000000}"/>
  <bookViews>
    <workbookView minimized="1" xWindow="5000" yWindow="3710" windowWidth="19200" windowHeight="9970" xr2:uid="{00000000-000D-0000-FFFF-FFFF00000000}"/>
  </bookViews>
  <sheets>
    <sheet name="Sample Size&amp;Errors East Indi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62" i="1" l="1"/>
  <c r="AZ60" i="1"/>
  <c r="AY50" i="1"/>
  <c r="AZ50" i="1"/>
  <c r="BA50" i="1"/>
  <c r="AX50" i="1"/>
  <c r="BB49" i="1"/>
  <c r="BB48" i="1"/>
  <c r="AT19" i="1"/>
  <c r="AS19" i="1"/>
  <c r="AR19" i="1"/>
  <c r="AQ19" i="1"/>
  <c r="AP19" i="1"/>
  <c r="AT17" i="1"/>
  <c r="AS17" i="1"/>
  <c r="AR17" i="1"/>
  <c r="AQ17" i="1"/>
  <c r="AP17" i="1"/>
  <c r="AT28" i="1"/>
  <c r="AT27" i="1"/>
  <c r="AQ12" i="1"/>
  <c r="AP12" i="1"/>
  <c r="AB20" i="1"/>
  <c r="AB22" i="1"/>
  <c r="AP27" i="1"/>
  <c r="AS30" i="1"/>
  <c r="AR30" i="1"/>
  <c r="AQ30" i="1"/>
  <c r="AP30" i="1"/>
  <c r="AA47" i="1"/>
  <c r="Z47" i="1"/>
  <c r="Y47" i="1"/>
  <c r="X47" i="1"/>
  <c r="V47" i="1"/>
  <c r="Q44" i="1"/>
  <c r="AE8" i="1"/>
  <c r="L8" i="1"/>
  <c r="AH14" i="1"/>
  <c r="Z14" i="1"/>
  <c r="P14" i="1"/>
  <c r="H14" i="1"/>
  <c r="AQ28" i="1"/>
  <c r="AR28" i="1"/>
  <c r="AS28" i="1"/>
  <c r="AP28" i="1"/>
  <c r="AQ27" i="1"/>
  <c r="AR27" i="1"/>
  <c r="AS27" i="1"/>
  <c r="AQ10" i="1"/>
  <c r="AP10" i="1"/>
  <c r="AG41" i="1"/>
  <c r="AC41" i="1"/>
  <c r="Y41" i="1"/>
  <c r="J20" i="1"/>
  <c r="N20" i="1"/>
  <c r="R20" i="1"/>
  <c r="X20" i="1"/>
  <c r="AF20" i="1"/>
  <c r="AJ20" i="1"/>
  <c r="F20" i="1"/>
  <c r="O26" i="1"/>
  <c r="R22" i="1"/>
  <c r="W26" i="1"/>
  <c r="Y26" i="1"/>
  <c r="AE26" i="1"/>
  <c r="AG26" i="1"/>
  <c r="M26" i="1"/>
  <c r="G26" i="1"/>
  <c r="E26" i="1"/>
  <c r="AJ22" i="1"/>
  <c r="J22" i="1"/>
  <c r="BB50" i="1" l="1"/>
  <c r="AX54" i="1" s="1"/>
  <c r="F22" i="1"/>
  <c r="AF22" i="1"/>
  <c r="AH16" i="1" s="1"/>
  <c r="H16" i="1"/>
  <c r="AX9" i="1" s="1"/>
  <c r="X22" i="1"/>
  <c r="Z16" i="1" s="1"/>
  <c r="AZ9" i="1" s="1"/>
  <c r="N22" i="1"/>
  <c r="P16" i="1" s="1"/>
  <c r="AX10" i="1" s="1"/>
  <c r="AX11" i="1" l="1"/>
  <c r="AY10" i="1"/>
  <c r="BA10" i="1"/>
  <c r="AZ10" i="1"/>
  <c r="L10" i="1"/>
  <c r="Q5" i="1" s="1"/>
  <c r="AE10" i="1"/>
  <c r="BA9" i="1"/>
  <c r="AY9" i="1"/>
  <c r="BB9" i="1" l="1"/>
  <c r="BA11" i="1"/>
  <c r="BB10" i="1"/>
  <c r="AY11" i="1"/>
  <c r="AZ11" i="1"/>
  <c r="AJ5" i="1"/>
  <c r="BB11" i="1" l="1"/>
  <c r="BB21" i="1" l="1"/>
  <c r="AZ19" i="1"/>
  <c r="AZ26" i="1" s="1"/>
  <c r="AZ32" i="1" s="1"/>
  <c r="AZ39" i="1" s="1"/>
  <c r="AX19" i="1"/>
  <c r="AX26" i="1" s="1"/>
  <c r="AX32" i="1" s="1"/>
  <c r="AX20" i="1"/>
  <c r="AX27" i="1" s="1"/>
  <c r="AX33" i="1" s="1"/>
  <c r="AX40" i="1" s="1"/>
  <c r="BB19" i="1"/>
  <c r="BA19" i="1"/>
  <c r="BA26" i="1" s="1"/>
  <c r="BA32" i="1" s="1"/>
  <c r="AZ20" i="1"/>
  <c r="AZ27" i="1" s="1"/>
  <c r="AZ33" i="1" s="1"/>
  <c r="AZ40" i="1" s="1"/>
  <c r="AY19" i="1"/>
  <c r="AY26" i="1" s="1"/>
  <c r="AY32" i="1" s="1"/>
  <c r="BA20" i="1"/>
  <c r="BA27" i="1" s="1"/>
  <c r="BA33" i="1" s="1"/>
  <c r="BA40" i="1" s="1"/>
  <c r="AX21" i="1"/>
  <c r="AY20" i="1"/>
  <c r="AY27" i="1" s="1"/>
  <c r="AY33" i="1" s="1"/>
  <c r="AY40" i="1" s="1"/>
  <c r="AY21" i="1"/>
  <c r="BA21" i="1"/>
  <c r="BB20" i="1"/>
  <c r="AZ21" i="1"/>
  <c r="AY34" i="1" l="1"/>
  <c r="AY39" i="1"/>
  <c r="AY41" i="1" s="1"/>
  <c r="AZ41" i="1"/>
  <c r="BA34" i="1"/>
  <c r="BA39" i="1"/>
  <c r="BA41" i="1" s="1"/>
  <c r="BB33" i="1"/>
  <c r="BB40" i="1" s="1"/>
  <c r="AZ34" i="1"/>
  <c r="AX39" i="1"/>
  <c r="AX41" i="1" s="1"/>
  <c r="AX34" i="1"/>
  <c r="BB32" i="1"/>
  <c r="BB34" i="1" l="1"/>
  <c r="BB39" i="1"/>
  <c r="BB41" i="1" s="1"/>
  <c r="BB54" i="1" s="1"/>
  <c r="BB57" i="1" s="1"/>
</calcChain>
</file>

<file path=xl/sharedStrings.xml><?xml version="1.0" encoding="utf-8"?>
<sst xmlns="http://schemas.openxmlformats.org/spreadsheetml/2006/main" count="214" uniqueCount="77">
  <si>
    <t>East</t>
  </si>
  <si>
    <t>/</t>
  </si>
  <si>
    <t>\</t>
  </si>
  <si>
    <t>Self</t>
  </si>
  <si>
    <t>Maid</t>
  </si>
  <si>
    <t>Hand</t>
  </si>
  <si>
    <t>Machine</t>
  </si>
  <si>
    <t>Rest(West,North,South)</t>
  </si>
  <si>
    <t>SE</t>
  </si>
  <si>
    <t>SS</t>
  </si>
  <si>
    <t>Sum</t>
  </si>
  <si>
    <t xml:space="preserve">Budget </t>
  </si>
  <si>
    <t>25Lakhs</t>
  </si>
  <si>
    <t>East Cost=</t>
  </si>
  <si>
    <t>Rest Cost=</t>
  </si>
  <si>
    <t>RS</t>
  </si>
  <si>
    <t>Kolkata</t>
  </si>
  <si>
    <t>Patna</t>
  </si>
  <si>
    <t>Jamshedpur</t>
  </si>
  <si>
    <t>Asansol</t>
  </si>
  <si>
    <t>Dhanbad</t>
  </si>
  <si>
    <t>East  Cities</t>
  </si>
  <si>
    <t xml:space="preserve">West </t>
  </si>
  <si>
    <t>Ahmedabad</t>
  </si>
  <si>
    <t>Pune</t>
  </si>
  <si>
    <t>Surat</t>
  </si>
  <si>
    <t>North</t>
  </si>
  <si>
    <t>Delhi</t>
  </si>
  <si>
    <t>Kanpur</t>
  </si>
  <si>
    <t>South</t>
  </si>
  <si>
    <t>Chennai</t>
  </si>
  <si>
    <t>Bangalore</t>
  </si>
  <si>
    <t>Hyderabad</t>
  </si>
  <si>
    <t>Coimbatore</t>
  </si>
  <si>
    <t>G.Mumbai</t>
  </si>
  <si>
    <t>Total East India</t>
  </si>
  <si>
    <t>Total</t>
  </si>
  <si>
    <t>Total West</t>
  </si>
  <si>
    <t>Total North</t>
  </si>
  <si>
    <t>Total South</t>
  </si>
  <si>
    <t>Population</t>
  </si>
  <si>
    <t>Top8</t>
  </si>
  <si>
    <t>We assume</t>
  </si>
  <si>
    <t xml:space="preserve">East </t>
  </si>
  <si>
    <t>West</t>
  </si>
  <si>
    <t>Nontop8</t>
  </si>
  <si>
    <t>TOTAL</t>
  </si>
  <si>
    <t>Sample Sizes before weighting</t>
  </si>
  <si>
    <t>Weighting Factor</t>
  </si>
  <si>
    <t>Costing</t>
  </si>
  <si>
    <t>Weights</t>
  </si>
  <si>
    <t>Ranchi</t>
  </si>
  <si>
    <t>Total Population=</t>
  </si>
  <si>
    <t>Qualitative Research Costs</t>
  </si>
  <si>
    <t>Rs 30000</t>
  </si>
  <si>
    <t>per Focus Group in a  Market</t>
  </si>
  <si>
    <t>Total Qualitative Sampling Cost</t>
  </si>
  <si>
    <t>Next8</t>
  </si>
  <si>
    <t>Net Total Qualitative and Quantitative Research Cost</t>
  </si>
  <si>
    <t>Top8(1 City)</t>
  </si>
  <si>
    <t>Not Top8(5 Cities)</t>
  </si>
  <si>
    <t>Top8(7 Cities)</t>
  </si>
  <si>
    <t>Not Top8(3 Cities)</t>
  </si>
  <si>
    <t>NonTop 8</t>
  </si>
  <si>
    <t>Sample Size and Errors East India</t>
  </si>
  <si>
    <t>Sample Size and Errors Rest of India</t>
  </si>
  <si>
    <t>Sample Sizes  percentages</t>
  </si>
  <si>
    <t>Percentages</t>
  </si>
  <si>
    <t>We assume as not all top cities in different states will be from the next 8 large cities after top 8 .So to somehwat balance that factor we take  split</t>
  </si>
  <si>
    <t>Sample Size after Weighing</t>
  </si>
  <si>
    <t>Sample Size</t>
  </si>
  <si>
    <t>Cost with ST</t>
  </si>
  <si>
    <t>ST=</t>
  </si>
  <si>
    <t>Consulting Fee</t>
  </si>
  <si>
    <t>Total Cost</t>
  </si>
  <si>
    <t>INR</t>
  </si>
  <si>
    <t>As East is having more problems We decide to Do 4 Focus Group Discusiions Here and total 10  in West,North and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</si>
</sst>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right"/>
    </xf>
    <xf numFmtId="10" fontId="0" fillId="0" borderId="0" xfId="0" applyNumberFormat="1"/>
    <xf numFmtId="9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0" fillId="0" borderId="1" xfId="0" applyNumberFormat="1" applyBorder="1"/>
    <xf numFmtId="16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0" fontId="0" fillId="0" borderId="4" xfId="0" applyNumberFormat="1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wrapText="1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BB62"/>
  <sheetViews>
    <sheetView tabSelected="1" workbookViewId="0">
      <selection activeCell="J12" sqref="J12"/>
    </sheetView>
  </sheetViews>
  <sheetFormatPr defaultRowHeight="14.5" x14ac:dyDescent="0.35"/>
  <cols>
    <col min="21" max="21" width="8.81640625" style="3" customWidth="1"/>
    <col min="22" max="22" width="15.26953125" customWidth="1"/>
    <col min="24" max="24" width="9.81640625" bestFit="1" customWidth="1"/>
    <col min="38" max="38" width="8.7265625" style="3"/>
    <col min="41" max="41" width="11.453125" customWidth="1"/>
    <col min="42" max="42" width="13.7265625" customWidth="1"/>
    <col min="43" max="43" width="10.54296875" customWidth="1"/>
    <col min="46" max="46" width="9.81640625" bestFit="1" customWidth="1"/>
    <col min="47" max="47" width="8.7265625" style="3"/>
    <col min="49" max="49" width="10.36328125" customWidth="1"/>
    <col min="50" max="50" width="7.81640625" customWidth="1"/>
  </cols>
  <sheetData>
    <row r="2" spans="6:54" x14ac:dyDescent="0.35">
      <c r="J2" t="s">
        <v>64</v>
      </c>
      <c r="AC2" t="s">
        <v>65</v>
      </c>
    </row>
    <row r="4" spans="6:54" x14ac:dyDescent="0.35">
      <c r="L4" t="s">
        <v>0</v>
      </c>
      <c r="Q4" t="s">
        <v>15</v>
      </c>
      <c r="AD4" t="s">
        <v>7</v>
      </c>
      <c r="AJ4" t="s">
        <v>15</v>
      </c>
    </row>
    <row r="5" spans="6:54" x14ac:dyDescent="0.35">
      <c r="L5" s="1" t="s">
        <v>8</v>
      </c>
      <c r="P5" t="s">
        <v>13</v>
      </c>
      <c r="Q5">
        <f>IF(L10&gt;L8,L10,L8)*500</f>
        <v>768500</v>
      </c>
      <c r="AE5" s="1" t="s">
        <v>8</v>
      </c>
      <c r="AI5" t="s">
        <v>14</v>
      </c>
      <c r="AJ5">
        <f>IF(AE10&gt;AE8,AE10,AE8)*700</f>
        <v>922600</v>
      </c>
    </row>
    <row r="6" spans="6:54" x14ac:dyDescent="0.35">
      <c r="L6" s="13">
        <v>2.5000000000000001E-2</v>
      </c>
      <c r="U6" s="8"/>
      <c r="AE6" s="13">
        <v>0.03</v>
      </c>
    </row>
    <row r="7" spans="6:54" x14ac:dyDescent="0.35">
      <c r="L7" s="1" t="s">
        <v>9</v>
      </c>
      <c r="AE7" s="1" t="s">
        <v>9</v>
      </c>
      <c r="AW7" s="26" t="s">
        <v>47</v>
      </c>
      <c r="AX7" s="26"/>
      <c r="AY7" s="26"/>
      <c r="AZ7" s="26"/>
      <c r="BA7" s="26"/>
      <c r="BB7" s="26"/>
    </row>
    <row r="8" spans="6:54" x14ac:dyDescent="0.35">
      <c r="L8" s="1">
        <f>ROUNDUP((0.9604/(L6^2)),0)</f>
        <v>1537</v>
      </c>
      <c r="AB8" t="s">
        <v>1</v>
      </c>
      <c r="AE8" s="1">
        <f>ROUNDUP(((0.9604/AE6^2)),0)</f>
        <v>1068</v>
      </c>
      <c r="AG8" t="s">
        <v>2</v>
      </c>
      <c r="AN8" t="s">
        <v>40</v>
      </c>
      <c r="AP8" s="1" t="s">
        <v>41</v>
      </c>
      <c r="AQ8" s="1" t="s">
        <v>57</v>
      </c>
      <c r="AW8" s="1"/>
      <c r="AX8" s="1" t="s">
        <v>43</v>
      </c>
      <c r="AY8" s="1" t="s">
        <v>44</v>
      </c>
      <c r="AZ8" s="1" t="s">
        <v>26</v>
      </c>
      <c r="BA8" s="1" t="s">
        <v>29</v>
      </c>
      <c r="BB8" s="1" t="s">
        <v>36</v>
      </c>
    </row>
    <row r="9" spans="6:54" x14ac:dyDescent="0.35">
      <c r="J9" t="s">
        <v>1</v>
      </c>
      <c r="L9" s="1" t="s">
        <v>10</v>
      </c>
      <c r="N9" t="s">
        <v>2</v>
      </c>
      <c r="AE9" s="1" t="s">
        <v>10</v>
      </c>
      <c r="AP9" s="14">
        <v>92000000</v>
      </c>
      <c r="AQ9" s="14">
        <v>22000000</v>
      </c>
      <c r="AW9" s="1" t="s">
        <v>41</v>
      </c>
      <c r="AX9" s="1">
        <f>IF(H14&gt;H16,H14,H16)</f>
        <v>659</v>
      </c>
      <c r="AY9" s="1">
        <f>IF($Z14&gt;$Z16,$Z14,$Z16)/3</f>
        <v>219.66666666666666</v>
      </c>
      <c r="AZ9" s="1">
        <f t="shared" ref="AZ9:BA9" si="0">IF($Z14&gt;$Z16,$Z14,$Z16)/3</f>
        <v>219.66666666666666</v>
      </c>
      <c r="BA9" s="1">
        <f t="shared" si="0"/>
        <v>219.66666666666666</v>
      </c>
      <c r="BB9" s="1">
        <f>SUM(AX9:BA9)</f>
        <v>1318</v>
      </c>
    </row>
    <row r="10" spans="6:54" x14ac:dyDescent="0.35">
      <c r="H10" s="1" t="s">
        <v>59</v>
      </c>
      <c r="L10" s="1">
        <f>ROUNDUP((IF(H16&gt;H14,H16,H14)+IF(P16&gt;P14,P16,P14)),0)</f>
        <v>1318</v>
      </c>
      <c r="P10" s="1" t="s">
        <v>60</v>
      </c>
      <c r="V10" s="2"/>
      <c r="Z10" s="1" t="s">
        <v>61</v>
      </c>
      <c r="AE10" s="1">
        <f>ROUNDUP((IF(Z16&gt;Z14,Z16,Z14)+IF(AH16&gt;AH14,AH16,AH14)),0)</f>
        <v>1318</v>
      </c>
      <c r="AH10" s="1" t="s">
        <v>62</v>
      </c>
      <c r="AP10" s="13">
        <f>AP9/(AP9+AQ9)</f>
        <v>0.80701754385964908</v>
      </c>
      <c r="AQ10" s="13">
        <f>AQ9/(AP9+AQ9)</f>
        <v>0.19298245614035087</v>
      </c>
      <c r="AW10" s="1" t="s">
        <v>45</v>
      </c>
      <c r="AX10" s="1">
        <f>IF(P16&gt;P14,P16,P14)</f>
        <v>659</v>
      </c>
      <c r="AY10" s="1">
        <f>ROUNDUP((IF($AH16&gt;$AH14,$AH16,$AH14)/3),0)</f>
        <v>220</v>
      </c>
      <c r="AZ10" s="1">
        <f t="shared" ref="AZ10:BA10" si="1">ROUNDUP((IF($AH16&gt;$AH14,$AH16,$AH14)/3),0)</f>
        <v>220</v>
      </c>
      <c r="BA10" s="1">
        <f t="shared" si="1"/>
        <v>220</v>
      </c>
      <c r="BB10" s="1">
        <f>SUM(AX10:BA10)</f>
        <v>1319</v>
      </c>
    </row>
    <row r="11" spans="6:54" x14ac:dyDescent="0.35">
      <c r="H11" s="1" t="s">
        <v>8</v>
      </c>
      <c r="P11" s="1" t="s">
        <v>8</v>
      </c>
      <c r="V11" s="2"/>
      <c r="Z11" s="1" t="s">
        <v>8</v>
      </c>
      <c r="AH11" s="1" t="s">
        <v>8</v>
      </c>
      <c r="AP11" s="1"/>
      <c r="AQ11" s="1"/>
      <c r="AW11" s="1" t="s">
        <v>36</v>
      </c>
      <c r="AX11" s="1">
        <f>SUM(AX9:AX10)</f>
        <v>1318</v>
      </c>
      <c r="AY11" s="1">
        <f t="shared" ref="AY11:BA11" si="2">SUM(AY9:AY10)</f>
        <v>439.66666666666663</v>
      </c>
      <c r="AZ11" s="1">
        <f t="shared" si="2"/>
        <v>439.66666666666663</v>
      </c>
      <c r="BA11" s="1">
        <f t="shared" si="2"/>
        <v>439.66666666666663</v>
      </c>
      <c r="BB11" s="1">
        <f>BB10+BB9</f>
        <v>2637</v>
      </c>
    </row>
    <row r="12" spans="6:54" x14ac:dyDescent="0.35">
      <c r="H12" s="13">
        <v>0.04</v>
      </c>
      <c r="P12" s="13">
        <v>0.05</v>
      </c>
      <c r="V12" s="2"/>
      <c r="Z12" s="13">
        <v>0.04</v>
      </c>
      <c r="AH12" s="13">
        <v>0.05</v>
      </c>
      <c r="AO12" t="s">
        <v>68</v>
      </c>
      <c r="AP12" s="13">
        <f>AP10</f>
        <v>0.80701754385964908</v>
      </c>
      <c r="AQ12" s="13">
        <f>AQ10</f>
        <v>0.19298245614035087</v>
      </c>
    </row>
    <row r="13" spans="6:54" x14ac:dyDescent="0.35">
      <c r="H13" s="1" t="s">
        <v>9</v>
      </c>
      <c r="P13" s="1" t="s">
        <v>9</v>
      </c>
      <c r="V13" s="2"/>
      <c r="Z13" s="1" t="s">
        <v>9</v>
      </c>
      <c r="AH13" s="1" t="s">
        <v>9</v>
      </c>
    </row>
    <row r="14" spans="6:54" x14ac:dyDescent="0.35">
      <c r="H14" s="1">
        <f>ROUNDUP((0.9604/(H12^2)),0)</f>
        <v>601</v>
      </c>
      <c r="I14" s="2"/>
      <c r="J14" s="2"/>
      <c r="K14" s="2"/>
      <c r="L14" s="2"/>
      <c r="M14" s="2"/>
      <c r="N14" s="2"/>
      <c r="O14" s="2"/>
      <c r="P14" s="1">
        <f>ROUNDUP((0.9604/(P12^2)),0)</f>
        <v>385</v>
      </c>
      <c r="Q14" s="2"/>
      <c r="R14" s="2"/>
      <c r="S14" s="2"/>
      <c r="T14" s="2"/>
      <c r="V14" s="2"/>
      <c r="W14" s="2"/>
      <c r="X14" s="2"/>
      <c r="Y14" s="2"/>
      <c r="Z14" s="1">
        <f>ROUNDUP((0.9604/(Z12^2)),0)</f>
        <v>601</v>
      </c>
      <c r="AA14" s="2"/>
      <c r="AB14" s="2"/>
      <c r="AC14" s="2"/>
      <c r="AD14" s="2"/>
      <c r="AE14" s="2"/>
      <c r="AF14" s="2"/>
      <c r="AG14" s="2"/>
      <c r="AH14" s="1">
        <f>ROUNDUP((0.9604/(AH12^2)),0)</f>
        <v>385</v>
      </c>
    </row>
    <row r="15" spans="6:54" x14ac:dyDescent="0.35">
      <c r="H15" s="1" t="s">
        <v>10</v>
      </c>
      <c r="P15" s="1" t="s">
        <v>10</v>
      </c>
      <c r="V15" s="2"/>
      <c r="Z15" s="1" t="s">
        <v>10</v>
      </c>
      <c r="AH15" s="1" t="s">
        <v>10</v>
      </c>
    </row>
    <row r="16" spans="6:54" x14ac:dyDescent="0.35">
      <c r="F16" s="1" t="s">
        <v>5</v>
      </c>
      <c r="H16" s="1">
        <f>IF(F22&gt;F20,F22,F20)+IF(J22&gt;J20,J22,J20)</f>
        <v>659</v>
      </c>
      <c r="I16" s="2"/>
      <c r="J16" s="1" t="s">
        <v>6</v>
      </c>
      <c r="K16" s="2"/>
      <c r="L16" s="2"/>
      <c r="M16" s="2"/>
      <c r="N16" s="1" t="s">
        <v>5</v>
      </c>
      <c r="O16" s="2"/>
      <c r="P16" s="1">
        <f t="shared" ref="P16" si="3">IF(N22&gt;N20,N22,N20)+IF(R22&gt;R20,R22,R20)</f>
        <v>659</v>
      </c>
      <c r="Q16" s="2"/>
      <c r="R16" s="1" t="s">
        <v>6</v>
      </c>
      <c r="S16" s="2"/>
      <c r="T16" s="2"/>
      <c r="V16" s="2"/>
      <c r="W16" s="2"/>
      <c r="X16" s="1" t="s">
        <v>5</v>
      </c>
      <c r="Y16" s="2"/>
      <c r="Z16" s="1">
        <f t="shared" ref="Z16" si="4">IF(X22&gt;X20,X22,X20)+IF(AB22&gt;AB20,AB22,AB20)</f>
        <v>659</v>
      </c>
      <c r="AA16" s="2"/>
      <c r="AB16" s="1" t="s">
        <v>6</v>
      </c>
      <c r="AC16" s="2"/>
      <c r="AD16" s="2"/>
      <c r="AE16" s="2"/>
      <c r="AF16" s="1" t="s">
        <v>5</v>
      </c>
      <c r="AG16" s="2"/>
      <c r="AH16" s="1">
        <f t="shared" ref="AH16" si="5">IF(AF22&gt;AF20,AF22,AF20)+IF(AJ22&gt;AJ20,AJ22,AJ20)</f>
        <v>659</v>
      </c>
      <c r="AI16" s="2"/>
      <c r="AJ16" s="1" t="s">
        <v>6</v>
      </c>
      <c r="AN16" t="s">
        <v>40</v>
      </c>
      <c r="AP16" s="1" t="s">
        <v>0</v>
      </c>
      <c r="AQ16" s="1" t="s">
        <v>44</v>
      </c>
      <c r="AR16" s="1" t="s">
        <v>26</v>
      </c>
      <c r="AS16" s="1" t="s">
        <v>29</v>
      </c>
      <c r="AT16" s="11" t="s">
        <v>46</v>
      </c>
      <c r="AY16" s="1" t="s">
        <v>66</v>
      </c>
    </row>
    <row r="17" spans="5:54" x14ac:dyDescent="0.35">
      <c r="F17" s="1" t="s">
        <v>8</v>
      </c>
      <c r="J17" s="1" t="s">
        <v>8</v>
      </c>
      <c r="N17" s="1" t="s">
        <v>8</v>
      </c>
      <c r="R17" s="1" t="s">
        <v>8</v>
      </c>
      <c r="V17" s="2"/>
      <c r="X17" s="1" t="s">
        <v>8</v>
      </c>
      <c r="AB17" s="1" t="s">
        <v>8</v>
      </c>
      <c r="AF17" s="1" t="s">
        <v>8</v>
      </c>
      <c r="AJ17" s="1" t="s">
        <v>8</v>
      </c>
      <c r="AP17" s="1">
        <f>Q44</f>
        <v>21566712</v>
      </c>
      <c r="AQ17" s="1">
        <f>Y41</f>
        <v>36735984</v>
      </c>
      <c r="AR17" s="1">
        <f>AC41</f>
        <v>24673553</v>
      </c>
      <c r="AS17" s="1">
        <f>AG41</f>
        <v>27547455</v>
      </c>
      <c r="AT17" s="1">
        <f>SUM(AP17:AS17)</f>
        <v>110523704</v>
      </c>
      <c r="AY17" s="1"/>
    </row>
    <row r="18" spans="5:54" x14ac:dyDescent="0.35">
      <c r="F18" s="13">
        <v>0.05</v>
      </c>
      <c r="J18" s="13">
        <v>7.0000000000000007E-2</v>
      </c>
      <c r="N18" s="13">
        <v>0.05</v>
      </c>
      <c r="R18" s="13">
        <v>7.0000000000000007E-2</v>
      </c>
      <c r="T18" s="2"/>
      <c r="V18" s="2"/>
      <c r="X18" s="13">
        <v>0.05</v>
      </c>
      <c r="AB18" s="13">
        <v>7.0000000000000007E-2</v>
      </c>
      <c r="AF18" s="13">
        <v>0.05</v>
      </c>
      <c r="AJ18" s="13">
        <v>7.0000000000000007E-2</v>
      </c>
      <c r="AW18" s="1"/>
      <c r="AX18" s="1" t="s">
        <v>43</v>
      </c>
      <c r="AY18" s="1" t="s">
        <v>44</v>
      </c>
      <c r="AZ18" s="1" t="s">
        <v>26</v>
      </c>
      <c r="BA18" s="1" t="s">
        <v>29</v>
      </c>
      <c r="BB18" s="1" t="s">
        <v>36</v>
      </c>
    </row>
    <row r="19" spans="5:54" x14ac:dyDescent="0.35">
      <c r="F19" s="1" t="s">
        <v>9</v>
      </c>
      <c r="J19" s="1" t="s">
        <v>9</v>
      </c>
      <c r="N19" s="1" t="s">
        <v>9</v>
      </c>
      <c r="R19" s="1" t="s">
        <v>9</v>
      </c>
      <c r="T19" s="2"/>
      <c r="V19" s="2"/>
      <c r="X19" s="1" t="s">
        <v>9</v>
      </c>
      <c r="AB19" s="1" t="s">
        <v>9</v>
      </c>
      <c r="AF19" s="1" t="s">
        <v>9</v>
      </c>
      <c r="AJ19" s="1" t="s">
        <v>9</v>
      </c>
      <c r="AP19" s="13">
        <f>AP17/AT17</f>
        <v>0.19513200534792066</v>
      </c>
      <c r="AQ19" s="13">
        <f>AQ17/AT17</f>
        <v>0.33238104289374881</v>
      </c>
      <c r="AR19" s="13">
        <f>AR17/AT17</f>
        <v>0.22324218341433799</v>
      </c>
      <c r="AS19" s="13">
        <f>AS17/AT17</f>
        <v>0.24924476834399253</v>
      </c>
      <c r="AT19" s="10">
        <f>SUM(AP19:AS19)</f>
        <v>1</v>
      </c>
      <c r="AW19" s="1" t="s">
        <v>41</v>
      </c>
      <c r="AX19" s="13">
        <f>AX9/$BB$11</f>
        <v>0.24990519529768676</v>
      </c>
      <c r="AY19" s="13">
        <f t="shared" ref="AY19:BA19" si="6">AY9/$BB$11</f>
        <v>8.3301731765895587E-2</v>
      </c>
      <c r="AZ19" s="13">
        <f t="shared" si="6"/>
        <v>8.3301731765895587E-2</v>
      </c>
      <c r="BA19" s="13">
        <f t="shared" si="6"/>
        <v>8.3301731765895587E-2</v>
      </c>
      <c r="BB19" s="13">
        <f>BB9/$BB$11</f>
        <v>0.49981039059537352</v>
      </c>
    </row>
    <row r="20" spans="5:54" x14ac:dyDescent="0.35">
      <c r="F20" s="1">
        <f>ROUNDUP((0.9604/(F18^2)),0)</f>
        <v>385</v>
      </c>
      <c r="G20" s="2"/>
      <c r="H20" s="2"/>
      <c r="I20" s="2"/>
      <c r="J20" s="1">
        <f t="shared" ref="J20:AJ20" si="7">ROUNDUP((0.9604/(J18^2)),0)</f>
        <v>196</v>
      </c>
      <c r="K20" s="2"/>
      <c r="L20" s="2"/>
      <c r="M20" s="2"/>
      <c r="N20" s="1">
        <f t="shared" si="7"/>
        <v>385</v>
      </c>
      <c r="O20" s="2"/>
      <c r="P20" s="2"/>
      <c r="Q20" s="2"/>
      <c r="R20" s="1">
        <f t="shared" si="7"/>
        <v>196</v>
      </c>
      <c r="S20" s="2"/>
      <c r="T20" s="2"/>
      <c r="U20" s="2"/>
      <c r="V20" s="2"/>
      <c r="W20" s="2"/>
      <c r="X20" s="1">
        <f t="shared" si="7"/>
        <v>385</v>
      </c>
      <c r="Y20" s="2"/>
      <c r="Z20" s="2"/>
      <c r="AA20" s="2"/>
      <c r="AB20" s="1">
        <f t="shared" si="7"/>
        <v>196</v>
      </c>
      <c r="AC20" s="2"/>
      <c r="AD20" s="2"/>
      <c r="AE20" s="2"/>
      <c r="AF20" s="1">
        <f t="shared" si="7"/>
        <v>385</v>
      </c>
      <c r="AG20" s="2"/>
      <c r="AH20" s="2"/>
      <c r="AI20" s="2"/>
      <c r="AJ20" s="1">
        <f t="shared" si="7"/>
        <v>196</v>
      </c>
      <c r="AP20" s="2"/>
      <c r="AQ20" s="2"/>
      <c r="AR20" s="2"/>
      <c r="AS20" s="2"/>
      <c r="AT20" s="2"/>
      <c r="AW20" s="1" t="s">
        <v>45</v>
      </c>
      <c r="AX20" s="13">
        <f t="shared" ref="AX20:BB21" si="8">AX10/$BB$11</f>
        <v>0.24990519529768676</v>
      </c>
      <c r="AY20" s="13">
        <f t="shared" si="8"/>
        <v>8.3428138035646568E-2</v>
      </c>
      <c r="AZ20" s="13">
        <f t="shared" si="8"/>
        <v>8.3428138035646568E-2</v>
      </c>
      <c r="BA20" s="13">
        <f t="shared" si="8"/>
        <v>8.3428138035646568E-2</v>
      </c>
      <c r="BB20" s="13">
        <f t="shared" si="8"/>
        <v>0.50018960940462642</v>
      </c>
    </row>
    <row r="21" spans="5:54" x14ac:dyDescent="0.35">
      <c r="F21" s="1" t="s">
        <v>10</v>
      </c>
      <c r="J21" s="1" t="s">
        <v>10</v>
      </c>
      <c r="N21" s="1" t="s">
        <v>10</v>
      </c>
      <c r="R21" s="1" t="s">
        <v>10</v>
      </c>
      <c r="T21" s="2"/>
      <c r="V21" s="2"/>
      <c r="X21" s="1" t="s">
        <v>10</v>
      </c>
      <c r="AB21" s="1" t="s">
        <v>10</v>
      </c>
      <c r="AF21" s="1" t="s">
        <v>10</v>
      </c>
      <c r="AJ21" s="1" t="s">
        <v>10</v>
      </c>
      <c r="AP21" s="2"/>
      <c r="AQ21" s="2"/>
      <c r="AR21" s="2"/>
      <c r="AS21" s="2"/>
      <c r="AT21" s="2"/>
      <c r="AW21" s="1" t="s">
        <v>36</v>
      </c>
      <c r="AX21" s="13">
        <f t="shared" si="8"/>
        <v>0.49981039059537352</v>
      </c>
      <c r="AY21" s="13">
        <f t="shared" si="8"/>
        <v>0.16672986980154214</v>
      </c>
      <c r="AZ21" s="13">
        <f t="shared" si="8"/>
        <v>0.16672986980154214</v>
      </c>
      <c r="BA21" s="13">
        <f t="shared" si="8"/>
        <v>0.16672986980154214</v>
      </c>
      <c r="BB21" s="13">
        <f t="shared" si="8"/>
        <v>1</v>
      </c>
    </row>
    <row r="22" spans="5:54" x14ac:dyDescent="0.35">
      <c r="E22" s="1" t="s">
        <v>3</v>
      </c>
      <c r="F22" s="1">
        <f>E26+G26</f>
        <v>463</v>
      </c>
      <c r="G22" s="1" t="s">
        <v>4</v>
      </c>
      <c r="I22" s="2"/>
      <c r="J22" s="1">
        <f>I26+K26</f>
        <v>0</v>
      </c>
      <c r="K22" s="2"/>
      <c r="M22" s="1" t="s">
        <v>3</v>
      </c>
      <c r="N22" s="6">
        <f>M26+O26</f>
        <v>463</v>
      </c>
      <c r="O22" s="1" t="s">
        <v>4</v>
      </c>
      <c r="Q22" s="2"/>
      <c r="R22" s="1">
        <f>Q26+S26</f>
        <v>0</v>
      </c>
      <c r="S22" s="2"/>
      <c r="T22" s="2"/>
      <c r="V22" s="2"/>
      <c r="W22" s="4" t="s">
        <v>3</v>
      </c>
      <c r="X22" s="1">
        <f>W26+Y26</f>
        <v>463</v>
      </c>
      <c r="Y22" s="5" t="s">
        <v>4</v>
      </c>
      <c r="AA22" s="2"/>
      <c r="AB22" s="1">
        <f>AA26+AC26</f>
        <v>0</v>
      </c>
      <c r="AC22" s="2"/>
      <c r="AE22" s="4" t="s">
        <v>3</v>
      </c>
      <c r="AF22" s="1">
        <f>AE26+AG26</f>
        <v>463</v>
      </c>
      <c r="AG22" s="5" t="s">
        <v>4</v>
      </c>
      <c r="AI22" s="2"/>
      <c r="AJ22" s="1">
        <f>AI26+AK26</f>
        <v>0</v>
      </c>
      <c r="AK22" s="2"/>
    </row>
    <row r="23" spans="5:54" x14ac:dyDescent="0.35">
      <c r="E23" s="1" t="s">
        <v>8</v>
      </c>
      <c r="G23" s="1" t="s">
        <v>8</v>
      </c>
      <c r="I23" s="2"/>
      <c r="J23" s="2"/>
      <c r="K23" s="2"/>
      <c r="M23" s="1" t="s">
        <v>8</v>
      </c>
      <c r="O23" s="1" t="s">
        <v>8</v>
      </c>
      <c r="Q23" s="2"/>
      <c r="R23" s="2"/>
      <c r="S23" s="2"/>
      <c r="T23" s="2"/>
      <c r="V23" s="2"/>
      <c r="W23" s="1" t="s">
        <v>8</v>
      </c>
      <c r="Y23" s="1" t="s">
        <v>8</v>
      </c>
      <c r="AA23" s="2"/>
      <c r="AB23" s="2"/>
      <c r="AC23" s="2"/>
      <c r="AE23" s="1" t="s">
        <v>8</v>
      </c>
      <c r="AG23" s="1" t="s">
        <v>8</v>
      </c>
      <c r="AI23" s="2"/>
      <c r="AJ23" s="2"/>
      <c r="AK23" s="2"/>
    </row>
    <row r="24" spans="5:54" x14ac:dyDescent="0.35">
      <c r="E24" s="13">
        <v>0.06</v>
      </c>
      <c r="G24" s="13">
        <v>7.0000000000000007E-2</v>
      </c>
      <c r="H24" s="2"/>
      <c r="I24" s="2"/>
      <c r="J24" s="2"/>
      <c r="K24" s="2"/>
      <c r="L24" s="2"/>
      <c r="M24" s="13">
        <v>0.06</v>
      </c>
      <c r="O24" s="13">
        <v>7.0000000000000007E-2</v>
      </c>
      <c r="P24" s="2"/>
      <c r="Q24" s="2"/>
      <c r="R24" s="2"/>
      <c r="S24" s="2"/>
      <c r="W24" s="13">
        <v>0.06</v>
      </c>
      <c r="X24" s="2"/>
      <c r="Y24" s="13">
        <v>7.0000000000000007E-2</v>
      </c>
      <c r="AA24" s="2"/>
      <c r="AB24" s="2"/>
      <c r="AC24" s="2"/>
      <c r="AE24" s="13">
        <v>0.06</v>
      </c>
      <c r="AG24" s="13">
        <v>7.0000000000000007E-2</v>
      </c>
      <c r="AI24" s="2"/>
      <c r="AJ24" s="2"/>
      <c r="AK24" s="2"/>
      <c r="AY24" s="1" t="s">
        <v>48</v>
      </c>
    </row>
    <row r="25" spans="5:54" x14ac:dyDescent="0.35">
      <c r="E25" s="1" t="s">
        <v>9</v>
      </c>
      <c r="G25" s="1" t="s">
        <v>9</v>
      </c>
      <c r="I25" s="2"/>
      <c r="J25" s="2"/>
      <c r="K25" s="2"/>
      <c r="M25" s="1" t="s">
        <v>9</v>
      </c>
      <c r="O25" s="1" t="s">
        <v>9</v>
      </c>
      <c r="Q25" s="2"/>
      <c r="R25" s="2"/>
      <c r="S25" s="2"/>
      <c r="W25" s="1" t="s">
        <v>9</v>
      </c>
      <c r="X25" s="2"/>
      <c r="Y25" s="1" t="s">
        <v>9</v>
      </c>
      <c r="AA25" s="2"/>
      <c r="AB25" s="2"/>
      <c r="AC25" s="2"/>
      <c r="AE25" s="1" t="s">
        <v>9</v>
      </c>
      <c r="AG25" s="1" t="s">
        <v>9</v>
      </c>
      <c r="AI25" s="2"/>
      <c r="AJ25" s="2"/>
      <c r="AK25" s="2"/>
      <c r="AN25" s="1" t="s">
        <v>40</v>
      </c>
      <c r="AO25" s="1"/>
      <c r="AP25" s="20" t="s">
        <v>43</v>
      </c>
      <c r="AQ25" s="12" t="s">
        <v>44</v>
      </c>
      <c r="AR25" s="12" t="s">
        <v>26</v>
      </c>
      <c r="AS25" s="12" t="s">
        <v>29</v>
      </c>
      <c r="AT25" s="12" t="s">
        <v>46</v>
      </c>
      <c r="AW25" s="1" t="s">
        <v>50</v>
      </c>
      <c r="AX25" s="1" t="s">
        <v>43</v>
      </c>
      <c r="AY25" s="1" t="s">
        <v>44</v>
      </c>
      <c r="AZ25" s="1" t="s">
        <v>26</v>
      </c>
      <c r="BA25" s="1" t="s">
        <v>29</v>
      </c>
      <c r="BB25" s="1"/>
    </row>
    <row r="26" spans="5:54" x14ac:dyDescent="0.35">
      <c r="E26" s="1">
        <f>ROUNDUP((0.9604/(E24^2)),0)</f>
        <v>267</v>
      </c>
      <c r="F26" s="2"/>
      <c r="G26" s="1">
        <f t="shared" ref="G26:AG26" si="9">ROUNDUP((0.9604/(G24^2)),0)</f>
        <v>196</v>
      </c>
      <c r="H26" s="2"/>
      <c r="I26" s="2"/>
      <c r="J26" s="2"/>
      <c r="K26" s="2"/>
      <c r="L26" s="2"/>
      <c r="M26" s="1">
        <f t="shared" si="9"/>
        <v>267</v>
      </c>
      <c r="N26" s="2"/>
      <c r="O26" s="1">
        <f t="shared" si="9"/>
        <v>196</v>
      </c>
      <c r="P26" s="2"/>
      <c r="Q26" s="2"/>
      <c r="R26" s="2"/>
      <c r="S26" s="2"/>
      <c r="T26" s="2"/>
      <c r="U26" s="2"/>
      <c r="V26" s="2"/>
      <c r="W26" s="1">
        <f t="shared" si="9"/>
        <v>267</v>
      </c>
      <c r="X26" s="2"/>
      <c r="Y26" s="1">
        <f t="shared" si="9"/>
        <v>196</v>
      </c>
      <c r="Z26" s="2"/>
      <c r="AA26" s="2"/>
      <c r="AB26" s="2"/>
      <c r="AC26" s="2"/>
      <c r="AD26" s="2"/>
      <c r="AE26" s="1">
        <f t="shared" si="9"/>
        <v>267</v>
      </c>
      <c r="AF26" s="2"/>
      <c r="AG26" s="1">
        <f t="shared" si="9"/>
        <v>196</v>
      </c>
      <c r="AH26" s="2"/>
      <c r="AI26" s="2"/>
      <c r="AJ26" s="2"/>
      <c r="AK26" s="2"/>
      <c r="AN26" s="1"/>
      <c r="AO26" s="1"/>
      <c r="AW26" s="1" t="s">
        <v>41</v>
      </c>
      <c r="AX26" s="14">
        <f>AP27/AX19</f>
        <v>0.63013876721011297</v>
      </c>
      <c r="AY26" s="14">
        <f t="shared" ref="AY26:BA26" si="10">AQ27/AY19</f>
        <v>3.2200691051112145</v>
      </c>
      <c r="AZ26" s="14">
        <f t="shared" si="10"/>
        <v>2.1627444559161431</v>
      </c>
      <c r="BA26" s="14">
        <f t="shared" si="10"/>
        <v>2.4146544916271049</v>
      </c>
      <c r="BB26" s="14"/>
    </row>
    <row r="27" spans="5:54" x14ac:dyDescent="0.35">
      <c r="AN27" s="1" t="s">
        <v>41</v>
      </c>
      <c r="AO27" s="1"/>
      <c r="AP27" s="19">
        <f>AP30*AT27</f>
        <v>0.15747495168428685</v>
      </c>
      <c r="AQ27" s="13">
        <f t="shared" ref="AQ27:AS27" si="11">AQ30*$AT27</f>
        <v>0.26823733286162182</v>
      </c>
      <c r="AR27" s="13">
        <f t="shared" si="11"/>
        <v>0.18016035854490434</v>
      </c>
      <c r="AS27" s="13">
        <f t="shared" si="11"/>
        <v>0.20114490076883607</v>
      </c>
      <c r="AT27" s="13">
        <f>AP12</f>
        <v>0.80701754385964908</v>
      </c>
      <c r="AW27" s="1" t="s">
        <v>45</v>
      </c>
      <c r="AX27" s="14">
        <f>AP28/AX20</f>
        <v>0.15068535737633135</v>
      </c>
      <c r="AY27" s="14">
        <f t="shared" ref="AY27:BA27" si="12">AQ28/AY20</f>
        <v>0.76884983343054003</v>
      </c>
      <c r="AZ27" s="14">
        <f t="shared" si="12"/>
        <v>0.51639441900316607</v>
      </c>
      <c r="BA27" s="14">
        <f t="shared" si="12"/>
        <v>0.57654250361676174</v>
      </c>
      <c r="BB27" s="14"/>
    </row>
    <row r="28" spans="5:54" x14ac:dyDescent="0.35">
      <c r="AN28" s="1" t="s">
        <v>45</v>
      </c>
      <c r="AO28" s="1"/>
      <c r="AP28" s="19">
        <f>AP30*$AT28</f>
        <v>3.765705366363381E-2</v>
      </c>
      <c r="AQ28" s="13">
        <f t="shared" ref="AQ28:AS28" si="13">AQ30*$AT28</f>
        <v>6.414371003212696E-2</v>
      </c>
      <c r="AR28" s="13">
        <f t="shared" si="13"/>
        <v>4.3081824869433648E-2</v>
      </c>
      <c r="AS28" s="13">
        <f t="shared" si="13"/>
        <v>4.8099867575156455E-2</v>
      </c>
      <c r="AT28" s="13">
        <f>AQ12</f>
        <v>0.19298245614035087</v>
      </c>
      <c r="AW28" s="1"/>
      <c r="AX28" s="14"/>
      <c r="AY28" s="14"/>
      <c r="AZ28" s="14"/>
      <c r="BA28" s="14"/>
      <c r="BB28" s="14"/>
    </row>
    <row r="29" spans="5:54" x14ac:dyDescent="0.35">
      <c r="AN29" s="1"/>
      <c r="AO29" s="1"/>
    </row>
    <row r="30" spans="5:54" x14ac:dyDescent="0.35">
      <c r="AN30" s="1" t="s">
        <v>42</v>
      </c>
      <c r="AO30" s="1" t="s">
        <v>46</v>
      </c>
      <c r="AP30" s="19">
        <f>$Q$44/$V$47</f>
        <v>0.19513200534792066</v>
      </c>
      <c r="AQ30" s="13">
        <f>$Y$41/$V$47</f>
        <v>0.33238104289374881</v>
      </c>
      <c r="AR30" s="13">
        <f>$AC$41/$V$47</f>
        <v>0.22324218341433799</v>
      </c>
      <c r="AS30" s="13">
        <f>$AG$41/$V$47</f>
        <v>0.24924476834399253</v>
      </c>
      <c r="AT30" s="10">
        <v>1</v>
      </c>
      <c r="AW30" s="26" t="s">
        <v>69</v>
      </c>
      <c r="AX30" s="26"/>
      <c r="AY30" s="26"/>
      <c r="AZ30" s="26"/>
      <c r="BA30" s="26"/>
      <c r="BB30" s="26"/>
    </row>
    <row r="31" spans="5:54" ht="15" customHeight="1" x14ac:dyDescent="0.35">
      <c r="O31" s="1"/>
      <c r="P31" s="1" t="s">
        <v>21</v>
      </c>
      <c r="Q31" s="1"/>
      <c r="X31" t="s">
        <v>22</v>
      </c>
      <c r="AB31" t="s">
        <v>26</v>
      </c>
      <c r="AF31" t="s">
        <v>29</v>
      </c>
      <c r="AW31" s="22" t="s">
        <v>70</v>
      </c>
      <c r="AX31" s="1" t="s">
        <v>43</v>
      </c>
      <c r="AY31" s="1" t="s">
        <v>44</v>
      </c>
      <c r="AZ31" s="1" t="s">
        <v>26</v>
      </c>
      <c r="BA31" s="1" t="s">
        <v>29</v>
      </c>
      <c r="BB31" s="1" t="s">
        <v>36</v>
      </c>
    </row>
    <row r="32" spans="5:54" x14ac:dyDescent="0.35">
      <c r="I32" s="1" t="s">
        <v>11</v>
      </c>
      <c r="J32" s="1" t="s">
        <v>12</v>
      </c>
      <c r="O32" s="1" t="s">
        <v>41</v>
      </c>
      <c r="P32" s="1" t="s">
        <v>16</v>
      </c>
      <c r="Q32" s="1">
        <v>14617882</v>
      </c>
      <c r="W32" s="1" t="s">
        <v>41</v>
      </c>
      <c r="X32" s="1" t="s">
        <v>23</v>
      </c>
      <c r="Y32" s="1">
        <v>6352254</v>
      </c>
      <c r="AA32" s="1" t="s">
        <v>41</v>
      </c>
      <c r="AB32" s="1" t="s">
        <v>27</v>
      </c>
      <c r="AC32" s="1">
        <v>21753486</v>
      </c>
      <c r="AE32" s="1" t="s">
        <v>41</v>
      </c>
      <c r="AF32" s="1" t="s">
        <v>30</v>
      </c>
      <c r="AG32" s="1">
        <v>8917749</v>
      </c>
      <c r="AW32" s="1" t="s">
        <v>41</v>
      </c>
      <c r="AX32" s="14">
        <f>ROUNDUP((AX9*AX26),0)</f>
        <v>416</v>
      </c>
      <c r="AY32" s="14">
        <f t="shared" ref="AY32:BA32" si="14">ROUNDUP((AY9*AY26),0)</f>
        <v>708</v>
      </c>
      <c r="AZ32" s="14">
        <f t="shared" si="14"/>
        <v>476</v>
      </c>
      <c r="BA32" s="14">
        <f t="shared" si="14"/>
        <v>531</v>
      </c>
      <c r="BB32" s="14">
        <f>SUM(AX32:BA32)</f>
        <v>2131</v>
      </c>
    </row>
    <row r="33" spans="15:54" x14ac:dyDescent="0.35">
      <c r="W33" s="1"/>
      <c r="X33" s="1" t="s">
        <v>34</v>
      </c>
      <c r="Y33" s="1">
        <v>20748395</v>
      </c>
      <c r="AA33" s="1"/>
      <c r="AB33" s="1"/>
      <c r="AC33" s="1"/>
      <c r="AE33" s="1"/>
      <c r="AF33" s="1" t="s">
        <v>31</v>
      </c>
      <c r="AG33" s="1">
        <v>8728906</v>
      </c>
      <c r="AP33" s="9"/>
      <c r="AW33" s="1" t="s">
        <v>45</v>
      </c>
      <c r="AX33" s="14">
        <f>ROUNDUP((AX10*AX27),0)</f>
        <v>100</v>
      </c>
      <c r="AY33" s="14">
        <f t="shared" ref="AY33:BA33" si="15">ROUNDUP((AY10*AY27),0)</f>
        <v>170</v>
      </c>
      <c r="AZ33" s="14">
        <f t="shared" si="15"/>
        <v>114</v>
      </c>
      <c r="BA33" s="14">
        <f t="shared" si="15"/>
        <v>127</v>
      </c>
      <c r="BB33" s="14">
        <f>SUM(AX33:BA33)</f>
        <v>511</v>
      </c>
    </row>
    <row r="34" spans="15:54" x14ac:dyDescent="0.35">
      <c r="W34" s="1"/>
      <c r="X34" s="1" t="s">
        <v>24</v>
      </c>
      <c r="Y34" s="1">
        <v>5049968</v>
      </c>
      <c r="AA34" s="1"/>
      <c r="AB34" s="1"/>
      <c r="AC34" s="1"/>
      <c r="AE34" s="1"/>
      <c r="AF34" s="1" t="s">
        <v>32</v>
      </c>
      <c r="AG34" s="1">
        <v>7749334</v>
      </c>
      <c r="AP34" s="15"/>
      <c r="AW34" s="1" t="s">
        <v>36</v>
      </c>
      <c r="AX34" s="14">
        <f>SUM(AX32:AX33)</f>
        <v>516</v>
      </c>
      <c r="AY34" s="14">
        <f t="shared" ref="AY34:BB34" si="16">SUM(AY32:AY33)</f>
        <v>878</v>
      </c>
      <c r="AZ34" s="14">
        <f t="shared" si="16"/>
        <v>590</v>
      </c>
      <c r="BA34" s="14">
        <f t="shared" si="16"/>
        <v>658</v>
      </c>
      <c r="BB34" s="14">
        <f t="shared" si="16"/>
        <v>2642</v>
      </c>
    </row>
    <row r="37" spans="15:54" x14ac:dyDescent="0.35">
      <c r="AY37" s="1" t="s">
        <v>49</v>
      </c>
    </row>
    <row r="38" spans="15:54" x14ac:dyDescent="0.35">
      <c r="O38" s="1" t="s">
        <v>63</v>
      </c>
      <c r="P38" s="1" t="s">
        <v>17</v>
      </c>
      <c r="Q38" s="1">
        <v>2046652</v>
      </c>
      <c r="W38" s="1" t="s">
        <v>63</v>
      </c>
      <c r="X38" s="1" t="s">
        <v>25</v>
      </c>
      <c r="Y38" s="1">
        <v>4585367</v>
      </c>
      <c r="AA38" s="1" t="s">
        <v>63</v>
      </c>
      <c r="AB38" s="1" t="s">
        <v>28</v>
      </c>
      <c r="AC38" s="1">
        <v>2920067</v>
      </c>
      <c r="AE38" s="1" t="s">
        <v>63</v>
      </c>
      <c r="AF38" s="1" t="s">
        <v>33</v>
      </c>
      <c r="AG38" s="1">
        <v>2151466</v>
      </c>
      <c r="AW38" s="1"/>
      <c r="AX38" s="1" t="s">
        <v>43</v>
      </c>
      <c r="AY38" s="1" t="s">
        <v>44</v>
      </c>
      <c r="AZ38" s="1" t="s">
        <v>26</v>
      </c>
      <c r="BA38" s="1" t="s">
        <v>29</v>
      </c>
      <c r="BB38" s="1" t="s">
        <v>36</v>
      </c>
    </row>
    <row r="39" spans="15:54" x14ac:dyDescent="0.35">
      <c r="O39" s="1"/>
      <c r="P39" s="1" t="s">
        <v>18</v>
      </c>
      <c r="Q39" s="1">
        <v>1337131</v>
      </c>
      <c r="AW39" s="1" t="s">
        <v>41</v>
      </c>
      <c r="AX39" s="14">
        <f>AX32*500</f>
        <v>208000</v>
      </c>
      <c r="AY39" s="14">
        <f t="shared" ref="AY39:BB39" si="17">AY32*500</f>
        <v>354000</v>
      </c>
      <c r="AZ39" s="14">
        <f t="shared" si="17"/>
        <v>238000</v>
      </c>
      <c r="BA39" s="14">
        <f t="shared" si="17"/>
        <v>265500</v>
      </c>
      <c r="BB39" s="14">
        <f t="shared" si="17"/>
        <v>1065500</v>
      </c>
    </row>
    <row r="40" spans="15:54" x14ac:dyDescent="0.35">
      <c r="O40" s="1"/>
      <c r="P40" s="1" t="s">
        <v>19</v>
      </c>
      <c r="Q40" s="1">
        <v>1243008</v>
      </c>
      <c r="AW40" s="1" t="s">
        <v>45</v>
      </c>
      <c r="AX40" s="14">
        <f>AX33*700</f>
        <v>70000</v>
      </c>
      <c r="AY40" s="14">
        <f t="shared" ref="AY40:BB40" si="18">AY33*700</f>
        <v>119000</v>
      </c>
      <c r="AZ40" s="14">
        <f t="shared" si="18"/>
        <v>79800</v>
      </c>
      <c r="BA40" s="14">
        <f t="shared" si="18"/>
        <v>88900</v>
      </c>
      <c r="BB40" s="14">
        <f t="shared" si="18"/>
        <v>357700</v>
      </c>
    </row>
    <row r="41" spans="15:54" x14ac:dyDescent="0.35">
      <c r="O41" s="1"/>
      <c r="P41" s="1" t="s">
        <v>20</v>
      </c>
      <c r="Q41" s="1">
        <v>1195298</v>
      </c>
      <c r="X41" s="1" t="s">
        <v>37</v>
      </c>
      <c r="Y41" s="1">
        <f>SUM(Y32:Y39)</f>
        <v>36735984</v>
      </c>
      <c r="AB41" s="1" t="s">
        <v>38</v>
      </c>
      <c r="AC41" s="1">
        <f>SUM(AC32:AC39)</f>
        <v>24673553</v>
      </c>
      <c r="AF41" s="1" t="s">
        <v>39</v>
      </c>
      <c r="AG41" s="1">
        <f>SUM(AG32:AG39)</f>
        <v>27547455</v>
      </c>
      <c r="AW41" s="1" t="s">
        <v>36</v>
      </c>
      <c r="AX41" s="14">
        <f>AX40+AX39</f>
        <v>278000</v>
      </c>
      <c r="AY41" s="14">
        <f t="shared" ref="AY41:BB41" si="19">AY40+AY39</f>
        <v>473000</v>
      </c>
      <c r="AZ41" s="14">
        <f t="shared" si="19"/>
        <v>317800</v>
      </c>
      <c r="BA41" s="14">
        <f t="shared" si="19"/>
        <v>354400</v>
      </c>
      <c r="BB41" s="14">
        <f t="shared" si="19"/>
        <v>1423200</v>
      </c>
    </row>
    <row r="42" spans="15:54" x14ac:dyDescent="0.35">
      <c r="O42" s="1"/>
      <c r="P42" s="1" t="s">
        <v>51</v>
      </c>
      <c r="Q42" s="1">
        <v>1126741</v>
      </c>
    </row>
    <row r="44" spans="15:54" x14ac:dyDescent="0.35">
      <c r="P44" s="1" t="s">
        <v>35</v>
      </c>
      <c r="Q44" s="1">
        <f>SUM(Q32,Q38,Q39,Q40,Q41,Q42)</f>
        <v>21566712</v>
      </c>
      <c r="AW44" s="1" t="s">
        <v>53</v>
      </c>
      <c r="AX44" s="1"/>
    </row>
    <row r="45" spans="15:54" x14ac:dyDescent="0.35">
      <c r="Y45" t="s">
        <v>67</v>
      </c>
      <c r="AW45" s="1"/>
      <c r="AX45" s="1" t="s">
        <v>54</v>
      </c>
      <c r="AY45" t="s">
        <v>55</v>
      </c>
    </row>
    <row r="46" spans="15:54" s="16" customFormat="1" ht="21" customHeight="1" x14ac:dyDescent="0.35">
      <c r="U46" s="17"/>
      <c r="V46" s="18" t="s">
        <v>52</v>
      </c>
      <c r="W46" s="18"/>
      <c r="X46" s="18" t="s">
        <v>0</v>
      </c>
      <c r="Y46" s="18" t="s">
        <v>44</v>
      </c>
      <c r="Z46" s="18" t="s">
        <v>26</v>
      </c>
      <c r="AA46" s="18" t="s">
        <v>29</v>
      </c>
      <c r="AL46" s="17"/>
      <c r="AU46" s="17"/>
      <c r="AW46" s="18"/>
      <c r="AX46" s="21" t="s">
        <v>76</v>
      </c>
    </row>
    <row r="47" spans="15:54" x14ac:dyDescent="0.35">
      <c r="V47" s="14">
        <f>Q44+Y41+AC41+AG41</f>
        <v>110523704</v>
      </c>
      <c r="W47" s="1"/>
      <c r="X47" s="13">
        <f>$Q$44/$V$47</f>
        <v>0.19513200534792066</v>
      </c>
      <c r="Y47" s="13">
        <f>$Y$41/$V$47</f>
        <v>0.33238104289374881</v>
      </c>
      <c r="Z47" s="13">
        <f>$AC$41/$V$47</f>
        <v>0.22324218341433799</v>
      </c>
      <c r="AA47" s="13">
        <f>$AG$41/$V$47</f>
        <v>0.24924476834399253</v>
      </c>
      <c r="AX47" s="7" t="s">
        <v>43</v>
      </c>
      <c r="AY47" s="1" t="s">
        <v>44</v>
      </c>
      <c r="AZ47" s="1" t="s">
        <v>26</v>
      </c>
      <c r="BA47" s="1" t="s">
        <v>29</v>
      </c>
      <c r="BB47" s="1" t="s">
        <v>36</v>
      </c>
    </row>
    <row r="48" spans="15:54" x14ac:dyDescent="0.35">
      <c r="AW48" s="1" t="s">
        <v>41</v>
      </c>
      <c r="AX48" s="1">
        <v>1</v>
      </c>
      <c r="AY48" s="1">
        <v>3</v>
      </c>
      <c r="AZ48" s="1">
        <v>1</v>
      </c>
      <c r="BA48" s="1">
        <v>3</v>
      </c>
      <c r="BB48" s="1">
        <f>SUM(AX48:BA48)</f>
        <v>8</v>
      </c>
    </row>
    <row r="49" spans="49:54" x14ac:dyDescent="0.35">
      <c r="AW49" s="1" t="s">
        <v>45</v>
      </c>
      <c r="AX49" s="1">
        <v>3</v>
      </c>
      <c r="AY49" s="1">
        <v>1</v>
      </c>
      <c r="AZ49" s="1">
        <v>1</v>
      </c>
      <c r="BA49" s="1">
        <v>1</v>
      </c>
      <c r="BB49" s="1">
        <f>SUM(AX49:BA49)</f>
        <v>6</v>
      </c>
    </row>
    <row r="50" spans="49:54" x14ac:dyDescent="0.35">
      <c r="AW50" s="1" t="s">
        <v>36</v>
      </c>
      <c r="AX50" s="1">
        <f>SUM(AX48:AX49)</f>
        <v>4</v>
      </c>
      <c r="AY50" s="1">
        <f t="shared" ref="AY50:BA50" si="20">SUM(AY48:AY49)</f>
        <v>4</v>
      </c>
      <c r="AZ50" s="1">
        <f t="shared" si="20"/>
        <v>2</v>
      </c>
      <c r="BA50" s="1">
        <f t="shared" si="20"/>
        <v>4</v>
      </c>
      <c r="BB50" s="1">
        <f>SUM(BB48:BB49)</f>
        <v>14</v>
      </c>
    </row>
    <row r="53" spans="49:54" x14ac:dyDescent="0.35">
      <c r="AX53" t="s">
        <v>56</v>
      </c>
      <c r="BB53" t="s">
        <v>58</v>
      </c>
    </row>
    <row r="54" spans="49:54" x14ac:dyDescent="0.35">
      <c r="AX54">
        <f>BB50*30000</f>
        <v>420000</v>
      </c>
      <c r="BB54">
        <f>BB41+AX54</f>
        <v>1843200</v>
      </c>
    </row>
    <row r="57" spans="49:54" x14ac:dyDescent="0.35">
      <c r="AY57" s="24" t="s">
        <v>72</v>
      </c>
      <c r="AZ57" s="23">
        <v>0.15</v>
      </c>
      <c r="BA57" t="s">
        <v>71</v>
      </c>
      <c r="BB57">
        <f>BB54+(BB54*(AZ57))</f>
        <v>2119680</v>
      </c>
    </row>
    <row r="60" spans="49:54" ht="29" x14ac:dyDescent="0.35">
      <c r="AY60" s="25" t="s">
        <v>73</v>
      </c>
      <c r="AZ60">
        <f>2500000-BB57</f>
        <v>380320</v>
      </c>
    </row>
    <row r="61" spans="49:54" x14ac:dyDescent="0.35">
      <c r="BB61" t="s">
        <v>74</v>
      </c>
    </row>
    <row r="62" spans="49:54" x14ac:dyDescent="0.35">
      <c r="BA62" s="24" t="s">
        <v>75</v>
      </c>
      <c r="BB62">
        <f>BB57+AZ60</f>
        <v>2500000</v>
      </c>
    </row>
  </sheetData>
  <mergeCells count="2">
    <mergeCell ref="AW7:BB7"/>
    <mergeCell ref="AW30:BB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3B5A-E44A-4F5E-9353-5F6A9F0F176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Size&amp;Errors East India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Antarlin Chanda</dc:creator>
  <cp:lastModifiedBy>Antarlin Chanda</cp:lastModifiedBy>
  <dcterms:created xsi:type="dcterms:W3CDTF">2015-06-05T18:17:20Z</dcterms:created>
  <dcterms:modified xsi:type="dcterms:W3CDTF">2022-04-24T09:53:36Z</dcterms:modified>
</cp:coreProperties>
</file>