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esis_Puya\Tesis\"/>
    </mc:Choice>
  </mc:AlternateContent>
  <xr:revisionPtr revIDLastSave="0" documentId="13_ncr:1_{78ED5C80-425C-413F-B146-07C419876CF9}" xr6:coauthVersionLast="47" xr6:coauthVersionMax="47" xr10:uidLastSave="{00000000-0000-0000-0000-000000000000}"/>
  <bookViews>
    <workbookView xWindow="-120" yWindow="-120" windowWidth="29040" windowHeight="15840" xr2:uid="{B5F25565-961C-438C-A9D9-BC2B809DE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0" i="1" l="1"/>
  <c r="U177" i="1"/>
  <c r="U174" i="1"/>
  <c r="U171" i="1"/>
  <c r="U168" i="1"/>
  <c r="U165" i="1"/>
  <c r="U162" i="1"/>
  <c r="U159" i="1"/>
  <c r="U156" i="1"/>
  <c r="U153" i="1"/>
  <c r="U150" i="1"/>
  <c r="U147" i="1"/>
  <c r="U144" i="1"/>
  <c r="U141" i="1"/>
  <c r="U138" i="1"/>
  <c r="U135" i="1"/>
  <c r="U132" i="1"/>
  <c r="U129" i="1"/>
  <c r="U126" i="1"/>
  <c r="U123" i="1"/>
  <c r="U120" i="1"/>
  <c r="U117" i="1"/>
  <c r="U114" i="1"/>
  <c r="U111" i="1"/>
  <c r="U108" i="1"/>
  <c r="U105" i="1"/>
  <c r="U102" i="1"/>
  <c r="U99" i="1"/>
  <c r="U96" i="1"/>
  <c r="U93" i="1"/>
  <c r="T180" i="1" l="1"/>
  <c r="T177" i="1"/>
  <c r="T174" i="1"/>
  <c r="T171" i="1"/>
  <c r="T168" i="1"/>
  <c r="T165" i="1"/>
  <c r="T162" i="1"/>
  <c r="T159" i="1"/>
  <c r="T156" i="1"/>
  <c r="T153" i="1"/>
  <c r="T150" i="1"/>
  <c r="T147" i="1"/>
  <c r="T144" i="1"/>
  <c r="T141" i="1"/>
  <c r="T138" i="1"/>
  <c r="T135" i="1"/>
  <c r="T132" i="1"/>
  <c r="T129" i="1"/>
  <c r="T126" i="1"/>
  <c r="T123" i="1"/>
  <c r="T120" i="1"/>
  <c r="T117" i="1"/>
  <c r="T114" i="1"/>
  <c r="T111" i="1"/>
  <c r="T108" i="1"/>
  <c r="T105" i="1"/>
  <c r="T102" i="1"/>
  <c r="T99" i="1"/>
  <c r="T96" i="1"/>
  <c r="T93" i="1"/>
  <c r="R111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J172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J98" i="1"/>
  <c r="K98" i="1" s="1"/>
  <c r="K99" i="1"/>
  <c r="K97" i="1"/>
  <c r="K96" i="1"/>
  <c r="K95" i="1"/>
  <c r="K94" i="1"/>
  <c r="K93" i="1"/>
  <c r="K92" i="1"/>
  <c r="R180" i="1"/>
  <c r="R177" i="1"/>
  <c r="R174" i="1"/>
  <c r="R171" i="1"/>
  <c r="R168" i="1"/>
  <c r="R165" i="1"/>
  <c r="R162" i="1"/>
  <c r="R159" i="1"/>
  <c r="R156" i="1"/>
  <c r="R153" i="1"/>
  <c r="R150" i="1"/>
  <c r="R147" i="1"/>
  <c r="R144" i="1"/>
  <c r="R141" i="1"/>
  <c r="R138" i="1"/>
  <c r="R135" i="1"/>
  <c r="R132" i="1"/>
  <c r="R129" i="1"/>
  <c r="R126" i="1"/>
  <c r="R123" i="1"/>
  <c r="R120" i="1"/>
  <c r="R117" i="1"/>
  <c r="R114" i="1"/>
  <c r="R108" i="1"/>
  <c r="R105" i="1"/>
  <c r="R102" i="1"/>
  <c r="R99" i="1"/>
  <c r="R96" i="1"/>
  <c r="R93" i="1"/>
  <c r="M93" i="1"/>
  <c r="M180" i="1"/>
  <c r="M177" i="1"/>
  <c r="M174" i="1"/>
  <c r="M171" i="1"/>
  <c r="M168" i="1"/>
  <c r="M165" i="1"/>
  <c r="M162" i="1"/>
  <c r="M159" i="1"/>
  <c r="M156" i="1"/>
  <c r="M153" i="1"/>
  <c r="M150" i="1"/>
  <c r="M147" i="1"/>
  <c r="M144" i="1"/>
  <c r="M141" i="1"/>
  <c r="M138" i="1"/>
  <c r="M135" i="1"/>
  <c r="M132" i="1"/>
  <c r="M129" i="1"/>
  <c r="M126" i="1"/>
  <c r="M123" i="1"/>
  <c r="M120" i="1"/>
  <c r="M117" i="1"/>
  <c r="M114" i="1"/>
  <c r="M111" i="1"/>
  <c r="M108" i="1"/>
  <c r="M105" i="1"/>
  <c r="M102" i="1"/>
  <c r="M99" i="1"/>
  <c r="M96" i="1"/>
  <c r="C113" i="1"/>
  <c r="C112" i="1"/>
  <c r="C111" i="1"/>
  <c r="C110" i="1"/>
  <c r="C109" i="1"/>
  <c r="C108" i="1"/>
  <c r="C107" i="1"/>
  <c r="C181" i="1"/>
  <c r="C180" i="1"/>
  <c r="C179" i="1"/>
  <c r="C178" i="1"/>
  <c r="C177" i="1"/>
  <c r="C176" i="1"/>
  <c r="C175" i="1"/>
  <c r="C173" i="1"/>
  <c r="C174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H76" i="1"/>
  <c r="K76" i="1" s="1"/>
  <c r="H75" i="1"/>
  <c r="K75" i="1" s="1"/>
  <c r="H74" i="1"/>
  <c r="K74" i="1" s="1"/>
  <c r="H73" i="1"/>
  <c r="K73" i="1" s="1"/>
  <c r="H72" i="1"/>
  <c r="K72" i="1" s="1"/>
  <c r="H71" i="1"/>
  <c r="K71" i="1" s="1"/>
  <c r="H70" i="1"/>
  <c r="K70" i="1" s="1"/>
  <c r="H69" i="1"/>
  <c r="K69" i="1" s="1"/>
  <c r="H68" i="1"/>
  <c r="K68" i="1" s="1"/>
  <c r="H67" i="1"/>
  <c r="K67" i="1" s="1"/>
  <c r="H66" i="1"/>
  <c r="H65" i="1"/>
  <c r="H64" i="1"/>
  <c r="H63" i="1"/>
  <c r="K63" i="1" s="1"/>
  <c r="H62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K59" i="1"/>
  <c r="K5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1" i="1"/>
  <c r="K52" i="1"/>
  <c r="K53" i="1"/>
  <c r="K55" i="1"/>
  <c r="K56" i="1"/>
  <c r="K57" i="1"/>
  <c r="K58" i="1"/>
  <c r="K60" i="1"/>
  <c r="H31" i="1"/>
  <c r="H30" i="1"/>
  <c r="H29" i="1"/>
  <c r="H22" i="1"/>
  <c r="H21" i="1"/>
  <c r="K21" i="1" s="1"/>
  <c r="H20" i="1"/>
  <c r="H16" i="1"/>
  <c r="K16" i="1" s="1"/>
  <c r="H15" i="1"/>
  <c r="K15" i="1" s="1"/>
  <c r="H14" i="1"/>
  <c r="K14" i="1" s="1"/>
  <c r="H13" i="1"/>
  <c r="H12" i="1"/>
  <c r="K12" i="1" s="1"/>
  <c r="H11" i="1"/>
  <c r="K11" i="1" s="1"/>
  <c r="K17" i="1"/>
  <c r="K18" i="1"/>
  <c r="K19" i="1"/>
  <c r="K23" i="1"/>
  <c r="K24" i="1"/>
  <c r="K25" i="1"/>
  <c r="K26" i="1"/>
  <c r="K27" i="1"/>
  <c r="K28" i="1"/>
  <c r="K32" i="1"/>
  <c r="K33" i="1"/>
  <c r="K34" i="1"/>
  <c r="K2" i="1"/>
  <c r="H10" i="1"/>
  <c r="K10" i="1" s="1"/>
  <c r="H9" i="1"/>
  <c r="K9" i="1" s="1"/>
  <c r="H8" i="1"/>
  <c r="H7" i="1"/>
  <c r="H6" i="1"/>
  <c r="K6" i="1" s="1"/>
  <c r="H5" i="1"/>
  <c r="H4" i="1"/>
  <c r="K4" i="1" s="1"/>
  <c r="H3" i="1"/>
  <c r="C22" i="1"/>
  <c r="C21" i="1"/>
  <c r="C20" i="1"/>
  <c r="C19" i="1"/>
  <c r="C18" i="1"/>
  <c r="C17" i="1"/>
  <c r="C25" i="1"/>
  <c r="C24" i="1"/>
  <c r="C23" i="1"/>
  <c r="C28" i="1"/>
  <c r="C27" i="1"/>
  <c r="C26" i="1"/>
  <c r="C31" i="1"/>
  <c r="C30" i="1"/>
  <c r="C29" i="1"/>
  <c r="C34" i="1"/>
  <c r="C33" i="1"/>
  <c r="C3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62" i="1" l="1"/>
  <c r="K66" i="1"/>
  <c r="K65" i="1"/>
  <c r="K64" i="1"/>
  <c r="K29" i="1"/>
  <c r="K30" i="1"/>
  <c r="K61" i="1"/>
  <c r="K50" i="1"/>
  <c r="K13" i="1"/>
  <c r="K3" i="1"/>
  <c r="K22" i="1"/>
  <c r="K20" i="1"/>
  <c r="K7" i="1"/>
  <c r="K8" i="1"/>
  <c r="K31" i="1"/>
  <c r="K5" i="1"/>
</calcChain>
</file>

<file path=xl/sharedStrings.xml><?xml version="1.0" encoding="utf-8"?>
<sst xmlns="http://schemas.openxmlformats.org/spreadsheetml/2006/main" count="381" uniqueCount="205">
  <si>
    <t>Ind</t>
  </si>
  <si>
    <t>Peso</t>
  </si>
  <si>
    <t>Lt</t>
  </si>
  <si>
    <t>Hmax</t>
  </si>
  <si>
    <t>RD</t>
  </si>
  <si>
    <t>RMC</t>
  </si>
  <si>
    <t>T1P1_1</t>
  </si>
  <si>
    <t>T1P1_2</t>
  </si>
  <si>
    <t>T1P1_3</t>
  </si>
  <si>
    <t>T1P2_1</t>
  </si>
  <si>
    <t>T1P2_2</t>
  </si>
  <si>
    <t>T1P2_3</t>
  </si>
  <si>
    <t>T1P3_1</t>
  </si>
  <si>
    <t>T1P3_2</t>
  </si>
  <si>
    <t>T1P3_3</t>
  </si>
  <si>
    <t>T1P4_1</t>
  </si>
  <si>
    <t>T1P4_2</t>
  </si>
  <si>
    <t>T1P4_3</t>
  </si>
  <si>
    <t>T1P5_1</t>
  </si>
  <si>
    <t>T1P5_2</t>
  </si>
  <si>
    <t>T1P5_3</t>
  </si>
  <si>
    <t>T2P6_1</t>
  </si>
  <si>
    <t>T2P6_2</t>
  </si>
  <si>
    <t>T2P6_3</t>
  </si>
  <si>
    <t>T2P7_1</t>
  </si>
  <si>
    <t>T2P7_2</t>
  </si>
  <si>
    <t>T2P7_3</t>
  </si>
  <si>
    <t>T2P8_1</t>
  </si>
  <si>
    <t>T2P8_2</t>
  </si>
  <si>
    <t>T2P8_3</t>
  </si>
  <si>
    <t>T2P9_1</t>
  </si>
  <si>
    <t>T2P9_2</t>
  </si>
  <si>
    <t>T2P9_3</t>
  </si>
  <si>
    <t>T2P10_1</t>
  </si>
  <si>
    <t>T2P10_2</t>
  </si>
  <si>
    <t>T2P10_3</t>
  </si>
  <si>
    <t>T2P11_1</t>
  </si>
  <si>
    <t>T2P11_2</t>
  </si>
  <si>
    <t>T2P11_3</t>
  </si>
  <si>
    <t>Fuego</t>
  </si>
  <si>
    <t>SLA</t>
  </si>
  <si>
    <t>LDMC</t>
  </si>
  <si>
    <t>LA</t>
  </si>
  <si>
    <t>RDMC</t>
  </si>
  <si>
    <t>T2P12_1</t>
  </si>
  <si>
    <t>T2P12_2</t>
  </si>
  <si>
    <t>T2P12_3</t>
  </si>
  <si>
    <t>T2P13_1</t>
  </si>
  <si>
    <t>T2P14_1</t>
  </si>
  <si>
    <t>T2P15_1</t>
  </si>
  <si>
    <t>T2P16_1</t>
  </si>
  <si>
    <t>T2P17_1</t>
  </si>
  <si>
    <t>T2P18_1</t>
  </si>
  <si>
    <t>T2P19_1</t>
  </si>
  <si>
    <t>T2P20_1</t>
  </si>
  <si>
    <t>T2P13_2</t>
  </si>
  <si>
    <t>T2P13_3</t>
  </si>
  <si>
    <t>T2P14_2</t>
  </si>
  <si>
    <t>T2P14_3</t>
  </si>
  <si>
    <t>T2P15_2</t>
  </si>
  <si>
    <t>T2P15_3</t>
  </si>
  <si>
    <t>T2P16_2</t>
  </si>
  <si>
    <t>T2P16_3</t>
  </si>
  <si>
    <t>T2P17_2</t>
  </si>
  <si>
    <t>T2P17_3</t>
  </si>
  <si>
    <t>T2P18_2</t>
  </si>
  <si>
    <t>T2P18_3</t>
  </si>
  <si>
    <t>T2P19_2</t>
  </si>
  <si>
    <t>T2P19_3</t>
  </si>
  <si>
    <t>T2P20_2</t>
  </si>
  <si>
    <t>T2P20_3</t>
  </si>
  <si>
    <t>0,0506</t>
  </si>
  <si>
    <t>0,0672</t>
  </si>
  <si>
    <t>0,0227</t>
  </si>
  <si>
    <t>0,2084</t>
  </si>
  <si>
    <t>0,0625</t>
  </si>
  <si>
    <t>0,0774</t>
  </si>
  <si>
    <t>0,0319</t>
  </si>
  <si>
    <t>0,1068</t>
  </si>
  <si>
    <t>0,0761</t>
  </si>
  <si>
    <t>Puya</t>
  </si>
  <si>
    <t>g</t>
  </si>
  <si>
    <t>s</t>
  </si>
  <si>
    <t>n</t>
  </si>
  <si>
    <t>T3P21_1</t>
  </si>
  <si>
    <t>T3P21_2</t>
  </si>
  <si>
    <t>T3P21_3</t>
  </si>
  <si>
    <t>T3P22_1</t>
  </si>
  <si>
    <t>T3P23_1</t>
  </si>
  <si>
    <t>T3P24_1</t>
  </si>
  <si>
    <t>T3P25_1</t>
  </si>
  <si>
    <t>T3P26_1</t>
  </si>
  <si>
    <t>T3P27_1</t>
  </si>
  <si>
    <t>T3P28_1</t>
  </si>
  <si>
    <t>T3P29_1</t>
  </si>
  <si>
    <t>T3P30_1</t>
  </si>
  <si>
    <t>T3P22_2</t>
  </si>
  <si>
    <t>T3P22_3</t>
  </si>
  <si>
    <t>T3P23_2</t>
  </si>
  <si>
    <t>T3P23_3</t>
  </si>
  <si>
    <t>T3P24_2</t>
  </si>
  <si>
    <t>T3P24_3</t>
  </si>
  <si>
    <t>T3P25_2</t>
  </si>
  <si>
    <t>T3P25_3</t>
  </si>
  <si>
    <t>T3P26_2</t>
  </si>
  <si>
    <t>T3P26_3</t>
  </si>
  <si>
    <t>T3P27_2</t>
  </si>
  <si>
    <t>T3P27_3</t>
  </si>
  <si>
    <t>T3P28_2</t>
  </si>
  <si>
    <t>T3P28_3</t>
  </si>
  <si>
    <t>T3P29_2</t>
  </si>
  <si>
    <t>T3P29_3</t>
  </si>
  <si>
    <t>T3P30_2</t>
  </si>
  <si>
    <t>T3P30_3</t>
  </si>
  <si>
    <t>T4P31_1</t>
  </si>
  <si>
    <t>T4P31_2</t>
  </si>
  <si>
    <t>T4P31_3</t>
  </si>
  <si>
    <t>T4P32_1</t>
  </si>
  <si>
    <t>T4P32_2</t>
  </si>
  <si>
    <t>T4P32_3</t>
  </si>
  <si>
    <t>T4P33_1</t>
  </si>
  <si>
    <t>T4P33_2</t>
  </si>
  <si>
    <t>T4P33_3</t>
  </si>
  <si>
    <t>T4P34_1</t>
  </si>
  <si>
    <t>T4P34_2</t>
  </si>
  <si>
    <t>T4P34_3</t>
  </si>
  <si>
    <t>T4P35_1</t>
  </si>
  <si>
    <t>T4P35_2</t>
  </si>
  <si>
    <t>T4P35_3</t>
  </si>
  <si>
    <t>b</t>
  </si>
  <si>
    <t>T5P36_2</t>
  </si>
  <si>
    <t>T5P36_3</t>
  </si>
  <si>
    <t>T5P37_1</t>
  </si>
  <si>
    <t>T5P37_2</t>
  </si>
  <si>
    <t>T5P37_3</t>
  </si>
  <si>
    <t>T5P38_1</t>
  </si>
  <si>
    <t>T5P38_2</t>
  </si>
  <si>
    <t>T5P38_3</t>
  </si>
  <si>
    <t>T5P39_1</t>
  </si>
  <si>
    <t>T5P36_1</t>
  </si>
  <si>
    <t>T5P39_2</t>
  </si>
  <si>
    <t>T5P39_3</t>
  </si>
  <si>
    <t>T5P40_1</t>
  </si>
  <si>
    <t>T5P40_2</t>
  </si>
  <si>
    <t>T5P40_3</t>
  </si>
  <si>
    <t>T5P41_1</t>
  </si>
  <si>
    <t>T5P41_2</t>
  </si>
  <si>
    <t>T5P41_3</t>
  </si>
  <si>
    <t>T5P42_1</t>
  </si>
  <si>
    <t>T5P42_2</t>
  </si>
  <si>
    <t>T5P42_3</t>
  </si>
  <si>
    <t>T5P43_1</t>
  </si>
  <si>
    <t>T5P43_2</t>
  </si>
  <si>
    <t>T5P43_3</t>
  </si>
  <si>
    <t>T5P44_1</t>
  </si>
  <si>
    <t>T5P44_2</t>
  </si>
  <si>
    <t>T5P44_3</t>
  </si>
  <si>
    <t>T5P45_1</t>
  </si>
  <si>
    <t>T5P45_2</t>
  </si>
  <si>
    <t>T5P45_3</t>
  </si>
  <si>
    <t>T5P46_1</t>
  </si>
  <si>
    <t>T5P46_2</t>
  </si>
  <si>
    <t>T5P46_3</t>
  </si>
  <si>
    <t>T5P47_1</t>
  </si>
  <si>
    <t>T5P47_2</t>
  </si>
  <si>
    <t>T5P47_3</t>
  </si>
  <si>
    <t>T5P48_1</t>
  </si>
  <si>
    <t>T5P48_2</t>
  </si>
  <si>
    <t>T5P48_3</t>
  </si>
  <si>
    <t>T5P49_1</t>
  </si>
  <si>
    <t>T5P49_2</t>
  </si>
  <si>
    <t>T5P49_3</t>
  </si>
  <si>
    <t>T5P50_1</t>
  </si>
  <si>
    <t>T5P50_2</t>
  </si>
  <si>
    <t>T5P50_3</t>
  </si>
  <si>
    <t>T6P51_1</t>
  </si>
  <si>
    <t>T6P52_1</t>
  </si>
  <si>
    <t>T6P53_1</t>
  </si>
  <si>
    <t>T6P54_1</t>
  </si>
  <si>
    <t>T6P55_1</t>
  </si>
  <si>
    <t>T6P56_1</t>
  </si>
  <si>
    <t>T6P57_1</t>
  </si>
  <si>
    <t>T6P58_1</t>
  </si>
  <si>
    <t>T6P59_1</t>
  </si>
  <si>
    <t>T6P60_1</t>
  </si>
  <si>
    <t>T6P51_2</t>
  </si>
  <si>
    <t>T6P51_3</t>
  </si>
  <si>
    <t>T6P52_2</t>
  </si>
  <si>
    <t>T6P52_3</t>
  </si>
  <si>
    <t>T6P53_2</t>
  </si>
  <si>
    <t>T6P53_3</t>
  </si>
  <si>
    <t>T6P54_2</t>
  </si>
  <si>
    <t>T6P54_3</t>
  </si>
  <si>
    <t>T6P55_2</t>
  </si>
  <si>
    <t>T6P55_3</t>
  </si>
  <si>
    <t>T6P56_2</t>
  </si>
  <si>
    <t>T6P56_3</t>
  </si>
  <si>
    <t>T6P57_2</t>
  </si>
  <si>
    <t>T6P57_3</t>
  </si>
  <si>
    <t>T6P58_2</t>
  </si>
  <si>
    <t>T6P58_3</t>
  </si>
  <si>
    <t>T6P59_2</t>
  </si>
  <si>
    <t>T6P59_3</t>
  </si>
  <si>
    <t>T6P60_2</t>
  </si>
  <si>
    <t>T6P60_3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</si>
</sst>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3" fillId="0" borderId="0" xfId="0" applyFont="1"/>
    <xf numFmtId="0" fontId="2" fillId="0" borderId="2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0406-A861-4E6F-AC68-827508945E6A}">
  <dimension ref="A1:U181"/>
  <sheetViews>
    <sheetView tabSelected="1" topLeftCell="A158" workbookViewId="0">
      <selection activeCell="U180" activeCellId="29" sqref="U93 U96 U99 U102 U105 U108 U111 U114 U117 U120 U123 U126 U129 U132 U135 U138 U141 U144 U147 U150 U153 U156 U159 U162 U165 U168 U171 U174 U177 U180"/>
    </sheetView>
  </sheetViews>
  <sheetFormatPr defaultRowHeight="15" x14ac:dyDescent="0.25"/>
  <cols>
    <col min="3" max="3" width="8.28515625" customWidth="1"/>
    <col min="9" max="9" width="13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42</v>
      </c>
      <c r="I1" t="s">
        <v>43</v>
      </c>
      <c r="J1" t="s">
        <v>41</v>
      </c>
      <c r="K1" t="s">
        <v>40</v>
      </c>
      <c r="L1" t="s">
        <v>80</v>
      </c>
    </row>
    <row r="2" spans="1:12" ht="15.75" thickBot="1" x14ac:dyDescent="0.3">
      <c r="A2" t="s">
        <v>6</v>
      </c>
      <c r="B2">
        <v>18</v>
      </c>
      <c r="C2" s="1">
        <f>(1.94+1.3+1.07)/3</f>
        <v>1.4366666666666668</v>
      </c>
      <c r="D2">
        <v>49</v>
      </c>
      <c r="E2">
        <v>108</v>
      </c>
      <c r="F2">
        <v>0.2</v>
      </c>
      <c r="G2">
        <v>1</v>
      </c>
      <c r="H2">
        <v>141.55600000000001</v>
      </c>
      <c r="I2" s="2">
        <v>3.7699999999999997E-2</v>
      </c>
      <c r="J2" s="2">
        <v>4.91</v>
      </c>
      <c r="K2">
        <f t="shared" ref="K2:K33" si="0">H2/J2</f>
        <v>28.830142566191448</v>
      </c>
      <c r="L2" t="s">
        <v>81</v>
      </c>
    </row>
    <row r="3" spans="1:12" ht="15.75" thickBot="1" x14ac:dyDescent="0.3">
      <c r="A3" t="s">
        <v>7</v>
      </c>
      <c r="B3">
        <v>17.8</v>
      </c>
      <c r="C3">
        <f>(2.31+2.23+1.37)/3</f>
        <v>1.97</v>
      </c>
      <c r="G3">
        <v>1</v>
      </c>
      <c r="H3">
        <f xml:space="preserve"> 43.691+79.474</f>
        <v>123.16500000000001</v>
      </c>
      <c r="J3" s="2">
        <v>4.71</v>
      </c>
      <c r="K3">
        <f t="shared" si="0"/>
        <v>26.149681528662423</v>
      </c>
      <c r="L3" t="s">
        <v>81</v>
      </c>
    </row>
    <row r="4" spans="1:12" ht="15.75" thickBot="1" x14ac:dyDescent="0.3">
      <c r="A4" t="s">
        <v>8</v>
      </c>
      <c r="B4">
        <v>16.5</v>
      </c>
      <c r="C4" s="1">
        <f>(2.36+2.22+1.37)/3</f>
        <v>1.9833333333333334</v>
      </c>
      <c r="G4">
        <v>1</v>
      </c>
      <c r="H4">
        <f>95.739+44.61</f>
        <v>140.34899999999999</v>
      </c>
      <c r="J4" s="2">
        <v>4.43</v>
      </c>
      <c r="K4">
        <f t="shared" si="0"/>
        <v>31.681489841986455</v>
      </c>
      <c r="L4" t="s">
        <v>81</v>
      </c>
    </row>
    <row r="5" spans="1:12" ht="15.75" thickBot="1" x14ac:dyDescent="0.3">
      <c r="A5" t="s">
        <v>9</v>
      </c>
      <c r="B5">
        <v>23.8</v>
      </c>
      <c r="C5">
        <f>(2.69+2.44+2.07)/3</f>
        <v>2.4</v>
      </c>
      <c r="D5">
        <v>86</v>
      </c>
      <c r="E5">
        <v>120</v>
      </c>
      <c r="F5">
        <v>0.8</v>
      </c>
      <c r="G5">
        <v>1</v>
      </c>
      <c r="H5">
        <f>122.322+67.293</f>
        <v>189.61500000000001</v>
      </c>
      <c r="I5" s="2">
        <v>3.1600000000000003E-2</v>
      </c>
      <c r="J5" s="2">
        <v>7.09</v>
      </c>
      <c r="K5">
        <f t="shared" si="0"/>
        <v>26.744005641748945</v>
      </c>
      <c r="L5" t="s">
        <v>81</v>
      </c>
    </row>
    <row r="6" spans="1:12" ht="15.75" thickBot="1" x14ac:dyDescent="0.3">
      <c r="A6" t="s">
        <v>10</v>
      </c>
      <c r="B6">
        <v>26.6</v>
      </c>
      <c r="C6" s="1">
        <f>(3.31+2.19+1.83)/3</f>
        <v>2.4433333333333334</v>
      </c>
      <c r="G6">
        <v>1</v>
      </c>
      <c r="H6">
        <f>60.688+146.537</f>
        <v>207.22500000000002</v>
      </c>
      <c r="J6" s="2">
        <v>7.58</v>
      </c>
      <c r="K6">
        <f t="shared" si="0"/>
        <v>27.338390501319264</v>
      </c>
      <c r="L6" t="s">
        <v>81</v>
      </c>
    </row>
    <row r="7" spans="1:12" ht="15.75" thickBot="1" x14ac:dyDescent="0.3">
      <c r="A7" t="s">
        <v>11</v>
      </c>
      <c r="B7">
        <v>31.3</v>
      </c>
      <c r="C7" s="1">
        <f>(3.45+2.32+2.2)/3</f>
        <v>2.6566666666666667</v>
      </c>
      <c r="G7">
        <v>1</v>
      </c>
      <c r="H7">
        <f>66.398+127.611</f>
        <v>194.00900000000001</v>
      </c>
      <c r="J7" s="2">
        <v>8.08</v>
      </c>
      <c r="K7">
        <f t="shared" si="0"/>
        <v>24.01101485148515</v>
      </c>
      <c r="L7" t="s">
        <v>81</v>
      </c>
    </row>
    <row r="8" spans="1:12" ht="15.75" thickBot="1" x14ac:dyDescent="0.3">
      <c r="A8" t="s">
        <v>12</v>
      </c>
      <c r="B8">
        <v>46.6</v>
      </c>
      <c r="C8" s="1">
        <f>(3.5+1.86+1.41)/3</f>
        <v>2.2566666666666668</v>
      </c>
      <c r="D8">
        <v>100</v>
      </c>
      <c r="E8">
        <v>54</v>
      </c>
      <c r="F8">
        <v>0.2</v>
      </c>
      <c r="G8">
        <v>1</v>
      </c>
      <c r="H8">
        <f>179.096+108.831</f>
        <v>287.92700000000002</v>
      </c>
      <c r="I8" s="2">
        <v>3.4700000000000002E-2</v>
      </c>
      <c r="J8" s="2">
        <v>14.42</v>
      </c>
      <c r="K8">
        <f t="shared" si="0"/>
        <v>19.967198335644937</v>
      </c>
      <c r="L8" t="s">
        <v>81</v>
      </c>
    </row>
    <row r="9" spans="1:12" ht="15.75" thickBot="1" x14ac:dyDescent="0.3">
      <c r="A9" t="s">
        <v>13</v>
      </c>
      <c r="B9">
        <v>52.5</v>
      </c>
      <c r="C9">
        <f>(3.19+1.5+1.4)/3</f>
        <v>2.0299999999999998</v>
      </c>
      <c r="G9">
        <v>1</v>
      </c>
      <c r="H9">
        <f>150.523+124.709</f>
        <v>275.23199999999997</v>
      </c>
      <c r="J9" s="2">
        <v>14.95</v>
      </c>
      <c r="K9">
        <f t="shared" si="0"/>
        <v>18.410167224080265</v>
      </c>
      <c r="L9" t="s">
        <v>81</v>
      </c>
    </row>
    <row r="10" spans="1:12" ht="15.75" thickBot="1" x14ac:dyDescent="0.3">
      <c r="A10" t="s">
        <v>14</v>
      </c>
      <c r="B10">
        <v>49.3</v>
      </c>
      <c r="C10" s="1">
        <f>(1.5+1.94+1.8)/3</f>
        <v>1.7466666666666668</v>
      </c>
      <c r="G10">
        <v>1</v>
      </c>
      <c r="H10">
        <f>214.525+85.996</f>
        <v>300.52100000000002</v>
      </c>
      <c r="J10" s="2">
        <v>15.35</v>
      </c>
      <c r="K10">
        <f t="shared" si="0"/>
        <v>19.577915309446254</v>
      </c>
      <c r="L10" t="s">
        <v>81</v>
      </c>
    </row>
    <row r="11" spans="1:12" ht="15.75" thickBot="1" x14ac:dyDescent="0.3">
      <c r="A11" t="s">
        <v>15</v>
      </c>
      <c r="B11">
        <v>54</v>
      </c>
      <c r="C11" s="1">
        <f>(4.4+1.82+1.74)/3</f>
        <v>2.6533333333333338</v>
      </c>
      <c r="D11">
        <v>128</v>
      </c>
      <c r="E11">
        <v>180</v>
      </c>
      <c r="F11">
        <v>0.9</v>
      </c>
      <c r="G11">
        <v>1</v>
      </c>
      <c r="H11">
        <f>158.62+88.62</f>
        <v>247.24</v>
      </c>
      <c r="I11" s="2">
        <v>6.6400000000000001E-2</v>
      </c>
      <c r="J11" s="2">
        <v>15.69</v>
      </c>
      <c r="K11">
        <f t="shared" si="0"/>
        <v>15.757807520713831</v>
      </c>
      <c r="L11" t="s">
        <v>81</v>
      </c>
    </row>
    <row r="12" spans="1:12" ht="15.75" thickBot="1" x14ac:dyDescent="0.3">
      <c r="A12" t="s">
        <v>16</v>
      </c>
      <c r="B12">
        <v>58.6</v>
      </c>
      <c r="C12" s="1">
        <f>(4.25+2.58+1.77)/3</f>
        <v>2.8666666666666667</v>
      </c>
      <c r="G12">
        <v>1</v>
      </c>
      <c r="H12">
        <f>119.409+171.73</f>
        <v>291.13900000000001</v>
      </c>
      <c r="J12" s="2">
        <v>16.11</v>
      </c>
      <c r="K12">
        <f t="shared" si="0"/>
        <v>18.071942892613286</v>
      </c>
      <c r="L12" t="s">
        <v>81</v>
      </c>
    </row>
    <row r="13" spans="1:12" ht="15.75" thickBot="1" x14ac:dyDescent="0.3">
      <c r="A13" t="s">
        <v>17</v>
      </c>
      <c r="B13">
        <v>62.8</v>
      </c>
      <c r="C13" s="1">
        <f>(3.4+2.19+1.98)/3</f>
        <v>2.5233333333333334</v>
      </c>
      <c r="G13">
        <v>1</v>
      </c>
      <c r="H13">
        <f>152.527+129.941</f>
        <v>282.46799999999996</v>
      </c>
      <c r="J13" s="2">
        <v>16.670000000000002</v>
      </c>
      <c r="K13">
        <f t="shared" si="0"/>
        <v>16.944691061787637</v>
      </c>
      <c r="L13" t="s">
        <v>81</v>
      </c>
    </row>
    <row r="14" spans="1:12" ht="15.75" thickBot="1" x14ac:dyDescent="0.3">
      <c r="A14" t="s">
        <v>18</v>
      </c>
      <c r="B14">
        <v>136.6</v>
      </c>
      <c r="C14">
        <f>(3.8+1.8+1.18)/3</f>
        <v>2.2599999999999998</v>
      </c>
      <c r="D14">
        <v>173</v>
      </c>
      <c r="E14">
        <v>3</v>
      </c>
      <c r="F14">
        <v>0.7</v>
      </c>
      <c r="G14">
        <v>1</v>
      </c>
      <c r="H14">
        <f>157.39+186.91+217.705+192.265</f>
        <v>754.27</v>
      </c>
      <c r="I14" s="2">
        <v>9.6699999999999994E-2</v>
      </c>
      <c r="J14" s="2">
        <v>36.22</v>
      </c>
      <c r="K14">
        <f t="shared" si="0"/>
        <v>20.824682495858642</v>
      </c>
      <c r="L14" t="s">
        <v>81</v>
      </c>
    </row>
    <row r="15" spans="1:12" ht="15.75" thickBot="1" x14ac:dyDescent="0.3">
      <c r="A15" t="s">
        <v>19</v>
      </c>
      <c r="B15">
        <v>135.6</v>
      </c>
      <c r="C15">
        <f>(3.52+1.7+1.17)/3</f>
        <v>2.13</v>
      </c>
      <c r="G15">
        <v>1</v>
      </c>
      <c r="H15">
        <f>223.9+104.553+42.917+239.624+229.326</f>
        <v>840.32</v>
      </c>
      <c r="J15" s="2">
        <v>35.380000000000003</v>
      </c>
      <c r="K15">
        <f t="shared" si="0"/>
        <v>23.751271905031089</v>
      </c>
      <c r="L15" t="s">
        <v>81</v>
      </c>
    </row>
    <row r="16" spans="1:12" ht="15.75" thickBot="1" x14ac:dyDescent="0.3">
      <c r="A16" t="s">
        <v>20</v>
      </c>
      <c r="B16">
        <v>123.9</v>
      </c>
      <c r="C16" s="1">
        <f>(3.46+1.57+1.31)/3</f>
        <v>2.1133333333333333</v>
      </c>
      <c r="G16">
        <v>1</v>
      </c>
      <c r="H16">
        <f>92.83+145.571+202.877+277.872</f>
        <v>719.15000000000009</v>
      </c>
      <c r="J16" s="2">
        <v>33.65</v>
      </c>
      <c r="K16">
        <f t="shared" si="0"/>
        <v>21.371471025260032</v>
      </c>
      <c r="L16" t="s">
        <v>81</v>
      </c>
    </row>
    <row r="17" spans="1:12" ht="15.75" thickBot="1" x14ac:dyDescent="0.3">
      <c r="A17" t="s">
        <v>21</v>
      </c>
      <c r="B17">
        <v>16.8</v>
      </c>
      <c r="C17" s="1">
        <f>(2.7+1.39+1.41)/3</f>
        <v>1.8333333333333333</v>
      </c>
      <c r="D17">
        <v>111</v>
      </c>
      <c r="E17">
        <v>62</v>
      </c>
      <c r="F17">
        <v>0.1</v>
      </c>
      <c r="G17">
        <v>0</v>
      </c>
      <c r="H17">
        <v>107.80200000000001</v>
      </c>
      <c r="I17" s="2">
        <v>3.8100000000000002E-2</v>
      </c>
      <c r="J17" s="2">
        <v>4.71</v>
      </c>
      <c r="K17">
        <f t="shared" si="0"/>
        <v>22.887898089171976</v>
      </c>
      <c r="L17" t="s">
        <v>81</v>
      </c>
    </row>
    <row r="18" spans="1:12" ht="15.75" thickBot="1" x14ac:dyDescent="0.3">
      <c r="A18" t="s">
        <v>22</v>
      </c>
      <c r="B18">
        <v>16</v>
      </c>
      <c r="C18" s="1">
        <f>(3.83+1.21+1.04)/3</f>
        <v>2.0266666666666668</v>
      </c>
      <c r="G18">
        <v>0</v>
      </c>
      <c r="H18">
        <v>109.164</v>
      </c>
      <c r="J18" s="2">
        <v>4.79</v>
      </c>
      <c r="K18">
        <f t="shared" si="0"/>
        <v>22.789979123173278</v>
      </c>
      <c r="L18" t="s">
        <v>81</v>
      </c>
    </row>
    <row r="19" spans="1:12" ht="15.75" thickBot="1" x14ac:dyDescent="0.3">
      <c r="A19" t="s">
        <v>23</v>
      </c>
      <c r="B19">
        <v>16.399999999999999</v>
      </c>
      <c r="C19" s="1">
        <f>(3.03+1.01+0.84)/3</f>
        <v>1.6266666666666667</v>
      </c>
      <c r="G19">
        <v>0</v>
      </c>
      <c r="H19">
        <v>103.941</v>
      </c>
      <c r="J19" s="2">
        <v>4.4400000000000004</v>
      </c>
      <c r="K19">
        <f t="shared" si="0"/>
        <v>23.410135135135132</v>
      </c>
      <c r="L19" t="s">
        <v>81</v>
      </c>
    </row>
    <row r="20" spans="1:12" ht="15.75" thickBot="1" x14ac:dyDescent="0.3">
      <c r="A20" t="s">
        <v>24</v>
      </c>
      <c r="B20">
        <v>84.5</v>
      </c>
      <c r="C20" s="1">
        <f>(3.65+2.54+1.59)/3</f>
        <v>2.5933333333333333</v>
      </c>
      <c r="D20">
        <v>157</v>
      </c>
      <c r="E20">
        <v>2.2999999999999998</v>
      </c>
      <c r="F20">
        <v>0.4</v>
      </c>
      <c r="G20">
        <v>0</v>
      </c>
      <c r="H20">
        <f>97.02+92.611+100.85+184.326</f>
        <v>474.80700000000002</v>
      </c>
      <c r="I20" s="2">
        <v>5.1700000000000003E-2</v>
      </c>
      <c r="J20" s="2">
        <v>25.42</v>
      </c>
      <c r="K20">
        <f t="shared" si="0"/>
        <v>18.678481510621559</v>
      </c>
      <c r="L20" t="s">
        <v>81</v>
      </c>
    </row>
    <row r="21" spans="1:12" ht="15.75" thickBot="1" x14ac:dyDescent="0.3">
      <c r="A21" t="s">
        <v>25</v>
      </c>
      <c r="B21">
        <v>65.3</v>
      </c>
      <c r="C21" s="1">
        <f>(3.92+2.51+2.35)/3</f>
        <v>2.9266666666666663</v>
      </c>
      <c r="G21">
        <v>0</v>
      </c>
      <c r="H21">
        <f>62.719+123.313+212.239</f>
        <v>398.27100000000002</v>
      </c>
      <c r="J21" s="2">
        <v>20.43</v>
      </c>
      <c r="K21">
        <f t="shared" si="0"/>
        <v>19.494419970631427</v>
      </c>
      <c r="L21" t="s">
        <v>81</v>
      </c>
    </row>
    <row r="22" spans="1:12" ht="15.75" thickBot="1" x14ac:dyDescent="0.3">
      <c r="A22" t="s">
        <v>26</v>
      </c>
      <c r="B22">
        <v>71</v>
      </c>
      <c r="C22" s="1">
        <f>(3.58+2.33+1.84)/3</f>
        <v>2.5833333333333335</v>
      </c>
      <c r="G22">
        <v>0</v>
      </c>
      <c r="H22">
        <f>194.85+88.49+141.45</f>
        <v>424.78999999999996</v>
      </c>
      <c r="J22" s="2">
        <v>21.72</v>
      </c>
      <c r="K22">
        <f t="shared" si="0"/>
        <v>19.557550644567218</v>
      </c>
      <c r="L22" t="s">
        <v>81</v>
      </c>
    </row>
    <row r="23" spans="1:12" ht="15.75" thickBot="1" x14ac:dyDescent="0.3">
      <c r="A23" t="s">
        <v>27</v>
      </c>
      <c r="B23">
        <v>5.9</v>
      </c>
      <c r="C23" s="1">
        <f>(1.04+0.74+0.51)/3</f>
        <v>0.76333333333333331</v>
      </c>
      <c r="D23">
        <v>30</v>
      </c>
      <c r="E23">
        <v>90</v>
      </c>
      <c r="F23">
        <v>0.6</v>
      </c>
      <c r="G23">
        <v>0</v>
      </c>
      <c r="H23">
        <v>87.744</v>
      </c>
      <c r="I23" s="2">
        <v>7.9600000000000004E-2</v>
      </c>
      <c r="J23" s="2">
        <v>1.81</v>
      </c>
      <c r="K23">
        <f t="shared" si="0"/>
        <v>48.47734806629834</v>
      </c>
      <c r="L23" t="s">
        <v>82</v>
      </c>
    </row>
    <row r="24" spans="1:12" ht="15.75" thickBot="1" x14ac:dyDescent="0.3">
      <c r="A24" t="s">
        <v>28</v>
      </c>
      <c r="B24">
        <v>6.9</v>
      </c>
      <c r="C24" s="1">
        <f>(1.6+1.73+0.56)/3</f>
        <v>1.2966666666666666</v>
      </c>
      <c r="G24">
        <v>0</v>
      </c>
      <c r="H24">
        <v>100.14100000000001</v>
      </c>
      <c r="J24" s="2">
        <v>2.09</v>
      </c>
      <c r="K24">
        <f t="shared" si="0"/>
        <v>47.914354066985652</v>
      </c>
      <c r="L24" t="s">
        <v>82</v>
      </c>
    </row>
    <row r="25" spans="1:12" ht="15.75" thickBot="1" x14ac:dyDescent="0.3">
      <c r="A25" t="s">
        <v>29</v>
      </c>
      <c r="B25">
        <v>6.2</v>
      </c>
      <c r="C25" s="1">
        <f>(0.82+0.7+0.35)/3</f>
        <v>0.62333333333333341</v>
      </c>
      <c r="G25">
        <v>0</v>
      </c>
      <c r="H25">
        <v>85.698999999999998</v>
      </c>
      <c r="J25" s="2">
        <v>1.74</v>
      </c>
      <c r="K25">
        <f t="shared" si="0"/>
        <v>49.252298850574711</v>
      </c>
      <c r="L25" t="s">
        <v>82</v>
      </c>
    </row>
    <row r="26" spans="1:12" ht="15.75" thickBot="1" x14ac:dyDescent="0.3">
      <c r="A26" t="s">
        <v>30</v>
      </c>
      <c r="B26">
        <v>5.0999999999999996</v>
      </c>
      <c r="C26">
        <f>(1.06+0.55+0.34)/3</f>
        <v>0.65</v>
      </c>
      <c r="D26">
        <v>35</v>
      </c>
      <c r="E26">
        <v>81</v>
      </c>
      <c r="F26">
        <v>2.2000000000000002</v>
      </c>
      <c r="G26">
        <v>0</v>
      </c>
      <c r="H26">
        <v>76.462000000000003</v>
      </c>
      <c r="I26" s="2">
        <v>9.0499999999999997E-2</v>
      </c>
      <c r="J26" s="2">
        <v>1.4</v>
      </c>
      <c r="K26">
        <f t="shared" si="0"/>
        <v>54.61571428571429</v>
      </c>
      <c r="L26" t="s">
        <v>82</v>
      </c>
    </row>
    <row r="27" spans="1:12" ht="15.75" thickBot="1" x14ac:dyDescent="0.3">
      <c r="A27" t="s">
        <v>31</v>
      </c>
      <c r="B27">
        <v>5.2</v>
      </c>
      <c r="C27" s="1">
        <f>(1.29+0.76+0.52)/3</f>
        <v>0.85666666666666658</v>
      </c>
      <c r="G27">
        <v>0</v>
      </c>
      <c r="H27">
        <v>82.772999999999996</v>
      </c>
      <c r="J27" s="2">
        <v>1.52</v>
      </c>
      <c r="K27">
        <f t="shared" si="0"/>
        <v>54.455921052631574</v>
      </c>
      <c r="L27" t="s">
        <v>82</v>
      </c>
    </row>
    <row r="28" spans="1:12" ht="15.75" thickBot="1" x14ac:dyDescent="0.3">
      <c r="A28" t="s">
        <v>32</v>
      </c>
      <c r="B28">
        <v>5.9</v>
      </c>
      <c r="C28">
        <f>(0.78+0.56+0.34)/3</f>
        <v>0.56000000000000005</v>
      </c>
      <c r="G28">
        <v>0</v>
      </c>
      <c r="H28">
        <v>84.343000000000004</v>
      </c>
      <c r="J28" s="2">
        <v>1.69</v>
      </c>
      <c r="K28">
        <f t="shared" si="0"/>
        <v>49.907100591715981</v>
      </c>
      <c r="L28" t="s">
        <v>82</v>
      </c>
    </row>
    <row r="29" spans="1:12" ht="15.75" thickBot="1" x14ac:dyDescent="0.3">
      <c r="A29" t="s">
        <v>33</v>
      </c>
      <c r="B29">
        <v>64.400000000000006</v>
      </c>
      <c r="C29" s="1">
        <f>(4+3.04+2.24)/3</f>
        <v>3.0933333333333337</v>
      </c>
      <c r="D29">
        <v>160</v>
      </c>
      <c r="E29">
        <v>280</v>
      </c>
      <c r="F29">
        <v>3.8</v>
      </c>
      <c r="G29">
        <v>0</v>
      </c>
      <c r="H29">
        <f>74.059+131.787+176.629</f>
        <v>382.47500000000002</v>
      </c>
      <c r="I29" s="2">
        <v>0.1235</v>
      </c>
      <c r="J29" s="2">
        <v>20.07</v>
      </c>
      <c r="K29">
        <f t="shared" si="0"/>
        <v>19.05705032386647</v>
      </c>
      <c r="L29" t="s">
        <v>81</v>
      </c>
    </row>
    <row r="30" spans="1:12" ht="15.75" thickBot="1" x14ac:dyDescent="0.3">
      <c r="A30" t="s">
        <v>34</v>
      </c>
      <c r="B30">
        <v>60.8</v>
      </c>
      <c r="C30" s="1">
        <f>(5.12+3.16+2.66)/3</f>
        <v>3.6466666666666669</v>
      </c>
      <c r="G30">
        <v>0</v>
      </c>
      <c r="H30">
        <f>58.14+130.132+176.844</f>
        <v>365.11599999999999</v>
      </c>
      <c r="J30" s="2">
        <v>18.260000000000002</v>
      </c>
      <c r="K30">
        <f t="shared" si="0"/>
        <v>19.995399780941948</v>
      </c>
      <c r="L30" t="s">
        <v>81</v>
      </c>
    </row>
    <row r="31" spans="1:12" ht="15.75" thickBot="1" x14ac:dyDescent="0.3">
      <c r="A31" t="s">
        <v>35</v>
      </c>
      <c r="B31">
        <v>73.900000000000006</v>
      </c>
      <c r="C31" s="1">
        <f>(4.16+3.56+1.57)/3</f>
        <v>3.0966666666666671</v>
      </c>
      <c r="G31">
        <v>0</v>
      </c>
      <c r="H31">
        <f>277.029+107.562+67.22</f>
        <v>451.81100000000004</v>
      </c>
      <c r="J31" s="2">
        <v>22.21</v>
      </c>
      <c r="K31">
        <f t="shared" si="0"/>
        <v>20.342683475911752</v>
      </c>
      <c r="L31" t="s">
        <v>81</v>
      </c>
    </row>
    <row r="32" spans="1:12" ht="15.75" thickBot="1" x14ac:dyDescent="0.3">
      <c r="A32" t="s">
        <v>36</v>
      </c>
      <c r="B32">
        <v>6.4</v>
      </c>
      <c r="C32">
        <f>(1.37+0.49+0.45)/3</f>
        <v>0.77</v>
      </c>
      <c r="D32">
        <v>40</v>
      </c>
      <c r="E32">
        <v>70</v>
      </c>
      <c r="F32">
        <v>2.7</v>
      </c>
      <c r="G32">
        <v>0</v>
      </c>
      <c r="H32">
        <v>85.885999999999996</v>
      </c>
      <c r="I32" s="2">
        <v>0.27289999999999998</v>
      </c>
      <c r="J32" s="2">
        <v>1.69</v>
      </c>
      <c r="K32">
        <f t="shared" si="0"/>
        <v>50.820118343195269</v>
      </c>
      <c r="L32" t="s">
        <v>82</v>
      </c>
    </row>
    <row r="33" spans="1:12" ht="15.75" thickBot="1" x14ac:dyDescent="0.3">
      <c r="A33" t="s">
        <v>37</v>
      </c>
      <c r="B33">
        <v>7.1</v>
      </c>
      <c r="C33" s="1">
        <f>(1.91+0.54+0.45)/3</f>
        <v>0.96666666666666679</v>
      </c>
      <c r="G33">
        <v>0</v>
      </c>
      <c r="H33">
        <v>78.039000000000001</v>
      </c>
      <c r="J33" s="2">
        <v>1.72</v>
      </c>
      <c r="K33">
        <f t="shared" si="0"/>
        <v>45.371511627906976</v>
      </c>
      <c r="L33" t="s">
        <v>82</v>
      </c>
    </row>
    <row r="34" spans="1:12" ht="15.75" thickBot="1" x14ac:dyDescent="0.3">
      <c r="A34" t="s">
        <v>38</v>
      </c>
      <c r="B34">
        <v>5.0999999999999996</v>
      </c>
      <c r="C34" s="1">
        <f>(0.95+0.5+0.4)/3</f>
        <v>0.6166666666666667</v>
      </c>
      <c r="G34">
        <v>0</v>
      </c>
      <c r="H34">
        <v>72.936999999999998</v>
      </c>
      <c r="J34" s="2">
        <v>1.53</v>
      </c>
      <c r="K34">
        <f t="shared" ref="K34:K149" si="1">H34/J34</f>
        <v>47.671241830065355</v>
      </c>
      <c r="L34" t="s">
        <v>82</v>
      </c>
    </row>
    <row r="35" spans="1:12" ht="15.75" thickBot="1" x14ac:dyDescent="0.3">
      <c r="A35" t="s">
        <v>44</v>
      </c>
      <c r="B35">
        <v>6.8</v>
      </c>
      <c r="C35">
        <f>(0.97+0.9+0.74)/3</f>
        <v>0.87000000000000011</v>
      </c>
      <c r="D35">
        <v>32</v>
      </c>
      <c r="E35">
        <v>70</v>
      </c>
      <c r="F35">
        <v>0.4</v>
      </c>
      <c r="G35">
        <v>0</v>
      </c>
      <c r="H35">
        <v>71.802999999999997</v>
      </c>
      <c r="I35" s="2" t="s">
        <v>71</v>
      </c>
      <c r="J35" s="3">
        <v>1.61</v>
      </c>
      <c r="K35">
        <f t="shared" si="1"/>
        <v>44.598136645962725</v>
      </c>
      <c r="L35" t="s">
        <v>83</v>
      </c>
    </row>
    <row r="36" spans="1:12" x14ac:dyDescent="0.25">
      <c r="A36" t="s">
        <v>45</v>
      </c>
      <c r="B36">
        <v>6.1</v>
      </c>
      <c r="C36">
        <f>(1.1+0.86+0.8)/3</f>
        <v>0.91999999999999993</v>
      </c>
      <c r="G36">
        <v>0</v>
      </c>
      <c r="H36">
        <v>63.118000000000002</v>
      </c>
      <c r="J36" s="3">
        <v>1.41</v>
      </c>
      <c r="K36">
        <f t="shared" si="1"/>
        <v>44.764539007092203</v>
      </c>
      <c r="L36" t="s">
        <v>83</v>
      </c>
    </row>
    <row r="37" spans="1:12" ht="15.75" thickBot="1" x14ac:dyDescent="0.3">
      <c r="A37" t="s">
        <v>46</v>
      </c>
      <c r="B37">
        <v>6.6</v>
      </c>
      <c r="C37">
        <f>(1.23+0.86+0.74)/3</f>
        <v>0.94333333333333336</v>
      </c>
      <c r="G37">
        <v>0</v>
      </c>
      <c r="H37">
        <v>69.418999999999997</v>
      </c>
      <c r="J37" s="3">
        <v>1.57</v>
      </c>
      <c r="K37">
        <f t="shared" si="1"/>
        <v>44.215923566878978</v>
      </c>
      <c r="L37" t="s">
        <v>83</v>
      </c>
    </row>
    <row r="38" spans="1:12" ht="15.75" thickBot="1" x14ac:dyDescent="0.3">
      <c r="A38" t="s">
        <v>47</v>
      </c>
      <c r="B38">
        <v>5.2</v>
      </c>
      <c r="C38">
        <f>(0.97+0.75+0.76)/3</f>
        <v>0.82666666666666666</v>
      </c>
      <c r="D38">
        <v>49</v>
      </c>
      <c r="E38">
        <v>53</v>
      </c>
      <c r="F38" s="4">
        <v>0.09</v>
      </c>
      <c r="G38">
        <v>0</v>
      </c>
      <c r="H38">
        <v>54.488</v>
      </c>
      <c r="I38" s="2" t="s">
        <v>72</v>
      </c>
      <c r="J38" s="3">
        <v>1.28</v>
      </c>
      <c r="K38">
        <f t="shared" si="1"/>
        <v>42.568750000000001</v>
      </c>
      <c r="L38" t="s">
        <v>83</v>
      </c>
    </row>
    <row r="39" spans="1:12" x14ac:dyDescent="0.25">
      <c r="A39" t="s">
        <v>55</v>
      </c>
      <c r="B39">
        <v>4.3</v>
      </c>
      <c r="C39">
        <f>(0.98+0.76+0.7)/3</f>
        <v>0.81333333333333335</v>
      </c>
      <c r="F39" s="4"/>
      <c r="G39">
        <v>0</v>
      </c>
      <c r="H39">
        <v>46.369</v>
      </c>
      <c r="J39" s="3">
        <v>1.06</v>
      </c>
      <c r="K39">
        <f t="shared" si="1"/>
        <v>43.744339622641505</v>
      </c>
      <c r="L39" t="s">
        <v>83</v>
      </c>
    </row>
    <row r="40" spans="1:12" ht="15.75" thickBot="1" x14ac:dyDescent="0.3">
      <c r="A40" t="s">
        <v>56</v>
      </c>
      <c r="B40">
        <v>4</v>
      </c>
      <c r="C40">
        <f>(0.97+0.75+0.71)/3</f>
        <v>0.80999999999999994</v>
      </c>
      <c r="F40" s="4"/>
      <c r="G40">
        <v>0</v>
      </c>
      <c r="H40">
        <v>44.640999999999998</v>
      </c>
      <c r="J40" s="3">
        <v>1.1100000000000001</v>
      </c>
      <c r="K40">
        <f t="shared" si="1"/>
        <v>40.217117117117112</v>
      </c>
      <c r="L40" t="s">
        <v>83</v>
      </c>
    </row>
    <row r="41" spans="1:12" ht="15.75" thickBot="1" x14ac:dyDescent="0.3">
      <c r="A41" t="s">
        <v>48</v>
      </c>
      <c r="B41">
        <v>9.9</v>
      </c>
      <c r="C41">
        <f>(1.78+0.92+0.89)/3</f>
        <v>1.1966666666666668</v>
      </c>
      <c r="D41">
        <v>44</v>
      </c>
      <c r="E41">
        <v>69</v>
      </c>
      <c r="F41" s="4">
        <v>0.05</v>
      </c>
      <c r="G41">
        <v>0</v>
      </c>
      <c r="H41">
        <v>79.150000000000006</v>
      </c>
      <c r="I41" s="2" t="s">
        <v>73</v>
      </c>
      <c r="J41" s="3">
        <v>2.71</v>
      </c>
      <c r="K41">
        <f t="shared" si="1"/>
        <v>29.206642066420667</v>
      </c>
      <c r="L41" t="s">
        <v>83</v>
      </c>
    </row>
    <row r="42" spans="1:12" x14ac:dyDescent="0.25">
      <c r="A42" t="s">
        <v>57</v>
      </c>
      <c r="B42">
        <v>10.6</v>
      </c>
      <c r="C42">
        <f>(1.82+0.9+0.85)/3</f>
        <v>1.1900000000000002</v>
      </c>
      <c r="F42" s="4"/>
      <c r="G42">
        <v>0</v>
      </c>
      <c r="H42">
        <v>74.448999999999998</v>
      </c>
      <c r="J42" s="3">
        <v>2.92</v>
      </c>
      <c r="K42">
        <f t="shared" si="1"/>
        <v>25.49623287671233</v>
      </c>
      <c r="L42" t="s">
        <v>83</v>
      </c>
    </row>
    <row r="43" spans="1:12" ht="15.75" thickBot="1" x14ac:dyDescent="0.3">
      <c r="A43" t="s">
        <v>58</v>
      </c>
      <c r="B43">
        <v>7.9</v>
      </c>
      <c r="C43">
        <f>(1.55+0.95+0.78)/3</f>
        <v>1.0933333333333335</v>
      </c>
      <c r="F43" s="4"/>
      <c r="G43">
        <v>0</v>
      </c>
      <c r="H43">
        <v>74.674000000000007</v>
      </c>
      <c r="J43" s="3">
        <v>2.83</v>
      </c>
      <c r="K43">
        <f t="shared" si="1"/>
        <v>26.386572438162545</v>
      </c>
      <c r="L43" t="s">
        <v>83</v>
      </c>
    </row>
    <row r="44" spans="1:12" ht="15.75" thickBot="1" x14ac:dyDescent="0.3">
      <c r="A44" t="s">
        <v>49</v>
      </c>
      <c r="B44">
        <v>16.899999999999999</v>
      </c>
      <c r="C44">
        <f>(1.54+1.23+0.92)/3</f>
        <v>1.23</v>
      </c>
      <c r="D44">
        <v>46</v>
      </c>
      <c r="E44">
        <v>73</v>
      </c>
      <c r="F44" s="4">
        <v>1.9</v>
      </c>
      <c r="G44">
        <v>0</v>
      </c>
      <c r="H44">
        <v>112.143</v>
      </c>
      <c r="I44" s="2" t="s">
        <v>74</v>
      </c>
      <c r="J44" s="3">
        <v>4.01</v>
      </c>
      <c r="K44">
        <f t="shared" si="1"/>
        <v>27.965835411471325</v>
      </c>
      <c r="L44" t="s">
        <v>83</v>
      </c>
    </row>
    <row r="45" spans="1:12" x14ac:dyDescent="0.25">
      <c r="A45" t="s">
        <v>59</v>
      </c>
      <c r="B45">
        <v>15.9</v>
      </c>
      <c r="C45">
        <f>(1.85+1.2+0.93)/3</f>
        <v>1.3266666666666667</v>
      </c>
      <c r="F45" s="4"/>
      <c r="G45">
        <v>0</v>
      </c>
      <c r="H45">
        <v>113.982</v>
      </c>
      <c r="J45" s="3">
        <v>3.82</v>
      </c>
      <c r="K45">
        <f t="shared" si="1"/>
        <v>29.83821989528796</v>
      </c>
      <c r="L45" t="s">
        <v>83</v>
      </c>
    </row>
    <row r="46" spans="1:12" ht="15.75" thickBot="1" x14ac:dyDescent="0.3">
      <c r="A46" t="s">
        <v>60</v>
      </c>
      <c r="B46">
        <v>18.8</v>
      </c>
      <c r="C46">
        <f>(1.85+1.22+0.75)/3</f>
        <v>1.2733333333333334</v>
      </c>
      <c r="F46" s="4"/>
      <c r="G46">
        <v>0</v>
      </c>
      <c r="H46">
        <v>123.26</v>
      </c>
      <c r="J46" s="3">
        <v>4.3099999999999996</v>
      </c>
      <c r="K46">
        <f t="shared" si="1"/>
        <v>28.598607888631093</v>
      </c>
      <c r="L46" t="s">
        <v>83</v>
      </c>
    </row>
    <row r="47" spans="1:12" ht="15.75" thickBot="1" x14ac:dyDescent="0.3">
      <c r="A47" t="s">
        <v>50</v>
      </c>
      <c r="B47">
        <v>16.100000000000001</v>
      </c>
      <c r="C47">
        <f>(1.9+1.09+1.08)/3</f>
        <v>1.3566666666666667</v>
      </c>
      <c r="D47">
        <v>61</v>
      </c>
      <c r="E47">
        <v>78</v>
      </c>
      <c r="F47" s="4">
        <v>0.7</v>
      </c>
      <c r="G47">
        <v>0</v>
      </c>
      <c r="H47">
        <v>116.925</v>
      </c>
      <c r="I47" s="2" t="s">
        <v>75</v>
      </c>
      <c r="J47" s="3">
        <v>3.87</v>
      </c>
      <c r="K47">
        <f t="shared" si="1"/>
        <v>30.213178294573641</v>
      </c>
      <c r="L47" t="s">
        <v>83</v>
      </c>
    </row>
    <row r="48" spans="1:12" x14ac:dyDescent="0.25">
      <c r="A48" t="s">
        <v>61</v>
      </c>
      <c r="B48">
        <v>11.2</v>
      </c>
      <c r="C48">
        <f>(1.67+1.07+1.11)/3</f>
        <v>1.2833333333333334</v>
      </c>
      <c r="F48" s="4"/>
      <c r="G48">
        <v>0</v>
      </c>
      <c r="H48">
        <v>114.414</v>
      </c>
      <c r="J48" s="3">
        <v>3.87</v>
      </c>
      <c r="K48">
        <f t="shared" si="1"/>
        <v>29.564341085271316</v>
      </c>
      <c r="L48" t="s">
        <v>83</v>
      </c>
    </row>
    <row r="49" spans="1:12" ht="15.75" thickBot="1" x14ac:dyDescent="0.3">
      <c r="A49" t="s">
        <v>62</v>
      </c>
      <c r="B49">
        <v>16.5</v>
      </c>
      <c r="C49">
        <f>(1.46+1.04+1.1)/3</f>
        <v>1.2</v>
      </c>
      <c r="F49" s="4"/>
      <c r="G49">
        <v>0</v>
      </c>
      <c r="H49">
        <v>117.399</v>
      </c>
      <c r="J49" s="3">
        <v>3.97</v>
      </c>
      <c r="K49">
        <f t="shared" si="1"/>
        <v>29.571536523929471</v>
      </c>
      <c r="L49" t="s">
        <v>83</v>
      </c>
    </row>
    <row r="50" spans="1:12" ht="15.75" thickBot="1" x14ac:dyDescent="0.3">
      <c r="A50" t="s">
        <v>51</v>
      </c>
      <c r="B50">
        <v>27.6</v>
      </c>
      <c r="C50">
        <f>(2.51+1.29+1.14)/3</f>
        <v>1.6466666666666665</v>
      </c>
      <c r="D50">
        <v>150</v>
      </c>
      <c r="E50">
        <v>153</v>
      </c>
      <c r="F50" s="4">
        <v>0.09</v>
      </c>
      <c r="G50">
        <v>0</v>
      </c>
      <c r="H50">
        <v>156.25700000000001</v>
      </c>
      <c r="I50" s="2" t="s">
        <v>76</v>
      </c>
      <c r="J50" s="3">
        <v>8.5</v>
      </c>
      <c r="K50">
        <f t="shared" si="1"/>
        <v>18.383176470588236</v>
      </c>
      <c r="L50" t="s">
        <v>81</v>
      </c>
    </row>
    <row r="51" spans="1:12" x14ac:dyDescent="0.25">
      <c r="A51" t="s">
        <v>63</v>
      </c>
      <c r="B51">
        <v>29.2</v>
      </c>
      <c r="C51">
        <f>(2.73+1.53+1.47)/3</f>
        <v>1.91</v>
      </c>
      <c r="G51">
        <v>0</v>
      </c>
      <c r="H51">
        <v>160.25899999999999</v>
      </c>
      <c r="J51" s="3">
        <v>8.75</v>
      </c>
      <c r="K51">
        <f t="shared" si="1"/>
        <v>18.315314285714283</v>
      </c>
      <c r="L51" t="s">
        <v>81</v>
      </c>
    </row>
    <row r="52" spans="1:12" ht="15.75" thickBot="1" x14ac:dyDescent="0.3">
      <c r="A52" t="s">
        <v>64</v>
      </c>
      <c r="B52">
        <v>30.5</v>
      </c>
      <c r="C52">
        <f>(3.44+1.7+1.42)/3</f>
        <v>2.1866666666666665</v>
      </c>
      <c r="G52">
        <v>0</v>
      </c>
      <c r="H52">
        <v>161.78299999999999</v>
      </c>
      <c r="J52" s="3">
        <v>8.91</v>
      </c>
      <c r="K52">
        <f t="shared" si="1"/>
        <v>18.15746352413019</v>
      </c>
      <c r="L52" t="s">
        <v>81</v>
      </c>
    </row>
    <row r="53" spans="1:12" ht="15.75" thickBot="1" x14ac:dyDescent="0.3">
      <c r="A53" t="s">
        <v>52</v>
      </c>
      <c r="B53">
        <v>11.8</v>
      </c>
      <c r="C53">
        <f>(1.07+0.69+0.47)/3</f>
        <v>0.74333333333333329</v>
      </c>
      <c r="D53">
        <v>46</v>
      </c>
      <c r="E53">
        <v>96</v>
      </c>
      <c r="F53">
        <v>0.2</v>
      </c>
      <c r="G53">
        <v>0</v>
      </c>
      <c r="H53">
        <v>133.624</v>
      </c>
      <c r="I53" s="2" t="s">
        <v>77</v>
      </c>
      <c r="J53" s="3">
        <v>2.74</v>
      </c>
      <c r="K53">
        <f t="shared" si="1"/>
        <v>48.767883211678829</v>
      </c>
      <c r="L53" t="s">
        <v>82</v>
      </c>
    </row>
    <row r="54" spans="1:12" x14ac:dyDescent="0.25">
      <c r="A54" t="s">
        <v>65</v>
      </c>
      <c r="B54">
        <v>9.6999999999999993</v>
      </c>
      <c r="C54">
        <f>(1.09+0.81+0.53)/3</f>
        <v>0.81</v>
      </c>
      <c r="G54">
        <v>0</v>
      </c>
      <c r="H54">
        <v>116.735</v>
      </c>
      <c r="J54" s="3">
        <v>2.75</v>
      </c>
      <c r="K54">
        <f t="shared" si="1"/>
        <v>42.449090909090906</v>
      </c>
      <c r="L54" t="s">
        <v>82</v>
      </c>
    </row>
    <row r="55" spans="1:12" ht="15.75" thickBot="1" x14ac:dyDescent="0.3">
      <c r="A55" t="s">
        <v>66</v>
      </c>
      <c r="B55">
        <v>11</v>
      </c>
      <c r="C55">
        <f>(1.08+0.72+0.5)/3</f>
        <v>0.76666666666666661</v>
      </c>
      <c r="G55">
        <v>0</v>
      </c>
      <c r="H55">
        <v>130.733</v>
      </c>
      <c r="J55" s="3">
        <v>3.11</v>
      </c>
      <c r="K55">
        <f t="shared" si="1"/>
        <v>42.0363344051447</v>
      </c>
      <c r="L55" t="s">
        <v>82</v>
      </c>
    </row>
    <row r="56" spans="1:12" ht="15.75" thickBot="1" x14ac:dyDescent="0.3">
      <c r="A56" t="s">
        <v>53</v>
      </c>
      <c r="B56">
        <v>32.9</v>
      </c>
      <c r="C56">
        <f>(2.99+0.9+0.78)/3</f>
        <v>1.5566666666666666</v>
      </c>
      <c r="D56">
        <v>87</v>
      </c>
      <c r="E56">
        <v>136</v>
      </c>
      <c r="F56">
        <v>0.4</v>
      </c>
      <c r="G56">
        <v>0</v>
      </c>
      <c r="H56">
        <v>223.661</v>
      </c>
      <c r="I56" s="2" t="s">
        <v>78</v>
      </c>
      <c r="J56" s="3">
        <v>10.39</v>
      </c>
      <c r="K56">
        <f t="shared" si="1"/>
        <v>21.526564003849856</v>
      </c>
      <c r="L56" t="s">
        <v>81</v>
      </c>
    </row>
    <row r="57" spans="1:12" x14ac:dyDescent="0.25">
      <c r="A57" t="s">
        <v>67</v>
      </c>
      <c r="B57">
        <v>28</v>
      </c>
      <c r="C57">
        <f>(3.24+0.99+0.9)/3</f>
        <v>1.7100000000000002</v>
      </c>
      <c r="G57">
        <v>0</v>
      </c>
      <c r="H57">
        <v>242.52699999999999</v>
      </c>
      <c r="J57" s="3">
        <v>10.27</v>
      </c>
      <c r="K57">
        <f t="shared" si="1"/>
        <v>23.615092502434273</v>
      </c>
      <c r="L57" t="s">
        <v>81</v>
      </c>
    </row>
    <row r="58" spans="1:12" ht="15.75" thickBot="1" x14ac:dyDescent="0.3">
      <c r="A58" t="s">
        <v>68</v>
      </c>
      <c r="B58">
        <v>34.9</v>
      </c>
      <c r="C58">
        <f>(2.8+1.19+0.9)/3</f>
        <v>1.63</v>
      </c>
      <c r="G58">
        <v>0</v>
      </c>
      <c r="H58">
        <v>275.29500000000002</v>
      </c>
      <c r="J58" s="3">
        <v>11.61</v>
      </c>
      <c r="K58">
        <f t="shared" si="1"/>
        <v>23.711886304909562</v>
      </c>
      <c r="L58" t="s">
        <v>81</v>
      </c>
    </row>
    <row r="59" spans="1:12" ht="15.75" thickBot="1" x14ac:dyDescent="0.3">
      <c r="A59" t="s">
        <v>54</v>
      </c>
      <c r="B59">
        <v>10.8</v>
      </c>
      <c r="C59">
        <f>(1.22+0.76+0.47)/3</f>
        <v>0.81666666666666676</v>
      </c>
      <c r="D59">
        <v>51</v>
      </c>
      <c r="E59">
        <v>111</v>
      </c>
      <c r="F59">
        <v>0.6</v>
      </c>
      <c r="G59">
        <v>0</v>
      </c>
      <c r="H59">
        <v>135.80500000000001</v>
      </c>
      <c r="I59" s="2" t="s">
        <v>79</v>
      </c>
      <c r="J59" s="3">
        <v>2.98</v>
      </c>
      <c r="K59">
        <f t="shared" si="1"/>
        <v>45.572147651006716</v>
      </c>
      <c r="L59" t="s">
        <v>82</v>
      </c>
    </row>
    <row r="60" spans="1:12" x14ac:dyDescent="0.25">
      <c r="A60" t="s">
        <v>69</v>
      </c>
      <c r="B60">
        <v>13.4</v>
      </c>
      <c r="C60">
        <f>(1.42+0.78+0.58)/3</f>
        <v>0.92666666666666675</v>
      </c>
      <c r="G60">
        <v>0</v>
      </c>
      <c r="H60">
        <v>146.749</v>
      </c>
      <c r="J60" s="3">
        <v>3.73</v>
      </c>
      <c r="K60">
        <f t="shared" si="1"/>
        <v>39.34289544235925</v>
      </c>
      <c r="L60" t="s">
        <v>82</v>
      </c>
    </row>
    <row r="61" spans="1:12" x14ac:dyDescent="0.25">
      <c r="A61" t="s">
        <v>70</v>
      </c>
      <c r="B61">
        <v>12.5</v>
      </c>
      <c r="C61">
        <f>(1.31+0.9+0.44)/3</f>
        <v>0.8833333333333333</v>
      </c>
      <c r="G61">
        <v>0</v>
      </c>
      <c r="H61">
        <v>155.18</v>
      </c>
      <c r="J61" s="3">
        <v>3.54</v>
      </c>
      <c r="K61">
        <f t="shared" si="1"/>
        <v>43.836158192090394</v>
      </c>
      <c r="L61" t="s">
        <v>82</v>
      </c>
    </row>
    <row r="62" spans="1:12" x14ac:dyDescent="0.25">
      <c r="A62" t="s">
        <v>84</v>
      </c>
      <c r="B62">
        <v>81.900000000000006</v>
      </c>
      <c r="C62">
        <f>(3.12+2.72+2.54)/3</f>
        <v>2.793333333333333</v>
      </c>
      <c r="D62">
        <v>131</v>
      </c>
      <c r="E62">
        <v>163</v>
      </c>
      <c r="F62">
        <v>0.22</v>
      </c>
      <c r="G62">
        <v>2</v>
      </c>
      <c r="H62">
        <f>193.309+151.056+63.733</f>
        <v>408.09800000000001</v>
      </c>
      <c r="J62" s="3">
        <v>17.21</v>
      </c>
      <c r="K62">
        <f t="shared" si="1"/>
        <v>23.71284137129576</v>
      </c>
      <c r="L62" t="s">
        <v>81</v>
      </c>
    </row>
    <row r="63" spans="1:12" x14ac:dyDescent="0.25">
      <c r="A63" t="s">
        <v>85</v>
      </c>
      <c r="B63">
        <v>55.3</v>
      </c>
      <c r="C63">
        <f>(2.11+2.24+2.04)/3</f>
        <v>2.13</v>
      </c>
      <c r="G63">
        <v>2</v>
      </c>
      <c r="H63">
        <f xml:space="preserve"> 158.073+92.496 + 56.637</f>
        <v>307.20600000000002</v>
      </c>
      <c r="J63" s="3">
        <v>15.13</v>
      </c>
      <c r="K63">
        <f t="shared" si="1"/>
        <v>20.304428288169202</v>
      </c>
      <c r="L63" t="s">
        <v>81</v>
      </c>
    </row>
    <row r="64" spans="1:12" x14ac:dyDescent="0.25">
      <c r="A64" t="s">
        <v>86</v>
      </c>
      <c r="B64">
        <v>59.4</v>
      </c>
      <c r="C64">
        <f>(4.38+2.14+1.92)/3</f>
        <v>2.813333333333333</v>
      </c>
      <c r="G64">
        <v>2</v>
      </c>
      <c r="H64">
        <f>102.335+128.021+94.678+74.693</f>
        <v>399.72699999999998</v>
      </c>
      <c r="J64" s="3">
        <v>20.88</v>
      </c>
      <c r="K64">
        <f t="shared" si="1"/>
        <v>19.144013409961687</v>
      </c>
      <c r="L64" t="s">
        <v>81</v>
      </c>
    </row>
    <row r="65" spans="1:12" x14ac:dyDescent="0.25">
      <c r="A65" t="s">
        <v>87</v>
      </c>
      <c r="B65">
        <v>70.5</v>
      </c>
      <c r="C65">
        <f>(4.05+2.01+1.47)/3</f>
        <v>2.5099999999999998</v>
      </c>
      <c r="D65">
        <v>128</v>
      </c>
      <c r="E65">
        <v>179</v>
      </c>
      <c r="F65">
        <v>0.05</v>
      </c>
      <c r="G65">
        <v>2</v>
      </c>
      <c r="H65">
        <f>76.257+164.374+116.283</f>
        <v>356.91399999999999</v>
      </c>
      <c r="J65" s="3">
        <v>19.8</v>
      </c>
      <c r="K65">
        <f t="shared" si="1"/>
        <v>18.025959595959595</v>
      </c>
      <c r="L65" t="s">
        <v>81</v>
      </c>
    </row>
    <row r="66" spans="1:12" x14ac:dyDescent="0.25">
      <c r="A66" t="s">
        <v>96</v>
      </c>
      <c r="B66">
        <v>73.099999999999994</v>
      </c>
      <c r="C66">
        <f>(3.9+1.94+1.76)/3</f>
        <v>2.5333333333333332</v>
      </c>
      <c r="G66">
        <v>2</v>
      </c>
      <c r="H66">
        <f>169.51+115.171+68.376</f>
        <v>353.05700000000002</v>
      </c>
      <c r="J66" s="3">
        <v>19.64</v>
      </c>
      <c r="K66">
        <f t="shared" si="1"/>
        <v>17.976425661914462</v>
      </c>
      <c r="L66" t="s">
        <v>81</v>
      </c>
    </row>
    <row r="67" spans="1:12" x14ac:dyDescent="0.25">
      <c r="A67" t="s">
        <v>97</v>
      </c>
      <c r="B67">
        <v>76.400000000000006</v>
      </c>
      <c r="C67">
        <f>(4+1.75+1.5)/3</f>
        <v>2.4166666666666665</v>
      </c>
      <c r="G67">
        <v>2</v>
      </c>
      <c r="H67">
        <f>186.702+98.289+82.472</f>
        <v>367.46299999999997</v>
      </c>
      <c r="J67" s="3">
        <v>20.93</v>
      </c>
      <c r="K67">
        <f t="shared" si="1"/>
        <v>17.556760630673672</v>
      </c>
      <c r="L67" t="s">
        <v>81</v>
      </c>
    </row>
    <row r="68" spans="1:12" x14ac:dyDescent="0.25">
      <c r="A68" t="s">
        <v>88</v>
      </c>
      <c r="B68">
        <v>57.2</v>
      </c>
      <c r="C68">
        <f>(3.98+1.93+1.65)/3</f>
        <v>2.52</v>
      </c>
      <c r="D68">
        <v>113</v>
      </c>
      <c r="E68">
        <v>221</v>
      </c>
      <c r="F68">
        <v>0.13</v>
      </c>
      <c r="G68">
        <v>2</v>
      </c>
      <c r="H68">
        <f>69.523+155.292+134.359</f>
        <v>359.17399999999998</v>
      </c>
      <c r="J68" s="3">
        <v>16.78</v>
      </c>
      <c r="K68">
        <f t="shared" si="1"/>
        <v>21.404886769964239</v>
      </c>
      <c r="L68" t="s">
        <v>81</v>
      </c>
    </row>
    <row r="69" spans="1:12" x14ac:dyDescent="0.25">
      <c r="A69" t="s">
        <v>98</v>
      </c>
      <c r="B69">
        <v>56.4</v>
      </c>
      <c r="C69">
        <f>(4.09+2.37+1.4)/3</f>
        <v>2.6199999999999997</v>
      </c>
      <c r="G69">
        <v>2</v>
      </c>
      <c r="H69">
        <f>127.139+122.016+87.74</f>
        <v>336.89499999999998</v>
      </c>
      <c r="J69" s="3">
        <v>16.18</v>
      </c>
      <c r="K69">
        <f t="shared" si="1"/>
        <v>20.821693448702099</v>
      </c>
      <c r="L69" t="s">
        <v>81</v>
      </c>
    </row>
    <row r="70" spans="1:12" x14ac:dyDescent="0.25">
      <c r="A70" t="s">
        <v>99</v>
      </c>
      <c r="B70">
        <v>57.4</v>
      </c>
      <c r="C70">
        <f>(3.9+1.88+1.5)/3</f>
        <v>2.4266666666666663</v>
      </c>
      <c r="G70">
        <v>2</v>
      </c>
      <c r="H70">
        <f>123.436+85.864+134.187</f>
        <v>343.48700000000002</v>
      </c>
      <c r="J70" s="3">
        <v>17.89</v>
      </c>
      <c r="K70">
        <f t="shared" si="1"/>
        <v>19.199944102850754</v>
      </c>
      <c r="L70" t="s">
        <v>81</v>
      </c>
    </row>
    <row r="71" spans="1:12" x14ac:dyDescent="0.25">
      <c r="A71" t="s">
        <v>89</v>
      </c>
      <c r="B71">
        <v>67.3</v>
      </c>
      <c r="C71">
        <f>(3.96+1.77+1.61)/3</f>
        <v>2.4466666666666668</v>
      </c>
      <c r="D71">
        <v>113</v>
      </c>
      <c r="E71">
        <v>186</v>
      </c>
      <c r="F71">
        <v>0.2</v>
      </c>
      <c r="G71">
        <v>2</v>
      </c>
      <c r="H71">
        <f>158.124+133.126+94.015</f>
        <v>385.26499999999999</v>
      </c>
      <c r="J71" s="3">
        <v>18.48</v>
      </c>
      <c r="K71">
        <f t="shared" si="1"/>
        <v>20.847673160173159</v>
      </c>
      <c r="L71" t="s">
        <v>81</v>
      </c>
    </row>
    <row r="72" spans="1:12" x14ac:dyDescent="0.25">
      <c r="A72" t="s">
        <v>100</v>
      </c>
      <c r="B72">
        <v>67.3</v>
      </c>
      <c r="C72">
        <f>(4.46+1.42+1.44)/3</f>
        <v>2.44</v>
      </c>
      <c r="G72">
        <v>2</v>
      </c>
      <c r="H72">
        <f>131.583+183.19+113.618</f>
        <v>428.39100000000002</v>
      </c>
      <c r="J72" s="3">
        <v>18.36</v>
      </c>
      <c r="K72">
        <f t="shared" si="1"/>
        <v>23.332843137254905</v>
      </c>
      <c r="L72" t="s">
        <v>81</v>
      </c>
    </row>
    <row r="73" spans="1:12" x14ac:dyDescent="0.25">
      <c r="A73" t="s">
        <v>101</v>
      </c>
      <c r="B73">
        <v>63.6</v>
      </c>
      <c r="C73">
        <f>(4.35+1.87+1.41)/3</f>
        <v>2.5433333333333334</v>
      </c>
      <c r="G73">
        <v>2</v>
      </c>
      <c r="H73">
        <f>195.956+126.092+106.529</f>
        <v>428.577</v>
      </c>
      <c r="J73" s="3">
        <v>18.16</v>
      </c>
      <c r="K73">
        <f t="shared" si="1"/>
        <v>23.600055066079296</v>
      </c>
      <c r="L73" t="s">
        <v>81</v>
      </c>
    </row>
    <row r="74" spans="1:12" x14ac:dyDescent="0.25">
      <c r="A74" t="s">
        <v>90</v>
      </c>
      <c r="B74">
        <v>26.7</v>
      </c>
      <c r="C74">
        <f>(2.53+1.32+1.16)/3</f>
        <v>1.67</v>
      </c>
      <c r="D74">
        <v>80</v>
      </c>
      <c r="E74">
        <v>105</v>
      </c>
      <c r="F74">
        <v>0.2</v>
      </c>
      <c r="G74">
        <v>2</v>
      </c>
      <c r="H74">
        <f>89.062+61.761+38.718</f>
        <v>189.541</v>
      </c>
      <c r="J74" s="3">
        <v>7.43</v>
      </c>
      <c r="K74">
        <f t="shared" si="1"/>
        <v>25.510228802153431</v>
      </c>
      <c r="L74" t="s">
        <v>81</v>
      </c>
    </row>
    <row r="75" spans="1:12" x14ac:dyDescent="0.25">
      <c r="A75" t="s">
        <v>102</v>
      </c>
      <c r="B75">
        <v>29.3</v>
      </c>
      <c r="C75">
        <f>(3.77+1.21+1.2)/3</f>
        <v>2.06</v>
      </c>
      <c r="G75">
        <v>2</v>
      </c>
      <c r="H75">
        <f>98.3+41.354+53.961</f>
        <v>193.61500000000001</v>
      </c>
      <c r="J75" s="3">
        <v>8.85</v>
      </c>
      <c r="K75">
        <f t="shared" si="1"/>
        <v>21.877401129943504</v>
      </c>
      <c r="L75" t="s">
        <v>81</v>
      </c>
    </row>
    <row r="76" spans="1:12" x14ac:dyDescent="0.25">
      <c r="A76" t="s">
        <v>103</v>
      </c>
      <c r="B76">
        <v>38.5</v>
      </c>
      <c r="C76">
        <f>(4.13+1.25+1.17)/3</f>
        <v>2.1833333333333331</v>
      </c>
      <c r="G76">
        <v>2</v>
      </c>
      <c r="H76">
        <f>129.74+58.374</f>
        <v>188.114</v>
      </c>
      <c r="J76" s="3">
        <v>9.8699999999999992</v>
      </c>
      <c r="K76">
        <f t="shared" si="1"/>
        <v>19.059169199594734</v>
      </c>
      <c r="L76" t="s">
        <v>81</v>
      </c>
    </row>
    <row r="77" spans="1:12" x14ac:dyDescent="0.25">
      <c r="A77" t="s">
        <v>91</v>
      </c>
      <c r="B77">
        <v>3.6</v>
      </c>
      <c r="C77">
        <f>(1.28+0.71+0.62)/3</f>
        <v>0.87</v>
      </c>
      <c r="D77">
        <v>30</v>
      </c>
      <c r="E77">
        <v>52</v>
      </c>
      <c r="F77">
        <v>0.2</v>
      </c>
      <c r="G77">
        <v>2</v>
      </c>
      <c r="H77">
        <v>42.048000000000002</v>
      </c>
      <c r="J77" s="3">
        <v>0.86</v>
      </c>
      <c r="K77">
        <f t="shared" si="1"/>
        <v>48.893023255813958</v>
      </c>
      <c r="L77" t="s">
        <v>83</v>
      </c>
    </row>
    <row r="78" spans="1:12" x14ac:dyDescent="0.25">
      <c r="A78" t="s">
        <v>104</v>
      </c>
      <c r="B78">
        <v>5.7</v>
      </c>
      <c r="C78">
        <f>(1.85+0.69+0.64)/3</f>
        <v>1.06</v>
      </c>
      <c r="G78">
        <v>2</v>
      </c>
      <c r="H78">
        <v>41.122</v>
      </c>
      <c r="J78" s="3">
        <v>1.1000000000000001</v>
      </c>
      <c r="K78">
        <f t="shared" si="1"/>
        <v>37.383636363636363</v>
      </c>
      <c r="L78" t="s">
        <v>83</v>
      </c>
    </row>
    <row r="79" spans="1:12" x14ac:dyDescent="0.25">
      <c r="A79" t="s">
        <v>105</v>
      </c>
      <c r="B79">
        <v>4.5</v>
      </c>
      <c r="C79">
        <f>(2.1+0.68+0.56)/3</f>
        <v>1.1133333333333335</v>
      </c>
      <c r="G79">
        <v>2</v>
      </c>
      <c r="H79">
        <v>42.871000000000002</v>
      </c>
      <c r="J79" s="3">
        <v>0.96</v>
      </c>
      <c r="K79">
        <f t="shared" si="1"/>
        <v>44.657291666666673</v>
      </c>
      <c r="L79" t="s">
        <v>83</v>
      </c>
    </row>
    <row r="80" spans="1:12" x14ac:dyDescent="0.25">
      <c r="A80" t="s">
        <v>92</v>
      </c>
      <c r="B80">
        <v>3.4</v>
      </c>
      <c r="C80">
        <f>(1.37+0.64+0.58)/3</f>
        <v>0.8633333333333334</v>
      </c>
      <c r="D80">
        <v>32</v>
      </c>
      <c r="E80">
        <v>56</v>
      </c>
      <c r="F80">
        <v>0.6</v>
      </c>
      <c r="G80">
        <v>2</v>
      </c>
      <c r="H80">
        <v>35.503999999999998</v>
      </c>
      <c r="J80" s="3">
        <v>0.85</v>
      </c>
      <c r="K80">
        <f t="shared" si="1"/>
        <v>41.769411764705879</v>
      </c>
      <c r="L80" t="s">
        <v>83</v>
      </c>
    </row>
    <row r="81" spans="1:21" x14ac:dyDescent="0.25">
      <c r="A81" t="s">
        <v>106</v>
      </c>
      <c r="B81">
        <v>2.9</v>
      </c>
      <c r="C81">
        <f>(1.45+0.66+0.58)/3</f>
        <v>0.89666666666666661</v>
      </c>
      <c r="G81">
        <v>2</v>
      </c>
      <c r="H81">
        <v>30.253</v>
      </c>
      <c r="J81" s="3">
        <v>0.81</v>
      </c>
      <c r="K81">
        <f t="shared" si="1"/>
        <v>37.349382716049384</v>
      </c>
      <c r="L81" t="s">
        <v>83</v>
      </c>
    </row>
    <row r="82" spans="1:21" x14ac:dyDescent="0.25">
      <c r="A82" t="s">
        <v>107</v>
      </c>
      <c r="B82">
        <v>3.5</v>
      </c>
      <c r="C82">
        <f>(1.38+0.69+0.6)/3</f>
        <v>0.89</v>
      </c>
      <c r="G82">
        <v>2</v>
      </c>
      <c r="H82">
        <v>30.597999999999999</v>
      </c>
      <c r="J82" s="3">
        <v>0.79</v>
      </c>
      <c r="K82">
        <f t="shared" si="1"/>
        <v>38.731645569620248</v>
      </c>
      <c r="L82" t="s">
        <v>83</v>
      </c>
    </row>
    <row r="83" spans="1:21" x14ac:dyDescent="0.25">
      <c r="A83" t="s">
        <v>93</v>
      </c>
      <c r="B83">
        <v>4.5999999999999996</v>
      </c>
      <c r="C83">
        <f>(1.59+0.72+0.62)/3</f>
        <v>0.97666666666666668</v>
      </c>
      <c r="D83">
        <v>32</v>
      </c>
      <c r="E83">
        <v>57</v>
      </c>
      <c r="F83">
        <v>0.3</v>
      </c>
      <c r="G83">
        <v>2</v>
      </c>
      <c r="H83">
        <v>55.796999999999997</v>
      </c>
      <c r="J83" s="3">
        <v>1.1200000000000001</v>
      </c>
      <c r="K83">
        <f t="shared" si="1"/>
        <v>49.818749999999994</v>
      </c>
      <c r="L83" t="s">
        <v>83</v>
      </c>
    </row>
    <row r="84" spans="1:21" x14ac:dyDescent="0.25">
      <c r="A84" t="s">
        <v>108</v>
      </c>
      <c r="B84">
        <v>5.0999999999999996</v>
      </c>
      <c r="C84">
        <f>(1.53+0.74+0.63)/3</f>
        <v>0.96666666666666667</v>
      </c>
      <c r="G84">
        <v>2</v>
      </c>
      <c r="H84">
        <v>54.622</v>
      </c>
      <c r="J84" s="3">
        <v>1.1100000000000001</v>
      </c>
      <c r="K84">
        <f t="shared" si="1"/>
        <v>49.209009009009002</v>
      </c>
      <c r="L84" t="s">
        <v>83</v>
      </c>
    </row>
    <row r="85" spans="1:21" x14ac:dyDescent="0.25">
      <c r="A85" t="s">
        <v>109</v>
      </c>
      <c r="B85">
        <v>6.8</v>
      </c>
      <c r="C85">
        <f>(1.79+0.73+0.58)/3</f>
        <v>1.0333333333333334</v>
      </c>
      <c r="G85">
        <v>2</v>
      </c>
      <c r="H85">
        <v>55.131</v>
      </c>
      <c r="J85" s="3">
        <v>1.29</v>
      </c>
      <c r="K85">
        <f t="shared" si="1"/>
        <v>42.737209302325581</v>
      </c>
      <c r="L85" t="s">
        <v>83</v>
      </c>
    </row>
    <row r="86" spans="1:21" x14ac:dyDescent="0.25">
      <c r="A86" t="s">
        <v>94</v>
      </c>
      <c r="B86">
        <v>7.9</v>
      </c>
      <c r="C86">
        <f>(1.53+0.7+0.71)/3</f>
        <v>0.98</v>
      </c>
      <c r="D86">
        <v>39</v>
      </c>
      <c r="E86">
        <v>47</v>
      </c>
      <c r="F86">
        <v>0.2</v>
      </c>
      <c r="G86">
        <v>2</v>
      </c>
      <c r="H86">
        <v>44.337000000000003</v>
      </c>
      <c r="J86" s="3">
        <v>1.39</v>
      </c>
      <c r="K86">
        <f t="shared" si="1"/>
        <v>31.897122302158277</v>
      </c>
      <c r="L86" t="s">
        <v>83</v>
      </c>
    </row>
    <row r="87" spans="1:21" x14ac:dyDescent="0.25">
      <c r="A87" t="s">
        <v>110</v>
      </c>
      <c r="B87">
        <v>5.5</v>
      </c>
      <c r="C87">
        <f>(1.63+0.69+0.61)/3</f>
        <v>0.97666666666666657</v>
      </c>
      <c r="G87">
        <v>2</v>
      </c>
      <c r="H87">
        <v>42.823999999999998</v>
      </c>
      <c r="J87" s="3">
        <v>1.19</v>
      </c>
      <c r="K87">
        <f t="shared" si="1"/>
        <v>35.98655462184874</v>
      </c>
      <c r="L87" t="s">
        <v>83</v>
      </c>
    </row>
    <row r="88" spans="1:21" x14ac:dyDescent="0.25">
      <c r="A88" t="s">
        <v>111</v>
      </c>
      <c r="B88">
        <v>4.5</v>
      </c>
      <c r="C88">
        <f>(1.39+0.73+0.64)/3</f>
        <v>0.92</v>
      </c>
      <c r="G88">
        <v>2</v>
      </c>
      <c r="H88">
        <v>39.613</v>
      </c>
      <c r="J88" s="3">
        <v>1.08</v>
      </c>
      <c r="K88">
        <f t="shared" si="1"/>
        <v>36.678703703703704</v>
      </c>
      <c r="L88" t="s">
        <v>83</v>
      </c>
    </row>
    <row r="89" spans="1:21" x14ac:dyDescent="0.25">
      <c r="A89" t="s">
        <v>95</v>
      </c>
      <c r="B89">
        <v>4.0999999999999996</v>
      </c>
      <c r="C89">
        <f>(1.47+0.66+0.61)/3</f>
        <v>0.91333333333333322</v>
      </c>
      <c r="D89">
        <v>31</v>
      </c>
      <c r="E89">
        <v>60</v>
      </c>
      <c r="F89">
        <v>0.3</v>
      </c>
      <c r="G89">
        <v>2</v>
      </c>
      <c r="H89">
        <v>40.811</v>
      </c>
      <c r="J89" s="3">
        <v>0.99</v>
      </c>
      <c r="K89">
        <f t="shared" si="1"/>
        <v>41.223232323232324</v>
      </c>
      <c r="L89" t="s">
        <v>83</v>
      </c>
    </row>
    <row r="90" spans="1:21" x14ac:dyDescent="0.25">
      <c r="A90" t="s">
        <v>112</v>
      </c>
      <c r="B90">
        <v>4.7</v>
      </c>
      <c r="C90">
        <f>(1.69+0.67+0.64)/3</f>
        <v>1</v>
      </c>
      <c r="G90">
        <v>2</v>
      </c>
      <c r="H90">
        <v>42.078000000000003</v>
      </c>
      <c r="J90" s="3">
        <v>1.05</v>
      </c>
      <c r="K90">
        <f t="shared" si="1"/>
        <v>40.074285714285715</v>
      </c>
      <c r="L90" t="s">
        <v>83</v>
      </c>
    </row>
    <row r="91" spans="1:21" x14ac:dyDescent="0.25">
      <c r="A91" t="s">
        <v>113</v>
      </c>
      <c r="B91">
        <v>4</v>
      </c>
      <c r="C91">
        <f>(1.37+0.66+0.57)/3</f>
        <v>0.8666666666666667</v>
      </c>
      <c r="G91">
        <v>2</v>
      </c>
      <c r="H91">
        <v>39.167999999999999</v>
      </c>
      <c r="J91" s="3">
        <v>0.97</v>
      </c>
      <c r="K91">
        <f t="shared" si="1"/>
        <v>40.379381443298968</v>
      </c>
      <c r="L91" t="s">
        <v>83</v>
      </c>
    </row>
    <row r="92" spans="1:21" x14ac:dyDescent="0.25">
      <c r="A92" t="s">
        <v>114</v>
      </c>
      <c r="B92">
        <v>11.6</v>
      </c>
      <c r="C92">
        <f>(1.91+0.72+0.72)/3</f>
        <v>1.1166666666666665</v>
      </c>
      <c r="D92">
        <v>57</v>
      </c>
      <c r="E92">
        <v>97</v>
      </c>
      <c r="F92">
        <v>3.8699999999999998E-2</v>
      </c>
      <c r="G92">
        <v>1</v>
      </c>
      <c r="H92">
        <v>104.97</v>
      </c>
      <c r="J92" s="5">
        <v>3.84</v>
      </c>
      <c r="K92">
        <f t="shared" si="1"/>
        <v>27.3359375</v>
      </c>
      <c r="L92" t="s">
        <v>81</v>
      </c>
    </row>
    <row r="93" spans="1:21" x14ac:dyDescent="0.25">
      <c r="A93" t="s">
        <v>115</v>
      </c>
      <c r="B93">
        <v>13.8</v>
      </c>
      <c r="C93">
        <f>(1.59+0.73+0.7)/3</f>
        <v>1.0066666666666668</v>
      </c>
      <c r="G93">
        <v>1</v>
      </c>
      <c r="H93">
        <v>131.363</v>
      </c>
      <c r="J93" s="5">
        <v>4.17</v>
      </c>
      <c r="K93">
        <f t="shared" si="1"/>
        <v>31.501918465227817</v>
      </c>
      <c r="L93" t="s">
        <v>81</v>
      </c>
      <c r="M93">
        <f>AVERAGE(C92:C94)</f>
        <v>1.1299999999999999</v>
      </c>
      <c r="R93">
        <f>AVERAGE(H92:H94)</f>
        <v>116.87033333333333</v>
      </c>
      <c r="T93">
        <f>AVERAGE(J92:J94)</f>
        <v>4.1066666666666665</v>
      </c>
      <c r="U93">
        <f>AVERAGE(K92:K94)</f>
        <v>28.450824378200455</v>
      </c>
    </row>
    <row r="94" spans="1:21" x14ac:dyDescent="0.25">
      <c r="A94" t="s">
        <v>116</v>
      </c>
      <c r="B94">
        <v>14.2</v>
      </c>
      <c r="C94">
        <f>(2.2+0.9+0.7)/3</f>
        <v>1.2666666666666666</v>
      </c>
      <c r="G94">
        <v>1</v>
      </c>
      <c r="H94">
        <v>114.27800000000001</v>
      </c>
      <c r="J94" s="5">
        <v>4.3099999999999996</v>
      </c>
      <c r="K94">
        <f t="shared" si="1"/>
        <v>26.514617169373555</v>
      </c>
      <c r="L94" t="s">
        <v>81</v>
      </c>
    </row>
    <row r="95" spans="1:21" x14ac:dyDescent="0.25">
      <c r="A95" t="s">
        <v>117</v>
      </c>
      <c r="B95">
        <v>76.599999999999994</v>
      </c>
      <c r="C95">
        <f>(3.11+1.87+1.13)/3</f>
        <v>2.0366666666666666</v>
      </c>
      <c r="D95">
        <v>164</v>
      </c>
      <c r="E95">
        <v>218</v>
      </c>
      <c r="F95">
        <v>4.0399999999999998E-2</v>
      </c>
      <c r="G95">
        <v>1</v>
      </c>
      <c r="H95">
        <v>333.06099999999998</v>
      </c>
      <c r="J95" s="5">
        <v>24.96</v>
      </c>
      <c r="K95">
        <f t="shared" si="1"/>
        <v>13.343790064102564</v>
      </c>
      <c r="L95" t="s">
        <v>81</v>
      </c>
    </row>
    <row r="96" spans="1:21" x14ac:dyDescent="0.25">
      <c r="A96" t="s">
        <v>118</v>
      </c>
      <c r="B96">
        <v>74.2</v>
      </c>
      <c r="C96">
        <f>(3.5+1.53+1.4)/3</f>
        <v>2.1433333333333331</v>
      </c>
      <c r="G96">
        <v>1</v>
      </c>
      <c r="H96">
        <v>356.755</v>
      </c>
      <c r="J96" s="5">
        <v>22.75</v>
      </c>
      <c r="K96">
        <f t="shared" si="1"/>
        <v>15.681538461538461</v>
      </c>
      <c r="L96" t="s">
        <v>81</v>
      </c>
      <c r="M96">
        <f>AVERAGE(C95:C97)</f>
        <v>2.1255555555555556</v>
      </c>
      <c r="R96">
        <f>AVERAGE(H95:H97)</f>
        <v>380.00500000000005</v>
      </c>
      <c r="T96">
        <f>AVERAGE(J95:J97)</f>
        <v>23.953333333333333</v>
      </c>
      <c r="U96">
        <f>AVERAGE(K95:K97)</f>
        <v>15.889036354647766</v>
      </c>
    </row>
    <row r="97" spans="1:21" x14ac:dyDescent="0.25">
      <c r="A97" t="s">
        <v>119</v>
      </c>
      <c r="B97">
        <v>75.8</v>
      </c>
      <c r="C97">
        <f>(3.61+1.83+1.15)/3</f>
        <v>2.1966666666666668</v>
      </c>
      <c r="G97">
        <v>1</v>
      </c>
      <c r="H97">
        <v>450.19900000000001</v>
      </c>
      <c r="J97" s="5">
        <v>24.15</v>
      </c>
      <c r="K97">
        <f t="shared" si="1"/>
        <v>18.641780538302278</v>
      </c>
      <c r="L97" t="s">
        <v>81</v>
      </c>
    </row>
    <row r="98" spans="1:21" x14ac:dyDescent="0.25">
      <c r="A98" t="s">
        <v>120</v>
      </c>
      <c r="B98">
        <v>52.6</v>
      </c>
      <c r="C98">
        <f>(3.39+1.38+1.28)/3</f>
        <v>2.0166666666666666</v>
      </c>
      <c r="D98">
        <v>136</v>
      </c>
      <c r="E98">
        <v>197</v>
      </c>
      <c r="F98">
        <v>1.1000000000000001</v>
      </c>
      <c r="G98">
        <v>1</v>
      </c>
      <c r="H98">
        <v>256.74900000000002</v>
      </c>
      <c r="J98" s="5">
        <f>15.81+1.66</f>
        <v>17.47</v>
      </c>
      <c r="K98">
        <f t="shared" si="1"/>
        <v>14.696565540927306</v>
      </c>
      <c r="L98" t="s">
        <v>81</v>
      </c>
    </row>
    <row r="99" spans="1:21" x14ac:dyDescent="0.25">
      <c r="A99" t="s">
        <v>121</v>
      </c>
      <c r="B99">
        <v>54.2</v>
      </c>
      <c r="C99">
        <f>(3.25+1.39+1.14)/3</f>
        <v>1.9266666666666665</v>
      </c>
      <c r="G99">
        <v>1</v>
      </c>
      <c r="H99">
        <v>432.35700000000003</v>
      </c>
      <c r="J99" s="5">
        <v>17.420000000000002</v>
      </c>
      <c r="K99">
        <f t="shared" si="1"/>
        <v>24.819575200918482</v>
      </c>
      <c r="L99" t="s">
        <v>81</v>
      </c>
      <c r="M99">
        <f>AVERAGE(C98:C100)</f>
        <v>1.92</v>
      </c>
      <c r="R99">
        <f>AVERAGE(H98:H100)</f>
        <v>329.36033333333336</v>
      </c>
      <c r="T99">
        <f>AVERAGE(J98:J100)</f>
        <v>17.583333333333332</v>
      </c>
      <c r="U99">
        <f>AVERAGE(K98:K100)</f>
        <v>18.752020784795928</v>
      </c>
    </row>
    <row r="100" spans="1:21" x14ac:dyDescent="0.25">
      <c r="A100" t="s">
        <v>122</v>
      </c>
      <c r="B100">
        <v>55.2</v>
      </c>
      <c r="C100">
        <f>(3.04+1.17+1.24)/3</f>
        <v>1.8166666666666667</v>
      </c>
      <c r="G100">
        <v>1</v>
      </c>
      <c r="H100">
        <v>298.97500000000002</v>
      </c>
      <c r="J100" s="5">
        <v>17.86</v>
      </c>
      <c r="K100">
        <f t="shared" si="1"/>
        <v>16.739921612541995</v>
      </c>
      <c r="L100" t="s">
        <v>81</v>
      </c>
    </row>
    <row r="101" spans="1:21" x14ac:dyDescent="0.25">
      <c r="A101" t="s">
        <v>123</v>
      </c>
      <c r="B101">
        <v>44.3</v>
      </c>
      <c r="C101">
        <f>(3.23+1.31+1.27)/3</f>
        <v>1.9366666666666668</v>
      </c>
      <c r="D101">
        <v>130</v>
      </c>
      <c r="E101">
        <v>167</v>
      </c>
      <c r="F101">
        <v>0.16309999999999999</v>
      </c>
      <c r="G101">
        <v>1</v>
      </c>
      <c r="H101">
        <v>260.33199999999999</v>
      </c>
      <c r="J101" s="5">
        <v>13.08</v>
      </c>
      <c r="K101">
        <f t="shared" si="1"/>
        <v>19.903058103975535</v>
      </c>
      <c r="L101" t="s">
        <v>81</v>
      </c>
    </row>
    <row r="102" spans="1:21" x14ac:dyDescent="0.25">
      <c r="A102" t="s">
        <v>124</v>
      </c>
      <c r="B102">
        <v>44.8</v>
      </c>
      <c r="C102">
        <f>(3.36+1.67+1.22)/3</f>
        <v>2.083333333333333</v>
      </c>
      <c r="G102">
        <v>1</v>
      </c>
      <c r="H102">
        <v>206.435</v>
      </c>
      <c r="J102" s="5">
        <v>13.83</v>
      </c>
      <c r="K102">
        <f t="shared" si="1"/>
        <v>14.926608821402748</v>
      </c>
      <c r="L102" t="s">
        <v>81</v>
      </c>
      <c r="M102">
        <f>AVERAGE(C101:C103)</f>
        <v>1.9477777777777776</v>
      </c>
      <c r="R102">
        <f>AVERAGE(H101:H103)</f>
        <v>240.66633333333334</v>
      </c>
      <c r="T102">
        <f>AVERAGE(J101:J103)</f>
        <v>13.17</v>
      </c>
      <c r="U102">
        <f>AVERAGE(K101:K103)</f>
        <v>18.362058287295408</v>
      </c>
    </row>
    <row r="103" spans="1:21" x14ac:dyDescent="0.25">
      <c r="A103" t="s">
        <v>125</v>
      </c>
      <c r="B103">
        <v>42.1</v>
      </c>
      <c r="C103">
        <f>(3.01+1.27+1.19)/3</f>
        <v>1.823333333333333</v>
      </c>
      <c r="G103">
        <v>1</v>
      </c>
      <c r="H103">
        <v>255.232</v>
      </c>
      <c r="J103" s="5">
        <v>12.6</v>
      </c>
      <c r="K103">
        <f t="shared" si="1"/>
        <v>20.256507936507937</v>
      </c>
      <c r="L103" t="s">
        <v>81</v>
      </c>
    </row>
    <row r="104" spans="1:21" x14ac:dyDescent="0.25">
      <c r="A104" t="s">
        <v>126</v>
      </c>
      <c r="B104">
        <v>37.9</v>
      </c>
      <c r="C104">
        <f>(2.96+1.1+1.1)/3</f>
        <v>1.72</v>
      </c>
      <c r="D104">
        <v>105</v>
      </c>
      <c r="E104">
        <v>182</v>
      </c>
      <c r="F104">
        <v>0.21640000000000001</v>
      </c>
      <c r="G104">
        <v>1</v>
      </c>
      <c r="H104">
        <v>252.26300000000001</v>
      </c>
      <c r="J104" s="5">
        <v>13.25</v>
      </c>
      <c r="K104">
        <f t="shared" si="1"/>
        <v>19.038716981132076</v>
      </c>
      <c r="L104" t="s">
        <v>81</v>
      </c>
    </row>
    <row r="105" spans="1:21" x14ac:dyDescent="0.25">
      <c r="A105" t="s">
        <v>127</v>
      </c>
      <c r="B105">
        <v>41.3</v>
      </c>
      <c r="C105">
        <f>(2.69+1.45+1.1)/3</f>
        <v>1.7466666666666668</v>
      </c>
      <c r="G105">
        <v>1</v>
      </c>
      <c r="H105">
        <v>362.31100000000004</v>
      </c>
      <c r="J105" s="5">
        <v>13.88</v>
      </c>
      <c r="K105">
        <f t="shared" si="1"/>
        <v>26.103097982708935</v>
      </c>
      <c r="L105" t="s">
        <v>81</v>
      </c>
      <c r="M105">
        <f>AVERAGE(C104:C106)</f>
        <v>1.7611111111111111</v>
      </c>
      <c r="R105">
        <f>AVERAGE(H104:H106)</f>
        <v>316.68733333333336</v>
      </c>
      <c r="T105">
        <f>AVERAGE(J104:J106)</f>
        <v>13.783333333333333</v>
      </c>
      <c r="U105">
        <f>AVERAGE(K104:K106)</f>
        <v>22.911500440361447</v>
      </c>
    </row>
    <row r="106" spans="1:21" x14ac:dyDescent="0.25">
      <c r="A106" t="s">
        <v>128</v>
      </c>
      <c r="B106">
        <v>42.2</v>
      </c>
      <c r="C106">
        <f>(2.7+1.39+1.36)/3</f>
        <v>1.8166666666666667</v>
      </c>
      <c r="G106">
        <v>1</v>
      </c>
      <c r="H106">
        <v>335.48800000000006</v>
      </c>
      <c r="J106" s="5">
        <v>14.22</v>
      </c>
      <c r="K106">
        <f t="shared" si="1"/>
        <v>23.592686357243323</v>
      </c>
      <c r="L106" t="s">
        <v>81</v>
      </c>
    </row>
    <row r="107" spans="1:21" x14ac:dyDescent="0.25">
      <c r="A107" t="s">
        <v>139</v>
      </c>
      <c r="B107">
        <v>7.9</v>
      </c>
      <c r="C107">
        <f>(1.34+0.75+0.78)/3</f>
        <v>0.95666666666666667</v>
      </c>
      <c r="D107">
        <v>53</v>
      </c>
      <c r="E107">
        <v>73</v>
      </c>
      <c r="F107">
        <v>0.107</v>
      </c>
      <c r="G107">
        <v>0</v>
      </c>
      <c r="H107">
        <v>98.171000000000006</v>
      </c>
      <c r="J107" s="5">
        <v>2.15</v>
      </c>
      <c r="K107">
        <f t="shared" si="1"/>
        <v>45.660930232558144</v>
      </c>
      <c r="L107" t="s">
        <v>83</v>
      </c>
    </row>
    <row r="108" spans="1:21" x14ac:dyDescent="0.25">
      <c r="A108" t="s">
        <v>130</v>
      </c>
      <c r="B108">
        <v>8.5</v>
      </c>
      <c r="C108">
        <f>(1.31+0.75+0.8)/3</f>
        <v>0.95333333333333348</v>
      </c>
      <c r="G108">
        <v>0</v>
      </c>
      <c r="H108">
        <v>94.399000000000001</v>
      </c>
      <c r="J108" s="5">
        <v>2.2400000000000002</v>
      </c>
      <c r="K108">
        <f t="shared" si="1"/>
        <v>42.14241071428571</v>
      </c>
      <c r="L108" t="s">
        <v>83</v>
      </c>
      <c r="M108">
        <f>AVERAGE(C107:C109)</f>
        <v>0.97333333333333327</v>
      </c>
      <c r="R108">
        <f>AVERAGE(H107:H109)</f>
        <v>92.748000000000005</v>
      </c>
      <c r="T108">
        <f>AVERAGE(J107:J109)</f>
        <v>2.1433333333333335</v>
      </c>
      <c r="U108">
        <f>AVERAGE(K107:K109)</f>
        <v>43.266799923457761</v>
      </c>
    </row>
    <row r="109" spans="1:21" x14ac:dyDescent="0.25">
      <c r="A109" t="s">
        <v>131</v>
      </c>
      <c r="B109">
        <v>8.1999999999999993</v>
      </c>
      <c r="C109">
        <f>(1.48+0.87+0.68)/3</f>
        <v>1.01</v>
      </c>
      <c r="G109">
        <v>0</v>
      </c>
      <c r="H109">
        <v>85.674000000000007</v>
      </c>
      <c r="J109" s="5">
        <v>2.04</v>
      </c>
      <c r="K109">
        <f t="shared" si="1"/>
        <v>41.997058823529414</v>
      </c>
      <c r="L109" t="s">
        <v>83</v>
      </c>
    </row>
    <row r="110" spans="1:21" x14ac:dyDescent="0.25">
      <c r="A110" t="s">
        <v>132</v>
      </c>
      <c r="B110">
        <v>10.5</v>
      </c>
      <c r="C110">
        <f>(1.52+0.78+0.74)/3</f>
        <v>1.0133333333333334</v>
      </c>
      <c r="D110">
        <v>53</v>
      </c>
      <c r="E110">
        <v>47</v>
      </c>
      <c r="F110">
        <v>0.6</v>
      </c>
      <c r="G110">
        <v>0</v>
      </c>
      <c r="H110">
        <v>95.328000000000003</v>
      </c>
      <c r="J110" s="5">
        <v>2.64</v>
      </c>
      <c r="K110">
        <f t="shared" si="1"/>
        <v>36.109090909090909</v>
      </c>
      <c r="L110" t="s">
        <v>83</v>
      </c>
    </row>
    <row r="111" spans="1:21" x14ac:dyDescent="0.25">
      <c r="A111" t="s">
        <v>133</v>
      </c>
      <c r="B111">
        <v>10.199999999999999</v>
      </c>
      <c r="C111">
        <f>(1.78+0.8+0.7)/3</f>
        <v>1.0933333333333335</v>
      </c>
      <c r="G111">
        <v>0</v>
      </c>
      <c r="H111">
        <v>128.09</v>
      </c>
      <c r="J111" s="5">
        <v>2.67</v>
      </c>
      <c r="K111">
        <f t="shared" si="1"/>
        <v>47.973782771535582</v>
      </c>
      <c r="L111" t="s">
        <v>83</v>
      </c>
      <c r="M111">
        <f>AVERAGE(C110:C112)</f>
        <v>1.028888888888889</v>
      </c>
      <c r="R111">
        <f>AVERAGE(H110:H112)</f>
        <v>119.51333333333334</v>
      </c>
      <c r="T111">
        <f>AVERAGE(J110:J112)</f>
        <v>2.6766666666666672</v>
      </c>
      <c r="U111">
        <f>AVERAGE(K110:K112)</f>
        <v>44.586693187659812</v>
      </c>
    </row>
    <row r="112" spans="1:21" x14ac:dyDescent="0.25">
      <c r="A112" t="s">
        <v>134</v>
      </c>
      <c r="B112">
        <v>10.9</v>
      </c>
      <c r="C112">
        <f>(1.51+0.73+0.7)/3</f>
        <v>0.98000000000000009</v>
      </c>
      <c r="G112">
        <v>0</v>
      </c>
      <c r="H112">
        <v>135.12200000000001</v>
      </c>
      <c r="J112" s="5">
        <v>2.72</v>
      </c>
      <c r="K112">
        <f t="shared" si="1"/>
        <v>49.677205882352943</v>
      </c>
      <c r="L112" t="s">
        <v>83</v>
      </c>
    </row>
    <row r="113" spans="1:21" x14ac:dyDescent="0.25">
      <c r="A113" t="s">
        <v>135</v>
      </c>
      <c r="B113">
        <v>9.8000000000000007</v>
      </c>
      <c r="C113">
        <f>(1.09+0.76+0.68)/3</f>
        <v>0.84333333333333338</v>
      </c>
      <c r="D113">
        <v>46</v>
      </c>
      <c r="E113">
        <v>60</v>
      </c>
      <c r="F113">
        <v>0.4</v>
      </c>
      <c r="G113">
        <v>0</v>
      </c>
      <c r="H113">
        <v>113.673</v>
      </c>
      <c r="J113" s="5">
        <v>2.64</v>
      </c>
      <c r="K113">
        <f t="shared" si="1"/>
        <v>43.057954545454542</v>
      </c>
      <c r="L113" t="s">
        <v>83</v>
      </c>
    </row>
    <row r="114" spans="1:21" x14ac:dyDescent="0.25">
      <c r="A114" t="s">
        <v>136</v>
      </c>
      <c r="B114">
        <v>10.6</v>
      </c>
      <c r="C114">
        <v>1.1733333333333331</v>
      </c>
      <c r="G114">
        <v>0</v>
      </c>
      <c r="H114">
        <v>104.146</v>
      </c>
      <c r="J114" s="5">
        <v>2.7</v>
      </c>
      <c r="K114">
        <f t="shared" si="1"/>
        <v>38.572592592592592</v>
      </c>
      <c r="L114" t="s">
        <v>83</v>
      </c>
      <c r="M114">
        <f>AVERAGE(C113:C115)</f>
        <v>1.0066666666666666</v>
      </c>
      <c r="R114">
        <f>AVERAGE(H113:H115)</f>
        <v>106.62133333333334</v>
      </c>
      <c r="T114">
        <f>AVERAGE(J113:J115)</f>
        <v>2.6999999999999997</v>
      </c>
      <c r="U114">
        <f>AVERAGE(K113:K115)</f>
        <v>39.534457741667886</v>
      </c>
    </row>
    <row r="115" spans="1:21" x14ac:dyDescent="0.25">
      <c r="A115" t="s">
        <v>137</v>
      </c>
      <c r="B115">
        <v>10.8</v>
      </c>
      <c r="C115">
        <v>1.0033333333333332</v>
      </c>
      <c r="G115">
        <v>0</v>
      </c>
      <c r="H115">
        <v>102.045</v>
      </c>
      <c r="J115" s="5">
        <v>2.76</v>
      </c>
      <c r="K115">
        <f t="shared" si="1"/>
        <v>36.972826086956523</v>
      </c>
      <c r="L115" t="s">
        <v>83</v>
      </c>
    </row>
    <row r="116" spans="1:21" x14ac:dyDescent="0.25">
      <c r="A116" t="s">
        <v>138</v>
      </c>
      <c r="B116">
        <v>40.299999999999997</v>
      </c>
      <c r="C116">
        <v>1.2033333333333334</v>
      </c>
      <c r="D116">
        <v>104</v>
      </c>
      <c r="E116">
        <v>187</v>
      </c>
      <c r="F116">
        <v>0.5</v>
      </c>
      <c r="G116">
        <v>0</v>
      </c>
      <c r="H116">
        <v>244.76099999999997</v>
      </c>
      <c r="J116" s="5">
        <v>12.67</v>
      </c>
      <c r="K116">
        <f t="shared" si="1"/>
        <v>19.31815311760063</v>
      </c>
      <c r="L116" t="s">
        <v>81</v>
      </c>
    </row>
    <row r="117" spans="1:21" x14ac:dyDescent="0.25">
      <c r="A117" t="s">
        <v>140</v>
      </c>
      <c r="B117">
        <v>41.8</v>
      </c>
      <c r="C117">
        <v>1.6966666666666665</v>
      </c>
      <c r="G117">
        <v>0</v>
      </c>
      <c r="H117">
        <v>256.88200000000001</v>
      </c>
      <c r="J117" s="5">
        <v>12.64</v>
      </c>
      <c r="K117">
        <f t="shared" si="1"/>
        <v>20.322943037974682</v>
      </c>
      <c r="L117" t="s">
        <v>81</v>
      </c>
      <c r="M117">
        <f>AVERAGE(C116:C118)</f>
        <v>1.5066666666666666</v>
      </c>
      <c r="R117">
        <f>AVERAGE(H116:H118)</f>
        <v>248.68266666666668</v>
      </c>
      <c r="T117">
        <f>AVERAGE(J116:J118)</f>
        <v>12.606666666666667</v>
      </c>
      <c r="U117">
        <f>AVERAGE(K116:K118)</f>
        <v>19.725955579702827</v>
      </c>
    </row>
    <row r="118" spans="1:21" x14ac:dyDescent="0.25">
      <c r="A118" t="s">
        <v>141</v>
      </c>
      <c r="B118">
        <v>41.1</v>
      </c>
      <c r="C118">
        <v>1.6199999999999999</v>
      </c>
      <c r="G118">
        <v>0</v>
      </c>
      <c r="H118">
        <v>244.40499999999997</v>
      </c>
      <c r="J118" s="5">
        <v>12.51</v>
      </c>
      <c r="K118">
        <f t="shared" si="1"/>
        <v>19.536770583533173</v>
      </c>
      <c r="L118" t="s">
        <v>81</v>
      </c>
    </row>
    <row r="119" spans="1:21" x14ac:dyDescent="0.25">
      <c r="A119" t="s">
        <v>142</v>
      </c>
      <c r="B119">
        <v>66.2</v>
      </c>
      <c r="C119">
        <v>1.9933333333333334</v>
      </c>
      <c r="D119">
        <v>106</v>
      </c>
      <c r="E119">
        <v>155</v>
      </c>
      <c r="F119">
        <v>0.2</v>
      </c>
      <c r="G119">
        <v>0</v>
      </c>
      <c r="H119">
        <v>285.33999999999997</v>
      </c>
      <c r="J119" s="5">
        <v>17.77</v>
      </c>
      <c r="K119">
        <f t="shared" si="1"/>
        <v>16.057400112549239</v>
      </c>
      <c r="L119" t="s">
        <v>81</v>
      </c>
    </row>
    <row r="120" spans="1:21" x14ac:dyDescent="0.25">
      <c r="A120" t="s">
        <v>143</v>
      </c>
      <c r="B120">
        <v>71.900000000000006</v>
      </c>
      <c r="C120">
        <v>2.0699999999999998</v>
      </c>
      <c r="G120">
        <v>0</v>
      </c>
      <c r="H120">
        <v>360.96600000000001</v>
      </c>
      <c r="J120" s="5">
        <v>21.21</v>
      </c>
      <c r="K120">
        <f t="shared" si="1"/>
        <v>17.018670438472419</v>
      </c>
      <c r="L120" t="s">
        <v>81</v>
      </c>
      <c r="M120">
        <f>AVERAGE(C119:C121)</f>
        <v>2.0711111111111111</v>
      </c>
      <c r="R120">
        <f>AVERAGE(H119:H121)</f>
        <v>329.14366666666666</v>
      </c>
      <c r="T120">
        <f>AVERAGE(J119:J121)</f>
        <v>19.070000000000004</v>
      </c>
      <c r="U120">
        <f>AVERAGE(K119:K121)</f>
        <v>17.26278599643673</v>
      </c>
    </row>
    <row r="121" spans="1:21" x14ac:dyDescent="0.25">
      <c r="A121" t="s">
        <v>144</v>
      </c>
      <c r="B121">
        <v>66.7</v>
      </c>
      <c r="C121">
        <v>2.15</v>
      </c>
      <c r="G121">
        <v>0</v>
      </c>
      <c r="H121">
        <v>341.125</v>
      </c>
      <c r="J121" s="5">
        <v>18.23</v>
      </c>
      <c r="K121">
        <f t="shared" si="1"/>
        <v>18.712287438288534</v>
      </c>
      <c r="L121" t="s">
        <v>81</v>
      </c>
    </row>
    <row r="122" spans="1:21" x14ac:dyDescent="0.25">
      <c r="A122" t="s">
        <v>145</v>
      </c>
      <c r="B122">
        <v>100.3</v>
      </c>
      <c r="C122">
        <v>2.36</v>
      </c>
      <c r="D122">
        <v>137</v>
      </c>
      <c r="E122">
        <v>206</v>
      </c>
      <c r="F122">
        <v>1.6</v>
      </c>
      <c r="G122">
        <v>0</v>
      </c>
      <c r="H122">
        <v>519.40200000000004</v>
      </c>
      <c r="J122" s="5">
        <v>26.4</v>
      </c>
      <c r="K122">
        <f t="shared" si="1"/>
        <v>19.674318181818183</v>
      </c>
      <c r="L122" t="s">
        <v>81</v>
      </c>
    </row>
    <row r="123" spans="1:21" x14ac:dyDescent="0.25">
      <c r="A123" t="s">
        <v>146</v>
      </c>
      <c r="B123">
        <v>90.8</v>
      </c>
      <c r="C123">
        <v>2.1133333333333333</v>
      </c>
      <c r="G123">
        <v>0</v>
      </c>
      <c r="H123">
        <v>499.18399999999997</v>
      </c>
      <c r="J123" s="5">
        <v>24.63</v>
      </c>
      <c r="K123">
        <f t="shared" si="1"/>
        <v>20.26731628095818</v>
      </c>
      <c r="L123" t="s">
        <v>81</v>
      </c>
      <c r="M123">
        <f>AVERAGE(C122:C124)</f>
        <v>2.4033333333333329</v>
      </c>
      <c r="R123">
        <f>AVERAGE(H122:H124)</f>
        <v>518.0813333333333</v>
      </c>
      <c r="T123">
        <f>AVERAGE(J122:J124)</f>
        <v>25.24</v>
      </c>
      <c r="U123">
        <f>AVERAGE(K122:K124)</f>
        <v>20.545658902199921</v>
      </c>
    </row>
    <row r="124" spans="1:21" x14ac:dyDescent="0.25">
      <c r="A124" t="s">
        <v>147</v>
      </c>
      <c r="B124">
        <v>102.1</v>
      </c>
      <c r="C124">
        <v>2.7366666666666664</v>
      </c>
      <c r="G124">
        <v>0</v>
      </c>
      <c r="H124">
        <v>535.6579999999999</v>
      </c>
      <c r="J124" s="5">
        <v>24.69</v>
      </c>
      <c r="K124">
        <f t="shared" si="1"/>
        <v>21.695342243823404</v>
      </c>
      <c r="L124" t="s">
        <v>81</v>
      </c>
    </row>
    <row r="125" spans="1:21" x14ac:dyDescent="0.25">
      <c r="A125" t="s">
        <v>148</v>
      </c>
      <c r="B125">
        <v>36.1</v>
      </c>
      <c r="C125">
        <v>1.76</v>
      </c>
      <c r="D125">
        <v>97</v>
      </c>
      <c r="E125">
        <v>162</v>
      </c>
      <c r="F125">
        <v>0.17649999999999999</v>
      </c>
      <c r="G125">
        <v>0</v>
      </c>
      <c r="H125">
        <v>209.267</v>
      </c>
      <c r="J125" s="5">
        <v>10.5</v>
      </c>
      <c r="K125">
        <f t="shared" si="1"/>
        <v>19.930190476190475</v>
      </c>
      <c r="L125" t="s">
        <v>81</v>
      </c>
    </row>
    <row r="126" spans="1:21" x14ac:dyDescent="0.25">
      <c r="A126" t="s">
        <v>149</v>
      </c>
      <c r="B126">
        <v>35</v>
      </c>
      <c r="C126">
        <v>1.6866666666666668</v>
      </c>
      <c r="G126">
        <v>0</v>
      </c>
      <c r="H126">
        <v>279.88</v>
      </c>
      <c r="J126" s="5">
        <v>10.44</v>
      </c>
      <c r="K126">
        <f t="shared" si="1"/>
        <v>26.808429118773947</v>
      </c>
      <c r="L126" t="s">
        <v>81</v>
      </c>
      <c r="M126">
        <f>AVERAGE(C125:C127)</f>
        <v>1.7000000000000002</v>
      </c>
      <c r="R126">
        <f>AVERAGE(H125:H127)</f>
        <v>265.13466666666665</v>
      </c>
      <c r="T126">
        <f>AVERAGE(J125:J127)</f>
        <v>10.853333333333332</v>
      </c>
      <c r="U126">
        <f>AVERAGE(K125:K127)</f>
        <v>24.364881230449985</v>
      </c>
    </row>
    <row r="127" spans="1:21" x14ac:dyDescent="0.25">
      <c r="A127" t="s">
        <v>150</v>
      </c>
      <c r="B127">
        <v>41.8</v>
      </c>
      <c r="C127">
        <v>1.6533333333333335</v>
      </c>
      <c r="G127">
        <v>0</v>
      </c>
      <c r="H127">
        <v>306.25700000000001</v>
      </c>
      <c r="J127" s="5">
        <v>11.62</v>
      </c>
      <c r="K127">
        <f t="shared" si="1"/>
        <v>26.356024096385543</v>
      </c>
      <c r="L127" t="s">
        <v>81</v>
      </c>
    </row>
    <row r="128" spans="1:21" x14ac:dyDescent="0.25">
      <c r="A128" t="s">
        <v>151</v>
      </c>
      <c r="B128">
        <v>51</v>
      </c>
      <c r="C128">
        <v>1.8166666666666667</v>
      </c>
      <c r="D128">
        <v>84</v>
      </c>
      <c r="E128">
        <v>150</v>
      </c>
      <c r="F128">
        <v>0.2</v>
      </c>
      <c r="G128">
        <v>0</v>
      </c>
      <c r="H128">
        <v>276.81099999999998</v>
      </c>
      <c r="J128" s="5">
        <v>13.8</v>
      </c>
      <c r="K128">
        <f t="shared" si="1"/>
        <v>20.058768115942026</v>
      </c>
      <c r="L128" t="s">
        <v>81</v>
      </c>
    </row>
    <row r="129" spans="1:21" x14ac:dyDescent="0.25">
      <c r="A129" t="s">
        <v>152</v>
      </c>
      <c r="B129">
        <v>4934</v>
      </c>
      <c r="C129">
        <v>1.6666666666666667</v>
      </c>
      <c r="G129">
        <v>0</v>
      </c>
      <c r="H129">
        <v>264.31600000000003</v>
      </c>
      <c r="J129" s="5">
        <v>13.68</v>
      </c>
      <c r="K129">
        <f t="shared" si="1"/>
        <v>19.321345029239769</v>
      </c>
      <c r="L129" t="s">
        <v>81</v>
      </c>
      <c r="M129">
        <f>AVERAGE(C128:C130)</f>
        <v>1.8011111111111111</v>
      </c>
      <c r="R129">
        <f>AVERAGE(H128:H130)</f>
        <v>257.40733333333333</v>
      </c>
      <c r="T129">
        <f>AVERAGE(J128:J130)</f>
        <v>12.51</v>
      </c>
      <c r="U129">
        <f>AVERAGE(K128:K130)</f>
        <v>20.791546836121956</v>
      </c>
    </row>
    <row r="130" spans="1:21" x14ac:dyDescent="0.25">
      <c r="A130" t="s">
        <v>153</v>
      </c>
      <c r="B130">
        <v>52.2</v>
      </c>
      <c r="C130">
        <v>1.92</v>
      </c>
      <c r="G130">
        <v>0</v>
      </c>
      <c r="H130">
        <v>231.095</v>
      </c>
      <c r="J130" s="5">
        <v>10.050000000000001</v>
      </c>
      <c r="K130">
        <f t="shared" si="1"/>
        <v>22.994527363184076</v>
      </c>
      <c r="L130" t="s">
        <v>81</v>
      </c>
    </row>
    <row r="131" spans="1:21" x14ac:dyDescent="0.25">
      <c r="A131" t="s">
        <v>154</v>
      </c>
      <c r="B131">
        <v>2.1</v>
      </c>
      <c r="C131">
        <v>0.70666666666666667</v>
      </c>
      <c r="D131">
        <v>20</v>
      </c>
      <c r="E131">
        <v>21</v>
      </c>
      <c r="F131">
        <v>0.2</v>
      </c>
      <c r="G131">
        <v>0</v>
      </c>
      <c r="H131">
        <v>19.635999999999999</v>
      </c>
      <c r="J131" s="5">
        <v>0.72</v>
      </c>
      <c r="K131">
        <f t="shared" si="1"/>
        <v>27.272222222222222</v>
      </c>
      <c r="L131" t="s">
        <v>129</v>
      </c>
    </row>
    <row r="132" spans="1:21" x14ac:dyDescent="0.25">
      <c r="A132" t="s">
        <v>155</v>
      </c>
      <c r="B132">
        <v>2.1</v>
      </c>
      <c r="C132">
        <v>0.70333333333333348</v>
      </c>
      <c r="G132">
        <v>0</v>
      </c>
      <c r="H132">
        <v>34.414999999999999</v>
      </c>
      <c r="J132" s="5">
        <v>0.67</v>
      </c>
      <c r="K132">
        <f t="shared" si="1"/>
        <v>51.365671641791039</v>
      </c>
      <c r="L132" t="s">
        <v>129</v>
      </c>
      <c r="M132">
        <f>AVERAGE(C131:C133)</f>
        <v>0.72222222222222221</v>
      </c>
      <c r="R132">
        <f>AVERAGE(H131:H133)</f>
        <v>23.421000000000003</v>
      </c>
      <c r="T132">
        <f>AVERAGE(J131:J133)</f>
        <v>0.72000000000000008</v>
      </c>
      <c r="U132">
        <f>AVERAGE(K131:K133)</f>
        <v>33.23081310618624</v>
      </c>
    </row>
    <row r="133" spans="1:21" x14ac:dyDescent="0.25">
      <c r="A133" t="s">
        <v>156</v>
      </c>
      <c r="B133">
        <v>2.2999999999999998</v>
      </c>
      <c r="C133">
        <v>0.75666666666666649</v>
      </c>
      <c r="G133">
        <v>0</v>
      </c>
      <c r="H133">
        <v>16.212</v>
      </c>
      <c r="J133" s="5">
        <v>0.77</v>
      </c>
      <c r="K133">
        <f t="shared" si="1"/>
        <v>21.054545454545455</v>
      </c>
      <c r="L133" t="s">
        <v>129</v>
      </c>
    </row>
    <row r="134" spans="1:21" x14ac:dyDescent="0.25">
      <c r="A134" t="s">
        <v>157</v>
      </c>
      <c r="B134">
        <v>2.2999999999999998</v>
      </c>
      <c r="C134">
        <v>0.86666666666666659</v>
      </c>
      <c r="D134">
        <v>20</v>
      </c>
      <c r="E134">
        <v>21</v>
      </c>
      <c r="F134">
        <v>0.4667</v>
      </c>
      <c r="G134">
        <v>0</v>
      </c>
      <c r="H134">
        <v>28.63</v>
      </c>
      <c r="J134" s="5">
        <v>0.56999999999999995</v>
      </c>
      <c r="K134">
        <f t="shared" si="1"/>
        <v>50.228070175438596</v>
      </c>
      <c r="L134" t="s">
        <v>129</v>
      </c>
    </row>
    <row r="135" spans="1:21" x14ac:dyDescent="0.25">
      <c r="A135" t="s">
        <v>158</v>
      </c>
      <c r="B135">
        <v>2.2000000000000002</v>
      </c>
      <c r="C135">
        <v>0.84</v>
      </c>
      <c r="G135">
        <v>0</v>
      </c>
      <c r="H135">
        <v>26.841999999999999</v>
      </c>
      <c r="J135" s="5">
        <v>0.47</v>
      </c>
      <c r="K135">
        <f t="shared" si="1"/>
        <v>57.110638297872342</v>
      </c>
      <c r="L135" t="s">
        <v>129</v>
      </c>
      <c r="M135">
        <f>AVERAGE(C134:C136)</f>
        <v>0.81444444444444442</v>
      </c>
      <c r="R135">
        <f>AVERAGE(H134:H136)</f>
        <v>27.640333333333331</v>
      </c>
      <c r="T135">
        <f>AVERAGE(J134:J136)</f>
        <v>0.51</v>
      </c>
      <c r="U135">
        <f>AVERAGE(K134:K136)</f>
        <v>54.452358606749904</v>
      </c>
    </row>
    <row r="136" spans="1:21" x14ac:dyDescent="0.25">
      <c r="A136" t="s">
        <v>159</v>
      </c>
      <c r="B136">
        <v>1.7</v>
      </c>
      <c r="C136">
        <v>0.73666666666666669</v>
      </c>
      <c r="G136">
        <v>0</v>
      </c>
      <c r="H136">
        <v>27.449000000000002</v>
      </c>
      <c r="J136" s="5">
        <v>0.49</v>
      </c>
      <c r="K136">
        <f t="shared" si="1"/>
        <v>56.018367346938781</v>
      </c>
      <c r="L136" t="s">
        <v>129</v>
      </c>
    </row>
    <row r="137" spans="1:21" x14ac:dyDescent="0.25">
      <c r="A137" t="s">
        <v>160</v>
      </c>
      <c r="B137">
        <v>2.2999999999999998</v>
      </c>
      <c r="C137">
        <v>0.81666666666666654</v>
      </c>
      <c r="D137">
        <v>20</v>
      </c>
      <c r="E137">
        <v>21</v>
      </c>
      <c r="F137">
        <v>1.1721999999999999</v>
      </c>
      <c r="G137">
        <v>0</v>
      </c>
      <c r="H137">
        <v>21.727</v>
      </c>
      <c r="J137" s="5">
        <v>0.77</v>
      </c>
      <c r="K137">
        <f t="shared" si="1"/>
        <v>28.216883116883118</v>
      </c>
      <c r="L137" t="s">
        <v>129</v>
      </c>
    </row>
    <row r="138" spans="1:21" x14ac:dyDescent="0.25">
      <c r="A138" t="s">
        <v>161</v>
      </c>
      <c r="B138">
        <v>2.1</v>
      </c>
      <c r="C138">
        <v>0.83333333333333337</v>
      </c>
      <c r="G138">
        <v>0</v>
      </c>
      <c r="H138">
        <v>19.475999999999999</v>
      </c>
      <c r="J138" s="5">
        <v>0.71</v>
      </c>
      <c r="K138">
        <f t="shared" si="1"/>
        <v>27.430985915492958</v>
      </c>
      <c r="L138" t="s">
        <v>129</v>
      </c>
      <c r="M138">
        <f>AVERAGE(C137:C139)</f>
        <v>0.80999999999999994</v>
      </c>
      <c r="R138">
        <f>AVERAGE(H137:H139)</f>
        <v>22.814666666666668</v>
      </c>
      <c r="T138">
        <f>AVERAGE(J137:J139)</f>
        <v>0.72666666666666657</v>
      </c>
      <c r="U138">
        <f>AVERAGE(K137:K139)</f>
        <v>31.521194439363455</v>
      </c>
    </row>
    <row r="139" spans="1:21" x14ac:dyDescent="0.25">
      <c r="A139" t="s">
        <v>162</v>
      </c>
      <c r="B139">
        <v>2.7</v>
      </c>
      <c r="C139">
        <v>0.77999999999999992</v>
      </c>
      <c r="G139">
        <v>0</v>
      </c>
      <c r="H139">
        <v>27.241</v>
      </c>
      <c r="J139" s="5">
        <v>0.7</v>
      </c>
      <c r="K139">
        <f t="shared" si="1"/>
        <v>38.915714285714287</v>
      </c>
      <c r="L139" t="s">
        <v>129</v>
      </c>
    </row>
    <row r="140" spans="1:21" x14ac:dyDescent="0.25">
      <c r="A140" t="s">
        <v>163</v>
      </c>
      <c r="B140">
        <v>7.5</v>
      </c>
      <c r="C140">
        <v>0.87333333333333341</v>
      </c>
      <c r="F140">
        <v>0.3</v>
      </c>
      <c r="G140">
        <v>0</v>
      </c>
      <c r="H140">
        <v>116.56700000000001</v>
      </c>
      <c r="J140" s="5">
        <v>2.16</v>
      </c>
      <c r="K140">
        <f t="shared" si="1"/>
        <v>53.966203703703705</v>
      </c>
      <c r="L140" t="s">
        <v>83</v>
      </c>
    </row>
    <row r="141" spans="1:21" x14ac:dyDescent="0.25">
      <c r="A141" t="s">
        <v>164</v>
      </c>
      <c r="B141">
        <v>7.6</v>
      </c>
      <c r="C141">
        <v>0.85666666666666658</v>
      </c>
      <c r="G141">
        <v>0</v>
      </c>
      <c r="H141">
        <v>116.55799999999999</v>
      </c>
      <c r="J141" s="5">
        <v>2.21</v>
      </c>
      <c r="K141">
        <f t="shared" si="1"/>
        <v>52.741176470588236</v>
      </c>
      <c r="L141" t="s">
        <v>83</v>
      </c>
      <c r="M141">
        <f>AVERAGE(C140:C142)</f>
        <v>0.84666666666666668</v>
      </c>
      <c r="R141">
        <f>AVERAGE(H140:H142)</f>
        <v>117.60000000000001</v>
      </c>
      <c r="T141">
        <f>AVERAGE(J140:J142)</f>
        <v>2.1366666666666667</v>
      </c>
      <c r="U141">
        <f>AVERAGE(K140:K142)</f>
        <v>55.123865286855484</v>
      </c>
    </row>
    <row r="142" spans="1:21" x14ac:dyDescent="0.25">
      <c r="A142" t="s">
        <v>165</v>
      </c>
      <c r="B142">
        <v>6.9</v>
      </c>
      <c r="C142">
        <v>0.80999999999999994</v>
      </c>
      <c r="G142">
        <v>0</v>
      </c>
      <c r="H142">
        <v>119.67500000000001</v>
      </c>
      <c r="J142" s="5">
        <v>2.04</v>
      </c>
      <c r="K142">
        <f t="shared" si="1"/>
        <v>58.664215686274517</v>
      </c>
      <c r="L142" t="s">
        <v>83</v>
      </c>
    </row>
    <row r="143" spans="1:21" x14ac:dyDescent="0.25">
      <c r="A143" t="s">
        <v>166</v>
      </c>
      <c r="B143">
        <v>8.3000000000000007</v>
      </c>
      <c r="C143">
        <v>1.0733333333333333</v>
      </c>
      <c r="F143">
        <v>0.5</v>
      </c>
      <c r="G143">
        <v>0</v>
      </c>
      <c r="H143">
        <v>90.212000000000003</v>
      </c>
      <c r="J143" s="5">
        <v>2.2200000000000002</v>
      </c>
      <c r="K143">
        <f t="shared" si="1"/>
        <v>40.636036036036032</v>
      </c>
      <c r="L143" t="s">
        <v>83</v>
      </c>
    </row>
    <row r="144" spans="1:21" x14ac:dyDescent="0.25">
      <c r="A144" t="s">
        <v>167</v>
      </c>
      <c r="B144">
        <v>7.7</v>
      </c>
      <c r="C144">
        <v>0.86333333333333329</v>
      </c>
      <c r="G144">
        <v>0</v>
      </c>
      <c r="H144">
        <v>96.963999999999999</v>
      </c>
      <c r="J144" s="5">
        <v>2.1</v>
      </c>
      <c r="K144">
        <f t="shared" si="1"/>
        <v>46.173333333333332</v>
      </c>
      <c r="L144" t="s">
        <v>83</v>
      </c>
      <c r="M144">
        <f>AVERAGE(C143:C145)</f>
        <v>0.95888888888888879</v>
      </c>
      <c r="R144">
        <f>AVERAGE(H143:H145)</f>
        <v>97.875999999999991</v>
      </c>
      <c r="T144">
        <f>AVERAGE(J143:J145)</f>
        <v>2.2166666666666668</v>
      </c>
      <c r="U144">
        <f>AVERAGE(K143:K145)</f>
        <v>44.165641005812681</v>
      </c>
    </row>
    <row r="145" spans="1:21" x14ac:dyDescent="0.25">
      <c r="A145" t="s">
        <v>168</v>
      </c>
      <c r="B145">
        <v>8.5</v>
      </c>
      <c r="C145">
        <v>0.94000000000000006</v>
      </c>
      <c r="G145">
        <v>0</v>
      </c>
      <c r="H145">
        <v>106.452</v>
      </c>
      <c r="J145" s="5">
        <v>2.33</v>
      </c>
      <c r="K145">
        <f t="shared" si="1"/>
        <v>45.687553648068665</v>
      </c>
      <c r="L145" t="s">
        <v>83</v>
      </c>
    </row>
    <row r="146" spans="1:21" x14ac:dyDescent="0.25">
      <c r="A146" t="s">
        <v>169</v>
      </c>
      <c r="B146">
        <v>2</v>
      </c>
      <c r="C146">
        <v>0.60000000000000009</v>
      </c>
      <c r="D146">
        <v>20</v>
      </c>
      <c r="E146">
        <v>21</v>
      </c>
      <c r="F146">
        <v>0.55100000000000005</v>
      </c>
      <c r="G146">
        <v>0</v>
      </c>
      <c r="H146">
        <v>21.117000000000001</v>
      </c>
      <c r="J146" s="5">
        <v>0.5</v>
      </c>
      <c r="K146">
        <f t="shared" si="1"/>
        <v>42.234000000000002</v>
      </c>
      <c r="L146" t="s">
        <v>129</v>
      </c>
    </row>
    <row r="147" spans="1:21" x14ac:dyDescent="0.25">
      <c r="A147" t="s">
        <v>170</v>
      </c>
      <c r="B147">
        <v>1.7</v>
      </c>
      <c r="C147">
        <v>0.78333333333333333</v>
      </c>
      <c r="G147">
        <v>0</v>
      </c>
      <c r="H147">
        <v>21.173999999999999</v>
      </c>
      <c r="J147" s="5">
        <v>0.51</v>
      </c>
      <c r="K147">
        <f t="shared" si="1"/>
        <v>41.517647058823528</v>
      </c>
      <c r="L147" t="s">
        <v>129</v>
      </c>
      <c r="M147">
        <f>AVERAGE(C146:C148)</f>
        <v>0.67666666666666664</v>
      </c>
      <c r="R147">
        <f>AVERAGE(H146:H148)</f>
        <v>20.466333333333335</v>
      </c>
      <c r="T147">
        <f>AVERAGE(J146:J148)</f>
        <v>0.49</v>
      </c>
      <c r="U147">
        <f>AVERAGE(K146:K148)</f>
        <v>41.763592497868707</v>
      </c>
    </row>
    <row r="148" spans="1:21" x14ac:dyDescent="0.25">
      <c r="A148" t="s">
        <v>171</v>
      </c>
      <c r="B148">
        <v>1.8</v>
      </c>
      <c r="C148">
        <v>0.64666666666666661</v>
      </c>
      <c r="G148">
        <v>0</v>
      </c>
      <c r="H148">
        <v>19.108000000000001</v>
      </c>
      <c r="J148" s="5">
        <v>0.46</v>
      </c>
      <c r="K148">
        <f t="shared" si="1"/>
        <v>41.539130434782606</v>
      </c>
      <c r="L148" t="s">
        <v>129</v>
      </c>
    </row>
    <row r="149" spans="1:21" x14ac:dyDescent="0.25">
      <c r="A149" t="s">
        <v>172</v>
      </c>
      <c r="B149">
        <v>2.2999999999999998</v>
      </c>
      <c r="C149">
        <v>0.89333333333333342</v>
      </c>
      <c r="D149">
        <v>20</v>
      </c>
      <c r="E149">
        <v>21</v>
      </c>
      <c r="F149">
        <v>0.4</v>
      </c>
      <c r="G149">
        <v>0</v>
      </c>
      <c r="H149">
        <v>27.709</v>
      </c>
      <c r="J149">
        <v>0.73</v>
      </c>
      <c r="K149">
        <f t="shared" si="1"/>
        <v>37.957534246575342</v>
      </c>
      <c r="L149" t="s">
        <v>129</v>
      </c>
    </row>
    <row r="150" spans="1:21" x14ac:dyDescent="0.25">
      <c r="A150" t="s">
        <v>173</v>
      </c>
      <c r="B150">
        <v>2.2999999999999998</v>
      </c>
      <c r="C150">
        <v>0.82666666666666666</v>
      </c>
      <c r="G150">
        <v>0</v>
      </c>
      <c r="H150">
        <v>19.635999999999999</v>
      </c>
      <c r="J150" s="6">
        <v>0.71</v>
      </c>
      <c r="K150">
        <f t="shared" ref="K150:K181" si="2">H150/J150</f>
        <v>27.656338028169014</v>
      </c>
      <c r="L150" t="s">
        <v>129</v>
      </c>
      <c r="M150">
        <f>AVERAGE(C149:C151)</f>
        <v>0.86222222222222233</v>
      </c>
      <c r="R150">
        <f>AVERAGE(H149:H151)</f>
        <v>27.367000000000001</v>
      </c>
      <c r="T150">
        <f>AVERAGE(J149:J151)</f>
        <v>0.73666666666666669</v>
      </c>
      <c r="U150">
        <f>AVERAGE(K149:K151)</f>
        <v>36.91717820413556</v>
      </c>
    </row>
    <row r="151" spans="1:21" x14ac:dyDescent="0.25">
      <c r="A151" t="s">
        <v>174</v>
      </c>
      <c r="B151">
        <v>2.7</v>
      </c>
      <c r="C151">
        <v>0.8666666666666667</v>
      </c>
      <c r="G151">
        <v>0</v>
      </c>
      <c r="H151">
        <v>34.756</v>
      </c>
      <c r="J151" s="6">
        <v>0.77</v>
      </c>
      <c r="K151">
        <f t="shared" si="2"/>
        <v>45.137662337662334</v>
      </c>
      <c r="L151" t="s">
        <v>129</v>
      </c>
    </row>
    <row r="152" spans="1:21" x14ac:dyDescent="0.25">
      <c r="A152" t="s">
        <v>175</v>
      </c>
      <c r="B152">
        <v>19.100000000000001</v>
      </c>
      <c r="C152">
        <f>(1.83+0.95+0.82)/3</f>
        <v>1.2</v>
      </c>
      <c r="D152">
        <v>68</v>
      </c>
      <c r="E152">
        <v>101</v>
      </c>
      <c r="F152">
        <v>0.4</v>
      </c>
      <c r="G152">
        <v>2</v>
      </c>
      <c r="H152">
        <v>153.04500000000002</v>
      </c>
      <c r="J152" s="6">
        <v>4.96</v>
      </c>
      <c r="K152">
        <f t="shared" si="2"/>
        <v>30.855846774193552</v>
      </c>
      <c r="L152" t="s">
        <v>83</v>
      </c>
    </row>
    <row r="153" spans="1:21" x14ac:dyDescent="0.25">
      <c r="A153" t="s">
        <v>185</v>
      </c>
      <c r="B153">
        <v>17.600000000000001</v>
      </c>
      <c r="C153">
        <f>(2.36+1+0.79)/3</f>
        <v>1.3833333333333335</v>
      </c>
      <c r="G153">
        <v>2</v>
      </c>
      <c r="H153">
        <v>179.76499999999999</v>
      </c>
      <c r="J153" s="6">
        <v>4.8899999999999997</v>
      </c>
      <c r="K153">
        <f t="shared" si="2"/>
        <v>36.761758691206545</v>
      </c>
      <c r="L153" t="s">
        <v>83</v>
      </c>
      <c r="M153">
        <f>AVERAGE(C152:C154)</f>
        <v>1.2933333333333332</v>
      </c>
      <c r="R153">
        <f>AVERAGE(H152:H154)</f>
        <v>172.6933333333333</v>
      </c>
      <c r="T153">
        <f>AVERAGE(J152:J154)</f>
        <v>4.8866666666666667</v>
      </c>
      <c r="U153">
        <f>AVERAGE(K152:K154)</f>
        <v>35.378425661023869</v>
      </c>
    </row>
    <row r="154" spans="1:21" x14ac:dyDescent="0.25">
      <c r="A154" t="s">
        <v>186</v>
      </c>
      <c r="B154">
        <v>18.5</v>
      </c>
      <c r="C154">
        <f>(2.12+0.97+0.8)/3</f>
        <v>1.2966666666666666</v>
      </c>
      <c r="G154">
        <v>2</v>
      </c>
      <c r="H154">
        <v>185.26999999999998</v>
      </c>
      <c r="J154" s="6">
        <v>4.8099999999999996</v>
      </c>
      <c r="K154">
        <f t="shared" si="2"/>
        <v>38.517671517671516</v>
      </c>
      <c r="L154" t="s">
        <v>83</v>
      </c>
    </row>
    <row r="155" spans="1:21" x14ac:dyDescent="0.25">
      <c r="A155" t="s">
        <v>176</v>
      </c>
      <c r="B155">
        <v>15.4</v>
      </c>
      <c r="C155">
        <f>(1.71+1.04+0.83)/3</f>
        <v>1.1933333333333334</v>
      </c>
      <c r="D155">
        <v>77</v>
      </c>
      <c r="E155">
        <v>98</v>
      </c>
      <c r="F155">
        <v>0.1089</v>
      </c>
      <c r="G155">
        <v>2</v>
      </c>
      <c r="H155">
        <v>154.78800000000001</v>
      </c>
      <c r="J155" s="6">
        <v>4.07</v>
      </c>
      <c r="K155">
        <f t="shared" si="2"/>
        <v>38.031449631449632</v>
      </c>
      <c r="L155" t="s">
        <v>83</v>
      </c>
    </row>
    <row r="156" spans="1:21" x14ac:dyDescent="0.25">
      <c r="A156" t="s">
        <v>187</v>
      </c>
      <c r="B156">
        <v>15.4</v>
      </c>
      <c r="C156">
        <f>(1.83+1.06+0.91)/3</f>
        <v>1.2666666666666668</v>
      </c>
      <c r="G156">
        <v>2</v>
      </c>
      <c r="H156">
        <v>149.30200000000002</v>
      </c>
      <c r="J156" s="6">
        <v>4.3899999999999997</v>
      </c>
      <c r="K156">
        <f t="shared" si="2"/>
        <v>34.009567198177685</v>
      </c>
      <c r="L156" t="s">
        <v>83</v>
      </c>
      <c r="M156">
        <f>AVERAGE(C155:C157)</f>
        <v>1.2888888888888888</v>
      </c>
      <c r="R156">
        <f>AVERAGE(H155:H157)</f>
        <v>156.87233333333333</v>
      </c>
      <c r="T156">
        <f>AVERAGE(J155:J157)</f>
        <v>4.4766666666666666</v>
      </c>
      <c r="U156">
        <f>AVERAGE(K155:K157)</f>
        <v>35.18248515380602</v>
      </c>
    </row>
    <row r="157" spans="1:21" x14ac:dyDescent="0.25">
      <c r="A157" t="s">
        <v>188</v>
      </c>
      <c r="B157">
        <v>18</v>
      </c>
      <c r="C157">
        <f>(2.3+1.03+0.89)/3</f>
        <v>1.4066666666666665</v>
      </c>
      <c r="G157">
        <v>2</v>
      </c>
      <c r="H157">
        <v>166.52699999999999</v>
      </c>
      <c r="J157" s="6">
        <v>4.97</v>
      </c>
      <c r="K157">
        <f t="shared" si="2"/>
        <v>33.506438631790743</v>
      </c>
      <c r="L157" t="s">
        <v>83</v>
      </c>
    </row>
    <row r="158" spans="1:21" x14ac:dyDescent="0.25">
      <c r="A158" t="s">
        <v>177</v>
      </c>
      <c r="B158">
        <v>20</v>
      </c>
      <c r="C158">
        <f>(2.08+0.94+0.85)/3</f>
        <v>1.29</v>
      </c>
      <c r="D158">
        <v>76</v>
      </c>
      <c r="E158">
        <v>113</v>
      </c>
      <c r="F158">
        <v>0.3</v>
      </c>
      <c r="G158">
        <v>2</v>
      </c>
      <c r="H158">
        <v>246.98199999999997</v>
      </c>
      <c r="J158" s="6">
        <v>5.66</v>
      </c>
      <c r="K158">
        <f t="shared" si="2"/>
        <v>43.63639575971731</v>
      </c>
      <c r="L158" t="s">
        <v>83</v>
      </c>
    </row>
    <row r="159" spans="1:21" x14ac:dyDescent="0.25">
      <c r="A159" t="s">
        <v>189</v>
      </c>
      <c r="B159">
        <v>19.2</v>
      </c>
      <c r="C159">
        <f>(2.1+0.88+0.74)/3</f>
        <v>1.24</v>
      </c>
      <c r="G159">
        <v>2</v>
      </c>
      <c r="H159">
        <v>119.926</v>
      </c>
      <c r="J159" s="6">
        <v>3.41</v>
      </c>
      <c r="K159">
        <f t="shared" si="2"/>
        <v>35.168914956011726</v>
      </c>
      <c r="L159" t="s">
        <v>83</v>
      </c>
      <c r="M159">
        <f>AVERAGE(C158:C160)</f>
        <v>1.3211111111111113</v>
      </c>
      <c r="R159">
        <f>AVERAGE(H158:H160)</f>
        <v>231.23666666666668</v>
      </c>
      <c r="T159">
        <f>AVERAGE(J158:J160)</f>
        <v>5.59</v>
      </c>
      <c r="U159">
        <f>AVERAGE(K158:K160)</f>
        <v>40.415709632515735</v>
      </c>
    </row>
    <row r="160" spans="1:21" x14ac:dyDescent="0.25">
      <c r="A160" t="s">
        <v>190</v>
      </c>
      <c r="B160">
        <v>19.399999999999999</v>
      </c>
      <c r="C160">
        <f>(2.57+0.95+0.78)/3</f>
        <v>1.4333333333333333</v>
      </c>
      <c r="G160">
        <v>2</v>
      </c>
      <c r="H160">
        <v>326.80200000000002</v>
      </c>
      <c r="J160" s="6">
        <v>7.7</v>
      </c>
      <c r="K160">
        <f t="shared" si="2"/>
        <v>42.441818181818185</v>
      </c>
      <c r="L160" t="s">
        <v>83</v>
      </c>
    </row>
    <row r="161" spans="1:21" x14ac:dyDescent="0.25">
      <c r="A161" t="s">
        <v>178</v>
      </c>
      <c r="B161">
        <v>44.3</v>
      </c>
      <c r="C161">
        <f>(3.11+1.45+0.99)/3</f>
        <v>1.8499999999999999</v>
      </c>
      <c r="D161">
        <v>120</v>
      </c>
      <c r="E161">
        <v>151</v>
      </c>
      <c r="F161">
        <v>0.6</v>
      </c>
      <c r="G161">
        <v>2</v>
      </c>
      <c r="H161">
        <v>262.91199999999998</v>
      </c>
      <c r="J161" s="6">
        <v>13.82</v>
      </c>
      <c r="K161">
        <f t="shared" si="2"/>
        <v>19.024023154848045</v>
      </c>
      <c r="L161" t="s">
        <v>81</v>
      </c>
    </row>
    <row r="162" spans="1:21" x14ac:dyDescent="0.25">
      <c r="A162" t="s">
        <v>191</v>
      </c>
      <c r="B162">
        <v>47.3</v>
      </c>
      <c r="C162">
        <f>(3.21+1.36+0.97)/3</f>
        <v>1.8466666666666667</v>
      </c>
      <c r="G162">
        <v>2</v>
      </c>
      <c r="H162">
        <v>293.87299999999999</v>
      </c>
      <c r="J162" s="6">
        <v>13.99</v>
      </c>
      <c r="K162">
        <f t="shared" si="2"/>
        <v>21.005932809149392</v>
      </c>
      <c r="L162" t="s">
        <v>81</v>
      </c>
      <c r="M162">
        <f>AVERAGE(C161:C163)</f>
        <v>1.7911111111111111</v>
      </c>
      <c r="R162">
        <f>AVERAGE(H161:H163)</f>
        <v>309.07766666666663</v>
      </c>
      <c r="T162">
        <f>AVERAGE(J161:J163)</f>
        <v>14.020000000000001</v>
      </c>
      <c r="U162">
        <f>AVERAGE(K161:K163)</f>
        <v>22.008768947063473</v>
      </c>
    </row>
    <row r="163" spans="1:21" x14ac:dyDescent="0.25">
      <c r="A163" t="s">
        <v>192</v>
      </c>
      <c r="B163">
        <v>46.9</v>
      </c>
      <c r="C163">
        <f>(2.78+1.27+0.98)/3</f>
        <v>1.6766666666666665</v>
      </c>
      <c r="G163">
        <v>2</v>
      </c>
      <c r="H163">
        <v>370.44799999999998</v>
      </c>
      <c r="J163" s="6">
        <v>14.25</v>
      </c>
      <c r="K163">
        <f t="shared" si="2"/>
        <v>25.996350877192981</v>
      </c>
      <c r="L163" t="s">
        <v>81</v>
      </c>
    </row>
    <row r="164" spans="1:21" x14ac:dyDescent="0.25">
      <c r="A164" t="s">
        <v>179</v>
      </c>
      <c r="B164">
        <v>26.3</v>
      </c>
      <c r="C164">
        <f>(2.72+1.04+0.95)/3</f>
        <v>1.57</v>
      </c>
      <c r="D164">
        <v>116</v>
      </c>
      <c r="E164">
        <v>131</v>
      </c>
      <c r="F164">
        <v>0.2</v>
      </c>
      <c r="G164">
        <v>2</v>
      </c>
      <c r="H164">
        <v>212.88200000000001</v>
      </c>
      <c r="J164" s="6">
        <v>10.220000000000001</v>
      </c>
      <c r="K164">
        <f t="shared" si="2"/>
        <v>20.829941291585126</v>
      </c>
      <c r="L164" t="s">
        <v>81</v>
      </c>
    </row>
    <row r="165" spans="1:21" x14ac:dyDescent="0.25">
      <c r="A165" t="s">
        <v>193</v>
      </c>
      <c r="B165">
        <v>27.4</v>
      </c>
      <c r="C165">
        <f>(2.28+1.09+1.07)/3</f>
        <v>1.4800000000000002</v>
      </c>
      <c r="G165">
        <v>2</v>
      </c>
      <c r="H165">
        <v>185.947</v>
      </c>
      <c r="J165" s="6">
        <v>8.74</v>
      </c>
      <c r="K165">
        <f t="shared" si="2"/>
        <v>21.275400457665903</v>
      </c>
      <c r="L165" t="s">
        <v>81</v>
      </c>
      <c r="M165">
        <f>AVERAGE(C164:C166)</f>
        <v>1.5322222222222226</v>
      </c>
      <c r="R165">
        <f>AVERAGE(H164:H166)</f>
        <v>209.92666666666665</v>
      </c>
      <c r="T165">
        <f>AVERAGE(J164:J166)</f>
        <v>10.213333333333333</v>
      </c>
      <c r="U165">
        <f>AVERAGE(K164:K166)</f>
        <v>20.626181268015184</v>
      </c>
    </row>
    <row r="166" spans="1:21" x14ac:dyDescent="0.25">
      <c r="A166" t="s">
        <v>194</v>
      </c>
      <c r="B166">
        <v>35.799999999999997</v>
      </c>
      <c r="C166">
        <f>(2.43+1.19+1.02)/3</f>
        <v>1.5466666666666669</v>
      </c>
      <c r="G166">
        <v>2</v>
      </c>
      <c r="H166">
        <v>230.95099999999999</v>
      </c>
      <c r="J166" s="6">
        <v>11.68</v>
      </c>
      <c r="K166">
        <f t="shared" si="2"/>
        <v>19.77320205479452</v>
      </c>
      <c r="L166" t="s">
        <v>81</v>
      </c>
    </row>
    <row r="167" spans="1:21" x14ac:dyDescent="0.25">
      <c r="A167" t="s">
        <v>180</v>
      </c>
      <c r="B167">
        <v>16.7</v>
      </c>
      <c r="C167">
        <f>(1.86+1.2+0.82)/3</f>
        <v>1.2933333333333332</v>
      </c>
      <c r="D167">
        <v>78</v>
      </c>
      <c r="E167">
        <v>110</v>
      </c>
      <c r="F167">
        <v>0.9</v>
      </c>
      <c r="G167">
        <v>2</v>
      </c>
      <c r="H167">
        <v>144.09</v>
      </c>
      <c r="J167" s="6">
        <v>5.37</v>
      </c>
      <c r="K167">
        <f t="shared" si="2"/>
        <v>26.83240223463687</v>
      </c>
      <c r="L167" t="s">
        <v>81</v>
      </c>
    </row>
    <row r="168" spans="1:21" x14ac:dyDescent="0.25">
      <c r="A168" t="s">
        <v>195</v>
      </c>
      <c r="B168">
        <v>17.5</v>
      </c>
      <c r="C168">
        <f>(2.29+0.9+0.76)/3</f>
        <v>1.3166666666666667</v>
      </c>
      <c r="G168">
        <v>2</v>
      </c>
      <c r="H168">
        <v>124.08500000000001</v>
      </c>
      <c r="J168" s="6">
        <v>5.4</v>
      </c>
      <c r="K168">
        <f t="shared" si="2"/>
        <v>22.978703703703705</v>
      </c>
      <c r="L168" t="s">
        <v>81</v>
      </c>
      <c r="M168">
        <f>AVERAGE(C167:C169)</f>
        <v>1.3077777777777777</v>
      </c>
      <c r="R168">
        <f>AVERAGE(H167:H169)</f>
        <v>137.28966666666668</v>
      </c>
      <c r="T168">
        <f>AVERAGE(J167:J169)</f>
        <v>5.4033333333333333</v>
      </c>
      <c r="U168">
        <f>AVERAGE(K167:K169)</f>
        <v>25.408481391211563</v>
      </c>
    </row>
    <row r="169" spans="1:21" x14ac:dyDescent="0.25">
      <c r="A169" t="s">
        <v>196</v>
      </c>
      <c r="B169">
        <v>17.100000000000001</v>
      </c>
      <c r="C169">
        <f>(1.93+1.07+0.94)/3</f>
        <v>1.3133333333333332</v>
      </c>
      <c r="G169">
        <v>2</v>
      </c>
      <c r="H169">
        <v>143.69399999999999</v>
      </c>
      <c r="J169" s="6">
        <v>5.44</v>
      </c>
      <c r="K169">
        <f t="shared" si="2"/>
        <v>26.414338235294114</v>
      </c>
      <c r="L169" t="s">
        <v>81</v>
      </c>
    </row>
    <row r="170" spans="1:21" x14ac:dyDescent="0.25">
      <c r="A170" t="s">
        <v>181</v>
      </c>
      <c r="B170">
        <v>12.8</v>
      </c>
      <c r="C170">
        <f>(1.28+0.79+1.1)/3</f>
        <v>1.0566666666666669</v>
      </c>
      <c r="D170">
        <v>65</v>
      </c>
      <c r="E170">
        <v>112</v>
      </c>
      <c r="F170">
        <v>0.2</v>
      </c>
      <c r="G170">
        <v>2</v>
      </c>
      <c r="H170">
        <v>133.86699999999999</v>
      </c>
      <c r="J170" s="6">
        <v>4.24</v>
      </c>
      <c r="K170">
        <f t="shared" si="2"/>
        <v>31.572405660377356</v>
      </c>
      <c r="L170" t="s">
        <v>81</v>
      </c>
    </row>
    <row r="171" spans="1:21" x14ac:dyDescent="0.25">
      <c r="A171" t="s">
        <v>197</v>
      </c>
      <c r="B171">
        <v>12.6</v>
      </c>
      <c r="C171">
        <f>(1.73+0.77+0.76)/3</f>
        <v>1.0866666666666667</v>
      </c>
      <c r="G171">
        <v>2</v>
      </c>
      <c r="H171">
        <v>114.94900000000001</v>
      </c>
      <c r="J171" s="6">
        <v>4.1100000000000003</v>
      </c>
      <c r="K171">
        <f t="shared" si="2"/>
        <v>27.968126520681267</v>
      </c>
      <c r="L171" t="s">
        <v>81</v>
      </c>
      <c r="M171">
        <f>AVERAGE(C170:C172)</f>
        <v>1.0355555555555556</v>
      </c>
      <c r="R171">
        <f>AVERAGE(H170:H172)</f>
        <v>129.172</v>
      </c>
      <c r="T171">
        <f>AVERAGE(J170:J172)</f>
        <v>4.3366666666666669</v>
      </c>
      <c r="U171">
        <f>AVERAGE(K170:K172)</f>
        <v>29.768160226304232</v>
      </c>
    </row>
    <row r="172" spans="1:21" x14ac:dyDescent="0.25">
      <c r="A172" t="s">
        <v>198</v>
      </c>
      <c r="B172">
        <v>13.4</v>
      </c>
      <c r="C172">
        <f>(1.34+0.76+0.79)/3</f>
        <v>0.96333333333333337</v>
      </c>
      <c r="G172">
        <v>2</v>
      </c>
      <c r="H172">
        <v>138.69999999999999</v>
      </c>
      <c r="J172">
        <f>3.16+1.5</f>
        <v>4.66</v>
      </c>
      <c r="K172">
        <f t="shared" si="2"/>
        <v>29.763948497854074</v>
      </c>
      <c r="L172" t="s">
        <v>81</v>
      </c>
    </row>
    <row r="173" spans="1:21" x14ac:dyDescent="0.25">
      <c r="A173" t="s">
        <v>182</v>
      </c>
      <c r="B173">
        <v>31.4</v>
      </c>
      <c r="C173">
        <f>(2.19+1.06+1.27)/3</f>
        <v>1.5066666666666666</v>
      </c>
      <c r="D173">
        <v>88</v>
      </c>
      <c r="E173">
        <v>122</v>
      </c>
      <c r="F173">
        <v>1.5</v>
      </c>
      <c r="G173">
        <v>2</v>
      </c>
      <c r="H173">
        <v>182.11599999999999</v>
      </c>
      <c r="J173" s="6">
        <v>9.35</v>
      </c>
      <c r="K173">
        <f t="shared" si="2"/>
        <v>19.477647058823528</v>
      </c>
      <c r="L173" t="s">
        <v>81</v>
      </c>
    </row>
    <row r="174" spans="1:21" x14ac:dyDescent="0.25">
      <c r="A174" t="s">
        <v>199</v>
      </c>
      <c r="B174">
        <v>31.4</v>
      </c>
      <c r="C174">
        <f>(2.58+1.08+1.15)/3</f>
        <v>1.6033333333333335</v>
      </c>
      <c r="G174">
        <v>2</v>
      </c>
      <c r="H174">
        <v>186.45400000000001</v>
      </c>
      <c r="J174" s="6">
        <v>9.57</v>
      </c>
      <c r="K174">
        <f t="shared" si="2"/>
        <v>19.483176593521421</v>
      </c>
      <c r="L174" t="s">
        <v>81</v>
      </c>
      <c r="M174">
        <f>AVERAGE(C173:C175)</f>
        <v>1.61</v>
      </c>
      <c r="R174">
        <f>AVERAGE(H173:H175)</f>
        <v>183.79466666666667</v>
      </c>
      <c r="T174">
        <f>AVERAGE(J173:J175)</f>
        <v>10.850000000000001</v>
      </c>
      <c r="U174">
        <f>AVERAGE(K173:K175)</f>
        <v>17.457814291549564</v>
      </c>
    </row>
    <row r="175" spans="1:21" x14ac:dyDescent="0.25">
      <c r="A175" t="s">
        <v>200</v>
      </c>
      <c r="B175">
        <v>32.299999999999997</v>
      </c>
      <c r="C175">
        <f>(2.68+1.23+1.25)/3</f>
        <v>1.72</v>
      </c>
      <c r="G175">
        <v>2</v>
      </c>
      <c r="H175">
        <v>182.81399999999999</v>
      </c>
      <c r="J175" s="6">
        <v>13.63</v>
      </c>
      <c r="K175">
        <f t="shared" si="2"/>
        <v>13.412619222303741</v>
      </c>
      <c r="L175" t="s">
        <v>81</v>
      </c>
    </row>
    <row r="176" spans="1:21" x14ac:dyDescent="0.25">
      <c r="A176" t="s">
        <v>183</v>
      </c>
      <c r="B176">
        <v>8.3000000000000007</v>
      </c>
      <c r="C176">
        <f>(1.5+0.74+0.071)/3</f>
        <v>0.77033333333333343</v>
      </c>
      <c r="D176">
        <v>48</v>
      </c>
      <c r="E176">
        <v>67</v>
      </c>
      <c r="F176">
        <v>0.5</v>
      </c>
      <c r="G176">
        <v>2</v>
      </c>
      <c r="H176">
        <v>111.41800000000001</v>
      </c>
      <c r="J176" s="6">
        <v>2.1</v>
      </c>
      <c r="K176">
        <f t="shared" si="2"/>
        <v>53.05619047619048</v>
      </c>
      <c r="L176" t="s">
        <v>83</v>
      </c>
    </row>
    <row r="177" spans="1:21" x14ac:dyDescent="0.25">
      <c r="A177" t="s">
        <v>201</v>
      </c>
      <c r="B177">
        <v>7.7</v>
      </c>
      <c r="C177">
        <f>(1.25+0.72+0.67)/3</f>
        <v>0.88</v>
      </c>
      <c r="G177">
        <v>2</v>
      </c>
      <c r="H177">
        <v>107.586</v>
      </c>
      <c r="J177" s="6">
        <v>1.97</v>
      </c>
      <c r="K177">
        <f t="shared" si="2"/>
        <v>54.612182741116754</v>
      </c>
      <c r="L177" t="s">
        <v>83</v>
      </c>
      <c r="M177">
        <f>AVERAGE(C176:C178)</f>
        <v>0.84011111111111114</v>
      </c>
      <c r="R177">
        <f>AVERAGE(H176:H178)</f>
        <v>111.99866666666667</v>
      </c>
      <c r="T177">
        <f>AVERAGE(J176:J178)</f>
        <v>1.9566666666666668</v>
      </c>
      <c r="U177">
        <f>AVERAGE(K176:K178)</f>
        <v>57.554642924287599</v>
      </c>
    </row>
    <row r="178" spans="1:21" x14ac:dyDescent="0.25">
      <c r="A178" t="s">
        <v>202</v>
      </c>
      <c r="B178">
        <v>7</v>
      </c>
      <c r="C178">
        <f>(1.13+0.79+0.69)/3</f>
        <v>0.87</v>
      </c>
      <c r="G178">
        <v>2</v>
      </c>
      <c r="H178">
        <v>116.99199999999999</v>
      </c>
      <c r="J178" s="6">
        <v>1.8</v>
      </c>
      <c r="K178">
        <f t="shared" si="2"/>
        <v>64.995555555555555</v>
      </c>
      <c r="L178" t="s">
        <v>83</v>
      </c>
    </row>
    <row r="179" spans="1:21" x14ac:dyDescent="0.25">
      <c r="A179" t="s">
        <v>184</v>
      </c>
      <c r="B179">
        <v>7.7</v>
      </c>
      <c r="C179">
        <f>(1.34+0.75+0.75)/3</f>
        <v>0.94666666666666666</v>
      </c>
      <c r="D179">
        <v>42</v>
      </c>
      <c r="E179">
        <v>69</v>
      </c>
      <c r="F179">
        <v>0.2</v>
      </c>
      <c r="G179">
        <v>2</v>
      </c>
      <c r="H179">
        <v>99.034999999999997</v>
      </c>
      <c r="J179" s="6">
        <v>2.4</v>
      </c>
      <c r="K179">
        <f t="shared" si="2"/>
        <v>41.264583333333334</v>
      </c>
      <c r="L179" t="s">
        <v>83</v>
      </c>
    </row>
    <row r="180" spans="1:21" x14ac:dyDescent="0.25">
      <c r="A180" t="s">
        <v>203</v>
      </c>
      <c r="B180">
        <v>7.9</v>
      </c>
      <c r="C180">
        <f>(1.34+0.75+0.62)/3</f>
        <v>0.90333333333333332</v>
      </c>
      <c r="G180">
        <v>2</v>
      </c>
      <c r="H180">
        <v>108.09399999999999</v>
      </c>
      <c r="J180" s="6">
        <v>2.17</v>
      </c>
      <c r="K180">
        <f t="shared" si="2"/>
        <v>49.812903225806451</v>
      </c>
      <c r="L180" t="s">
        <v>83</v>
      </c>
      <c r="M180">
        <f>AVERAGE(C179:C181)</f>
        <v>0.98111111111111116</v>
      </c>
      <c r="R180">
        <f>AVERAGE(H179:H181)</f>
        <v>100.52733333333333</v>
      </c>
      <c r="T180">
        <f>AVERAGE(J179:J181)</f>
        <v>2.1733333333333333</v>
      </c>
      <c r="U180">
        <f>AVERAGE(K179:K181)</f>
        <v>46.504974152191892</v>
      </c>
    </row>
    <row r="181" spans="1:21" x14ac:dyDescent="0.25">
      <c r="A181" t="s">
        <v>204</v>
      </c>
      <c r="B181">
        <v>7.4</v>
      </c>
      <c r="C181">
        <f>(1.81+0.75+0.72)/3</f>
        <v>1.0933333333333335</v>
      </c>
      <c r="G181">
        <v>2</v>
      </c>
      <c r="H181">
        <v>94.453000000000003</v>
      </c>
      <c r="J181" s="6">
        <v>1.95</v>
      </c>
      <c r="K181">
        <f t="shared" si="2"/>
        <v>48.437435897435897</v>
      </c>
      <c r="L181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2023-07-13T13:24:59Z</dcterms:created>
  <dcterms:modified xsi:type="dcterms:W3CDTF">2023-08-24T13:22:44Z</dcterms:modified>
</cp:coreProperties>
</file>