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37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4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4.xml" ContentType="application/vnd.openxmlformats-officedocument.drawing+xml"/>
  <Override PartName="/xl/charts/chart4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4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5.xml" ContentType="application/vnd.openxmlformats-officedocument.drawing+xml"/>
  <Override PartName="/xl/charts/chart43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44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45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46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47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48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4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5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5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5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5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54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55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56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57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58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59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60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61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62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63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64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69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70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71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8.xml" ContentType="application/vnd.openxmlformats-officedocument.drawing+xml"/>
  <Override PartName="/xl/charts/chart72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theme/themeOverride1.xml" ContentType="application/vnd.openxmlformats-officedocument.themeOverride+xml"/>
  <Override PartName="/xl/drawings/drawing9.xml" ContentType="application/vnd.openxmlformats-officedocument.drawing+xml"/>
  <Override PartName="/xl/charts/chart73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7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10.xml" ContentType="application/vnd.openxmlformats-officedocument.drawing+xml"/>
  <Override PartName="/xl/charts/chart7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76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en_skoroszyt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ropbox\Prezentacja\Analiza wskaźnikowa\"/>
    </mc:Choice>
  </mc:AlternateContent>
  <xr:revisionPtr revIDLastSave="0" documentId="8_{0FB2039C-3B6B-4D01-8859-936886A2C757}" xr6:coauthVersionLast="47" xr6:coauthVersionMax="47" xr10:uidLastSave="{00000000-0000-0000-0000-000000000000}"/>
  <workbookProtection lockStructure="1"/>
  <bookViews>
    <workbookView xWindow="-28920" yWindow="-120" windowWidth="29040" windowHeight="15840" tabRatio="693" xr2:uid="{00000000-000D-0000-FFFF-FFFF00000000}"/>
  </bookViews>
  <sheets>
    <sheet name="Dashboard" sheetId="28" r:id="rId1"/>
    <sheet name="Instrukcja" sheetId="42" r:id="rId2"/>
    <sheet name="Wybrane dane i wskaźniki" sheetId="15" r:id="rId3"/>
    <sheet name="Wykresy" sheetId="20" r:id="rId4"/>
    <sheet name="Dane" sheetId="46" r:id="rId5"/>
    <sheet name="Wybrane dane i wskaźniki (2)" sheetId="49" r:id="rId6"/>
    <sheet name="Dane2" sheetId="50" r:id="rId7"/>
    <sheet name="Porównanie" sheetId="51" r:id="rId8"/>
    <sheet name="Changelog" sheetId="48" r:id="rId9"/>
    <sheet name="Wycena" sheetId="25" state="hidden" r:id="rId10"/>
    <sheet name="Jak ręcznie generować TTM" sheetId="27" state="hidden" r:id="rId11"/>
    <sheet name="Mnożniki ceny" sheetId="39" state="hidden" r:id="rId12"/>
    <sheet name="Dywidenda" sheetId="47" state="hidden" r:id="rId13"/>
    <sheet name="Wzrost" sheetId="40" state="hidden" r:id="rId14"/>
    <sheet name="Jakość" sheetId="41" state="hidden" r:id="rId15"/>
  </sheets>
  <definedNames>
    <definedName name="_xlnm._FilterDatabase" localSheetId="9" hidden="1">Wycena!#REF!</definedName>
    <definedName name="A">Dashboard!#REF!</definedName>
    <definedName name="Dane_finansowe">'Wybrane dane i wskaźniki'!$C$2:$H$30</definedName>
    <definedName name="Dane_finansowe2">'Wybrane dane i wskaźniki (2)'!$C$2:$H$30</definedName>
    <definedName name="finanse_transpozycja">#REF!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8" i="46" l="1"/>
  <c r="H31" i="15"/>
  <c r="N5" i="15"/>
  <c r="H10" i="15"/>
  <c r="H12" i="15"/>
  <c r="Q5" i="15"/>
  <c r="F68" i="46"/>
  <c r="F67" i="46"/>
  <c r="F71" i="46"/>
  <c r="G68" i="46"/>
  <c r="G67" i="46"/>
  <c r="G71" i="46"/>
  <c r="H68" i="46"/>
  <c r="H67" i="46"/>
  <c r="H71" i="46"/>
  <c r="I68" i="46"/>
  <c r="I67" i="46"/>
  <c r="I71" i="46"/>
  <c r="J68" i="46"/>
  <c r="J67" i="46"/>
  <c r="J71" i="46"/>
  <c r="K68" i="46"/>
  <c r="K67" i="46"/>
  <c r="K71" i="46"/>
  <c r="L68" i="46"/>
  <c r="L67" i="46"/>
  <c r="L71" i="46"/>
  <c r="M68" i="46"/>
  <c r="M67" i="46"/>
  <c r="M71" i="46"/>
  <c r="N68" i="46"/>
  <c r="N67" i="46"/>
  <c r="N71" i="46"/>
  <c r="O68" i="46"/>
  <c r="O67" i="46"/>
  <c r="O71" i="46"/>
  <c r="P68" i="46"/>
  <c r="P67" i="46"/>
  <c r="P71" i="46"/>
  <c r="Q68" i="46"/>
  <c r="Q67" i="46"/>
  <c r="Q71" i="46"/>
  <c r="R68" i="46"/>
  <c r="R67" i="46"/>
  <c r="R71" i="46"/>
  <c r="S68" i="46"/>
  <c r="S67" i="46"/>
  <c r="S71" i="46"/>
  <c r="T68" i="46"/>
  <c r="T67" i="46"/>
  <c r="T71" i="46"/>
  <c r="U68" i="46"/>
  <c r="U67" i="46"/>
  <c r="U71" i="46"/>
  <c r="V68" i="46"/>
  <c r="V67" i="46"/>
  <c r="V71" i="46"/>
  <c r="W68" i="46"/>
  <c r="W67" i="46"/>
  <c r="W71" i="46"/>
  <c r="X68" i="46"/>
  <c r="X67" i="46"/>
  <c r="X71" i="46"/>
  <c r="Y68" i="46"/>
  <c r="Y67" i="46"/>
  <c r="Y71" i="46"/>
  <c r="E67" i="46"/>
  <c r="E71" i="46"/>
  <c r="G69" i="46"/>
  <c r="H69" i="46"/>
  <c r="I69" i="46"/>
  <c r="J69" i="46"/>
  <c r="K69" i="46"/>
  <c r="L69" i="46"/>
  <c r="M69" i="46"/>
  <c r="N69" i="46"/>
  <c r="O69" i="46"/>
  <c r="P69" i="46"/>
  <c r="Q69" i="46"/>
  <c r="R69" i="46"/>
  <c r="S69" i="46"/>
  <c r="T69" i="46"/>
  <c r="U69" i="46"/>
  <c r="V69" i="46"/>
  <c r="W69" i="46"/>
  <c r="X69" i="46"/>
  <c r="Y69" i="46"/>
  <c r="F69" i="46"/>
  <c r="G25" i="15"/>
  <c r="F25" i="15"/>
  <c r="E25" i="15"/>
  <c r="F61" i="15"/>
  <c r="G61" i="15"/>
  <c r="H25" i="15"/>
  <c r="H61" i="15"/>
  <c r="D25" i="15"/>
  <c r="E61" i="15"/>
  <c r="D24" i="15"/>
  <c r="E24" i="15"/>
  <c r="E36" i="15"/>
  <c r="D17" i="15"/>
  <c r="E17" i="15"/>
  <c r="E35" i="15"/>
  <c r="N12" i="15"/>
  <c r="E8" i="15"/>
  <c r="E3" i="15"/>
  <c r="N10" i="15"/>
  <c r="N11" i="15"/>
  <c r="N13" i="15"/>
  <c r="N14" i="15"/>
  <c r="B1" i="15"/>
  <c r="D18" i="15"/>
  <c r="D19" i="15"/>
  <c r="D4" i="49"/>
  <c r="H4" i="49"/>
  <c r="E4" i="49"/>
  <c r="F4" i="49"/>
  <c r="G4" i="49"/>
  <c r="I4" i="49"/>
  <c r="E13" i="15"/>
  <c r="G30" i="49"/>
  <c r="G29" i="49"/>
  <c r="G28" i="49"/>
  <c r="G27" i="49"/>
  <c r="G26" i="49"/>
  <c r="G31" i="49"/>
  <c r="G13" i="49"/>
  <c r="G12" i="49"/>
  <c r="G11" i="49"/>
  <c r="G10" i="49"/>
  <c r="G8" i="49"/>
  <c r="G5" i="49"/>
  <c r="G6" i="49"/>
  <c r="G7" i="49"/>
  <c r="G3" i="49"/>
  <c r="G27" i="15"/>
  <c r="G28" i="15"/>
  <c r="G29" i="15"/>
  <c r="G30" i="15"/>
  <c r="G26" i="15"/>
  <c r="G13" i="15"/>
  <c r="G11" i="15"/>
  <c r="G12" i="15"/>
  <c r="G10" i="15"/>
  <c r="G4" i="15"/>
  <c r="G5" i="15"/>
  <c r="G6" i="15"/>
  <c r="G7" i="15"/>
  <c r="G8" i="15"/>
  <c r="G3" i="15"/>
  <c r="H3" i="49"/>
  <c r="H31" i="49"/>
  <c r="F31" i="49"/>
  <c r="E31" i="49"/>
  <c r="D31" i="49"/>
  <c r="H30" i="49"/>
  <c r="F30" i="49"/>
  <c r="E30" i="49"/>
  <c r="D30" i="49"/>
  <c r="H29" i="49"/>
  <c r="F29" i="49"/>
  <c r="E29" i="49"/>
  <c r="D29" i="49"/>
  <c r="H28" i="49"/>
  <c r="F28" i="49"/>
  <c r="E28" i="49"/>
  <c r="D28" i="49"/>
  <c r="H27" i="49"/>
  <c r="F27" i="49"/>
  <c r="E27" i="49"/>
  <c r="D27" i="49"/>
  <c r="H26" i="49"/>
  <c r="F26" i="49"/>
  <c r="E26" i="49"/>
  <c r="D26" i="49"/>
  <c r="H25" i="49"/>
  <c r="G25" i="49"/>
  <c r="F25" i="49"/>
  <c r="E25" i="49"/>
  <c r="D25" i="49"/>
  <c r="H24" i="49"/>
  <c r="G24" i="49"/>
  <c r="F24" i="49"/>
  <c r="E24" i="49"/>
  <c r="D24" i="49"/>
  <c r="H23" i="49"/>
  <c r="G23" i="49"/>
  <c r="F23" i="49"/>
  <c r="E23" i="49"/>
  <c r="D23" i="49"/>
  <c r="H22" i="49"/>
  <c r="G22" i="49"/>
  <c r="F22" i="49"/>
  <c r="E22" i="49"/>
  <c r="D22" i="49"/>
  <c r="H21" i="49"/>
  <c r="G21" i="49"/>
  <c r="F21" i="49"/>
  <c r="E21" i="49"/>
  <c r="D21" i="49"/>
  <c r="H20" i="49"/>
  <c r="G20" i="49"/>
  <c r="F20" i="49"/>
  <c r="E20" i="49"/>
  <c r="D20" i="49"/>
  <c r="H19" i="49"/>
  <c r="G19" i="49"/>
  <c r="F19" i="49"/>
  <c r="E19" i="49"/>
  <c r="D19" i="49"/>
  <c r="H18" i="49"/>
  <c r="G18" i="49"/>
  <c r="F18" i="49"/>
  <c r="E18" i="49"/>
  <c r="D18" i="49"/>
  <c r="H17" i="49"/>
  <c r="G17" i="49"/>
  <c r="F17" i="49"/>
  <c r="E17" i="49"/>
  <c r="D17" i="49"/>
  <c r="H16" i="49"/>
  <c r="G16" i="49"/>
  <c r="F16" i="49"/>
  <c r="E16" i="49"/>
  <c r="D16" i="49"/>
  <c r="H15" i="49"/>
  <c r="G15" i="49"/>
  <c r="F15" i="49"/>
  <c r="E15" i="49"/>
  <c r="D15" i="49"/>
  <c r="H14" i="49"/>
  <c r="G14" i="49"/>
  <c r="F14" i="49"/>
  <c r="E14" i="49"/>
  <c r="D14" i="49"/>
  <c r="H13" i="49"/>
  <c r="F13" i="49"/>
  <c r="E13" i="49"/>
  <c r="D13" i="49"/>
  <c r="H12" i="49"/>
  <c r="F12" i="49"/>
  <c r="E12" i="49"/>
  <c r="D12" i="49"/>
  <c r="H11" i="49"/>
  <c r="F11" i="49"/>
  <c r="E11" i="49"/>
  <c r="D11" i="49"/>
  <c r="H10" i="49"/>
  <c r="F10" i="49"/>
  <c r="E10" i="49"/>
  <c r="D10" i="49"/>
  <c r="H8" i="49"/>
  <c r="F8" i="49"/>
  <c r="E8" i="49"/>
  <c r="D8" i="49"/>
  <c r="H7" i="49"/>
  <c r="F7" i="49"/>
  <c r="E7" i="49"/>
  <c r="D7" i="49"/>
  <c r="H6" i="49"/>
  <c r="F6" i="49"/>
  <c r="E6" i="49"/>
  <c r="D6" i="49"/>
  <c r="H5" i="49"/>
  <c r="F5" i="49"/>
  <c r="E5" i="49"/>
  <c r="D5" i="49"/>
  <c r="F3" i="49"/>
  <c r="E3" i="49"/>
  <c r="G2" i="49"/>
  <c r="F2" i="49"/>
  <c r="E2" i="49"/>
  <c r="D2" i="49"/>
  <c r="D3" i="49"/>
  <c r="H9" i="49"/>
  <c r="G9" i="49"/>
  <c r="F9" i="49"/>
  <c r="E9" i="49"/>
  <c r="D9" i="49"/>
  <c r="H2" i="49"/>
  <c r="H9" i="15"/>
  <c r="G2" i="15"/>
  <c r="H2" i="15"/>
  <c r="E2" i="15"/>
  <c r="F2" i="15"/>
  <c r="D2" i="15"/>
  <c r="D15" i="15"/>
  <c r="E15" i="15"/>
  <c r="F15" i="15"/>
  <c r="G15" i="15"/>
  <c r="D16" i="15"/>
  <c r="E16" i="15"/>
  <c r="F16" i="15"/>
  <c r="G16" i="15"/>
  <c r="F17" i="15"/>
  <c r="G17" i="15"/>
  <c r="E18" i="15"/>
  <c r="F18" i="15"/>
  <c r="G18" i="15"/>
  <c r="E19" i="15"/>
  <c r="F19" i="15"/>
  <c r="G19" i="15"/>
  <c r="D20" i="15"/>
  <c r="E20" i="15"/>
  <c r="F20" i="15"/>
  <c r="G20" i="15"/>
  <c r="D21" i="15"/>
  <c r="E21" i="15"/>
  <c r="F21" i="15"/>
  <c r="G21" i="15"/>
  <c r="D22" i="15"/>
  <c r="E22" i="15"/>
  <c r="F22" i="15"/>
  <c r="G22" i="15"/>
  <c r="D23" i="15"/>
  <c r="E23" i="15"/>
  <c r="F23" i="15"/>
  <c r="G23" i="15"/>
  <c r="F24" i="15"/>
  <c r="G24" i="15"/>
  <c r="G14" i="15"/>
  <c r="F14" i="15"/>
  <c r="E14" i="15"/>
  <c r="D14" i="15"/>
  <c r="D31" i="15"/>
  <c r="E31" i="15"/>
  <c r="F31" i="15"/>
  <c r="G31" i="15"/>
  <c r="D30" i="15"/>
  <c r="E30" i="15"/>
  <c r="F30" i="15"/>
  <c r="D29" i="15"/>
  <c r="E29" i="15"/>
  <c r="F29" i="15"/>
  <c r="D28" i="15"/>
  <c r="E28" i="15"/>
  <c r="F28" i="15"/>
  <c r="D27" i="15"/>
  <c r="E27" i="15"/>
  <c r="F27" i="15"/>
  <c r="F26" i="15"/>
  <c r="E26" i="15"/>
  <c r="D26" i="15"/>
  <c r="D13" i="15"/>
  <c r="E12" i="15"/>
  <c r="D12" i="15"/>
  <c r="E11" i="15"/>
  <c r="D11" i="15"/>
  <c r="E10" i="15"/>
  <c r="D10" i="15"/>
  <c r="D4" i="15"/>
  <c r="E4" i="15"/>
  <c r="D5" i="15"/>
  <c r="E5" i="15"/>
  <c r="D6" i="15"/>
  <c r="E6" i="15"/>
  <c r="D7" i="15"/>
  <c r="E7" i="15"/>
  <c r="D8" i="15"/>
  <c r="D3" i="15"/>
  <c r="F13" i="15"/>
  <c r="F12" i="15"/>
  <c r="F11" i="15"/>
  <c r="F10" i="15"/>
  <c r="F4" i="15"/>
  <c r="F5" i="15"/>
  <c r="F6" i="15"/>
  <c r="F7" i="15"/>
  <c r="F8" i="15"/>
  <c r="F3" i="15"/>
  <c r="G9" i="15"/>
  <c r="H30" i="15"/>
  <c r="H29" i="15"/>
  <c r="H28" i="15"/>
  <c r="H27" i="15"/>
  <c r="H26" i="15"/>
  <c r="H24" i="15"/>
  <c r="H23" i="15"/>
  <c r="H22" i="15"/>
  <c r="H21" i="15"/>
  <c r="H20" i="15"/>
  <c r="H19" i="15"/>
  <c r="H18" i="15"/>
  <c r="H17" i="15"/>
  <c r="H16" i="15"/>
  <c r="H15" i="15"/>
  <c r="H5" i="15"/>
  <c r="H7" i="15"/>
  <c r="H32" i="15"/>
  <c r="H14" i="15"/>
  <c r="H33" i="15"/>
  <c r="H13" i="15"/>
  <c r="H11" i="15"/>
  <c r="H8" i="15"/>
  <c r="H6" i="15"/>
  <c r="H4" i="15"/>
  <c r="H3" i="15"/>
  <c r="C5" i="42"/>
  <c r="E2" i="42"/>
  <c r="E41" i="49"/>
  <c r="E35" i="49"/>
  <c r="N19" i="49"/>
  <c r="F41" i="49"/>
  <c r="F35" i="49"/>
  <c r="O19" i="49"/>
  <c r="G41" i="49"/>
  <c r="G35" i="49"/>
  <c r="P19" i="49"/>
  <c r="H41" i="49"/>
  <c r="H35" i="49"/>
  <c r="Q19" i="49"/>
  <c r="C27" i="51" a="1"/>
  <c r="C27" i="51"/>
  <c r="E41" i="15"/>
  <c r="N18" i="15"/>
  <c r="F41" i="15"/>
  <c r="F35" i="15"/>
  <c r="O18" i="15"/>
  <c r="G41" i="15"/>
  <c r="G35" i="15"/>
  <c r="P18" i="15"/>
  <c r="H41" i="15"/>
  <c r="H35" i="15"/>
  <c r="Q18" i="15"/>
  <c r="C26" i="51" a="1"/>
  <c r="C26" i="51"/>
  <c r="N11" i="49"/>
  <c r="N12" i="49"/>
  <c r="N14" i="49"/>
  <c r="E36" i="49"/>
  <c r="N13" i="49"/>
  <c r="N15" i="49"/>
  <c r="O11" i="49"/>
  <c r="O12" i="49"/>
  <c r="O14" i="49"/>
  <c r="F36" i="49"/>
  <c r="O13" i="49"/>
  <c r="O15" i="49"/>
  <c r="P11" i="49"/>
  <c r="P12" i="49"/>
  <c r="P14" i="49"/>
  <c r="G36" i="49"/>
  <c r="P13" i="49"/>
  <c r="P15" i="49"/>
  <c r="Q11" i="49"/>
  <c r="Q12" i="49"/>
  <c r="Q14" i="49"/>
  <c r="H36" i="49"/>
  <c r="Q13" i="49"/>
  <c r="Q15" i="49"/>
  <c r="C21" i="51" a="1"/>
  <c r="C21" i="51"/>
  <c r="O10" i="15"/>
  <c r="O11" i="15"/>
  <c r="O13" i="15"/>
  <c r="F36" i="15"/>
  <c r="O12" i="15"/>
  <c r="O14" i="15"/>
  <c r="P10" i="15"/>
  <c r="P11" i="15"/>
  <c r="P13" i="15"/>
  <c r="G36" i="15"/>
  <c r="P12" i="15"/>
  <c r="P14" i="15"/>
  <c r="Q10" i="15"/>
  <c r="Q11" i="15"/>
  <c r="Q13" i="15"/>
  <c r="H36" i="15"/>
  <c r="Q12" i="15"/>
  <c r="Q14" i="15"/>
  <c r="C20" i="51" a="1"/>
  <c r="C20" i="51"/>
  <c r="C19" i="51" a="1"/>
  <c r="C19" i="51"/>
  <c r="C18" i="51" a="1"/>
  <c r="C18" i="51"/>
  <c r="E39" i="15"/>
  <c r="N20" i="15"/>
  <c r="E43" i="15"/>
  <c r="F43" i="15"/>
  <c r="G43" i="15"/>
  <c r="H43" i="15"/>
  <c r="B48" i="51" a="1"/>
  <c r="B48" i="51"/>
  <c r="H43" i="49"/>
  <c r="G43" i="49"/>
  <c r="F43" i="49"/>
  <c r="E43" i="49"/>
  <c r="E49" i="49"/>
  <c r="F49" i="49"/>
  <c r="G49" i="49"/>
  <c r="H49" i="49"/>
  <c r="B60" i="51" a="1"/>
  <c r="B60" i="51"/>
  <c r="E49" i="15"/>
  <c r="F49" i="15"/>
  <c r="G49" i="15"/>
  <c r="H49" i="15"/>
  <c r="B59" i="51" a="1"/>
  <c r="B59" i="51"/>
  <c r="E48" i="49"/>
  <c r="F48" i="49"/>
  <c r="G48" i="49"/>
  <c r="H48" i="49"/>
  <c r="B58" i="51" a="1"/>
  <c r="B58" i="51"/>
  <c r="E48" i="15"/>
  <c r="F48" i="15"/>
  <c r="G48" i="15"/>
  <c r="H48" i="15"/>
  <c r="B57" i="51" a="1"/>
  <c r="B57" i="51"/>
  <c r="E47" i="49"/>
  <c r="F47" i="49"/>
  <c r="G47" i="49"/>
  <c r="H47" i="49"/>
  <c r="B56" i="51" a="1"/>
  <c r="B56" i="51"/>
  <c r="E47" i="15"/>
  <c r="F47" i="15"/>
  <c r="G47" i="15"/>
  <c r="H47" i="15"/>
  <c r="B55" i="51" a="1"/>
  <c r="B55" i="51"/>
  <c r="E46" i="49"/>
  <c r="F46" i="49"/>
  <c r="G46" i="49"/>
  <c r="H46" i="49"/>
  <c r="B54" i="51" a="1"/>
  <c r="B54" i="51"/>
  <c r="E46" i="15"/>
  <c r="F46" i="15"/>
  <c r="G46" i="15"/>
  <c r="H46" i="15"/>
  <c r="B53" i="51" a="1"/>
  <c r="B53" i="51"/>
  <c r="E45" i="49"/>
  <c r="F45" i="49"/>
  <c r="G45" i="49"/>
  <c r="H45" i="49"/>
  <c r="B52" i="51" a="1"/>
  <c r="B52" i="51"/>
  <c r="E45" i="15"/>
  <c r="F45" i="15"/>
  <c r="G45" i="15"/>
  <c r="H45" i="15"/>
  <c r="B51" i="51" a="1"/>
  <c r="B51" i="51"/>
  <c r="E44" i="49"/>
  <c r="F44" i="49"/>
  <c r="G44" i="49"/>
  <c r="H44" i="49"/>
  <c r="B50" i="51" a="1"/>
  <c r="B50" i="51"/>
  <c r="E44" i="15"/>
  <c r="F44" i="15"/>
  <c r="G44" i="15"/>
  <c r="H44" i="15"/>
  <c r="B49" i="51" a="1"/>
  <c r="B49" i="51"/>
  <c r="A55" i="51"/>
  <c r="B1" i="49"/>
  <c r="A56" i="51"/>
  <c r="A51" i="51"/>
  <c r="A52" i="51"/>
  <c r="A59" i="51"/>
  <c r="A60" i="51"/>
  <c r="A57" i="51"/>
  <c r="A58" i="51"/>
  <c r="A53" i="51"/>
  <c r="A54" i="51"/>
  <c r="A50" i="51"/>
  <c r="A49" i="51"/>
  <c r="D59" i="49"/>
  <c r="M7" i="49"/>
  <c r="E59" i="49"/>
  <c r="N7" i="49"/>
  <c r="F59" i="49"/>
  <c r="O7" i="49"/>
  <c r="G59" i="49"/>
  <c r="P7" i="49"/>
  <c r="H59" i="49"/>
  <c r="Q7" i="49"/>
  <c r="B7" i="51" a="1"/>
  <c r="B7" i="51"/>
  <c r="D59" i="15"/>
  <c r="M7" i="15"/>
  <c r="E59" i="15"/>
  <c r="N7" i="15"/>
  <c r="F59" i="15"/>
  <c r="O7" i="15"/>
  <c r="G59" i="15"/>
  <c r="P7" i="15"/>
  <c r="H59" i="15"/>
  <c r="Q7" i="15"/>
  <c r="B6" i="51" a="1"/>
  <c r="B6" i="51"/>
  <c r="A6" i="51"/>
  <c r="A7" i="51"/>
  <c r="D33" i="49"/>
  <c r="D51" i="49"/>
  <c r="D54" i="49"/>
  <c r="M48" i="49"/>
  <c r="E33" i="49"/>
  <c r="E51" i="49"/>
  <c r="E54" i="49"/>
  <c r="N48" i="49"/>
  <c r="F33" i="49"/>
  <c r="F51" i="49"/>
  <c r="F54" i="49"/>
  <c r="O48" i="49"/>
  <c r="G33" i="49"/>
  <c r="G51" i="49"/>
  <c r="G54" i="49"/>
  <c r="P48" i="49"/>
  <c r="H33" i="49"/>
  <c r="H51" i="49"/>
  <c r="H54" i="49"/>
  <c r="Q48" i="49"/>
  <c r="B47" i="51" a="1"/>
  <c r="B47" i="51"/>
  <c r="D33" i="15"/>
  <c r="D51" i="15"/>
  <c r="D54" i="15"/>
  <c r="M47" i="15"/>
  <c r="E33" i="15"/>
  <c r="E51" i="15"/>
  <c r="E54" i="15"/>
  <c r="N47" i="15"/>
  <c r="F33" i="15"/>
  <c r="F51" i="15"/>
  <c r="F54" i="15"/>
  <c r="O47" i="15"/>
  <c r="G33" i="15"/>
  <c r="G51" i="15"/>
  <c r="G54" i="15"/>
  <c r="P47" i="15"/>
  <c r="H51" i="15"/>
  <c r="H54" i="15"/>
  <c r="Q47" i="15"/>
  <c r="B46" i="51" a="1"/>
  <c r="B46" i="51"/>
  <c r="M46" i="49"/>
  <c r="N46" i="49"/>
  <c r="O46" i="49"/>
  <c r="P46" i="49"/>
  <c r="Q46" i="49"/>
  <c r="B45" i="51" a="1"/>
  <c r="B45" i="51"/>
  <c r="M45" i="15"/>
  <c r="N45" i="15"/>
  <c r="O45" i="15"/>
  <c r="P45" i="15"/>
  <c r="Q45" i="15"/>
  <c r="B44" i="51" a="1"/>
  <c r="B44" i="51"/>
  <c r="A42" i="51"/>
  <c r="M44" i="15"/>
  <c r="N44" i="15"/>
  <c r="O44" i="15"/>
  <c r="P44" i="15"/>
  <c r="Q44" i="15"/>
  <c r="B42" i="51" a="1"/>
  <c r="B42" i="51"/>
  <c r="A43" i="51"/>
  <c r="M45" i="49"/>
  <c r="N45" i="49"/>
  <c r="O45" i="49"/>
  <c r="P45" i="49"/>
  <c r="Q45" i="49"/>
  <c r="B43" i="51" a="1"/>
  <c r="B43" i="51"/>
  <c r="A44" i="51"/>
  <c r="A45" i="51"/>
  <c r="A46" i="51"/>
  <c r="A47" i="51"/>
  <c r="A41" i="51"/>
  <c r="D57" i="49"/>
  <c r="M43" i="49"/>
  <c r="E57" i="49"/>
  <c r="N43" i="49"/>
  <c r="F57" i="49"/>
  <c r="O43" i="49"/>
  <c r="G57" i="49"/>
  <c r="P43" i="49"/>
  <c r="H57" i="49"/>
  <c r="Q43" i="49"/>
  <c r="B41" i="51" a="1"/>
  <c r="B41" i="51"/>
  <c r="A40" i="51"/>
  <c r="D57" i="15"/>
  <c r="M42" i="15"/>
  <c r="E57" i="15"/>
  <c r="N42" i="15"/>
  <c r="F57" i="15"/>
  <c r="O42" i="15"/>
  <c r="G57" i="15"/>
  <c r="P42" i="15"/>
  <c r="H57" i="15"/>
  <c r="Q42" i="15"/>
  <c r="B40" i="51" a="1"/>
  <c r="B40" i="51"/>
  <c r="N23" i="49"/>
  <c r="E39" i="49"/>
  <c r="E42" i="49"/>
  <c r="O23" i="49"/>
  <c r="F39" i="49"/>
  <c r="F42" i="49"/>
  <c r="P23" i="49"/>
  <c r="G39" i="49"/>
  <c r="G42" i="49"/>
  <c r="Q23" i="49"/>
  <c r="B35" i="51" a="1"/>
  <c r="B35" i="51"/>
  <c r="E42" i="15"/>
  <c r="O22" i="15"/>
  <c r="F39" i="15"/>
  <c r="F42" i="15"/>
  <c r="P22" i="15"/>
  <c r="G39" i="15"/>
  <c r="G42" i="15"/>
  <c r="Q22" i="15"/>
  <c r="B34" i="51" a="1"/>
  <c r="B34" i="51"/>
  <c r="N22" i="49"/>
  <c r="O22" i="49"/>
  <c r="P22" i="49"/>
  <c r="H42" i="49"/>
  <c r="Q22" i="49"/>
  <c r="B33" i="51" a="1"/>
  <c r="B33" i="51"/>
  <c r="N21" i="15"/>
  <c r="O21" i="15"/>
  <c r="P21" i="15"/>
  <c r="H42" i="15"/>
  <c r="Q21" i="15"/>
  <c r="B32" i="51" a="1"/>
  <c r="B32" i="51"/>
  <c r="N21" i="49"/>
  <c r="O21" i="49"/>
  <c r="P21" i="49"/>
  <c r="H39" i="49"/>
  <c r="Q21" i="49"/>
  <c r="B31" i="51" a="1"/>
  <c r="B31" i="51"/>
  <c r="O20" i="15"/>
  <c r="P20" i="15"/>
  <c r="H39" i="15"/>
  <c r="Q20" i="15"/>
  <c r="B30" i="51" a="1"/>
  <c r="B30" i="51"/>
  <c r="N20" i="49"/>
  <c r="O20" i="49"/>
  <c r="P20" i="49"/>
  <c r="Q20" i="49"/>
  <c r="B29" i="51" a="1"/>
  <c r="B29" i="51"/>
  <c r="N19" i="15"/>
  <c r="O19" i="15"/>
  <c r="P19" i="15"/>
  <c r="Q19" i="15"/>
  <c r="B28" i="51" a="1"/>
  <c r="B28" i="51"/>
  <c r="M18" i="49"/>
  <c r="N18" i="49"/>
  <c r="O18" i="49"/>
  <c r="P18" i="49"/>
  <c r="Q18" i="49"/>
  <c r="B25" i="51" a="1"/>
  <c r="B25" i="51"/>
  <c r="M17" i="15"/>
  <c r="N17" i="15"/>
  <c r="O17" i="15"/>
  <c r="P17" i="15"/>
  <c r="Q17" i="15"/>
  <c r="B24" i="51" a="1"/>
  <c r="B24" i="51"/>
  <c r="D32" i="49"/>
  <c r="M17" i="49"/>
  <c r="E32" i="49"/>
  <c r="N17" i="49"/>
  <c r="F32" i="49"/>
  <c r="O17" i="49"/>
  <c r="G32" i="49"/>
  <c r="P17" i="49"/>
  <c r="H32" i="49"/>
  <c r="Q17" i="49"/>
  <c r="B23" i="51" a="1"/>
  <c r="B23" i="51"/>
  <c r="D32" i="15"/>
  <c r="M16" i="15"/>
  <c r="E32" i="15"/>
  <c r="N16" i="15"/>
  <c r="F32" i="15"/>
  <c r="O16" i="15"/>
  <c r="G32" i="15"/>
  <c r="P16" i="15"/>
  <c r="Q16" i="15"/>
  <c r="B22" i="51" a="1"/>
  <c r="B22" i="51"/>
  <c r="B17" i="51" a="1"/>
  <c r="B17" i="51"/>
  <c r="B16" i="51" a="1"/>
  <c r="B16" i="51"/>
  <c r="B15" i="51" a="1"/>
  <c r="B15" i="51"/>
  <c r="B14" i="51" a="1"/>
  <c r="B14" i="51"/>
  <c r="M11" i="49"/>
  <c r="B13" i="51" a="1"/>
  <c r="B13" i="51"/>
  <c r="M10" i="15"/>
  <c r="B12" i="51" a="1"/>
  <c r="B12" i="51"/>
  <c r="M9" i="49"/>
  <c r="N9" i="49"/>
  <c r="O9" i="49"/>
  <c r="P9" i="49"/>
  <c r="Q9" i="49"/>
  <c r="B11" i="51" a="1"/>
  <c r="B11" i="51"/>
  <c r="M9" i="15"/>
  <c r="N9" i="15"/>
  <c r="O9" i="15"/>
  <c r="P9" i="15"/>
  <c r="Q9" i="15"/>
  <c r="B10" i="51" a="1"/>
  <c r="B10" i="51"/>
  <c r="M37" i="15"/>
  <c r="N37" i="15"/>
  <c r="O37" i="15"/>
  <c r="P37" i="15"/>
  <c r="Q37" i="15"/>
  <c r="B36" i="51" a="1"/>
  <c r="B36" i="51"/>
  <c r="M38" i="49"/>
  <c r="N38" i="49"/>
  <c r="O38" i="49"/>
  <c r="P38" i="49"/>
  <c r="Q38" i="49"/>
  <c r="B37" i="51" a="1"/>
  <c r="B37" i="51"/>
  <c r="M41" i="15"/>
  <c r="N41" i="15"/>
  <c r="O41" i="15"/>
  <c r="P41" i="15"/>
  <c r="Q41" i="15"/>
  <c r="B38" i="51" a="1"/>
  <c r="B38" i="51"/>
  <c r="M42" i="49"/>
  <c r="N42" i="49"/>
  <c r="O42" i="49"/>
  <c r="P42" i="49"/>
  <c r="Q42" i="49"/>
  <c r="B39" i="51" a="1"/>
  <c r="B39" i="51"/>
  <c r="M8" i="49"/>
  <c r="N8" i="49"/>
  <c r="O8" i="49"/>
  <c r="P8" i="49"/>
  <c r="Q8" i="49"/>
  <c r="B9" i="51" a="1"/>
  <c r="B9" i="51"/>
  <c r="M8" i="15"/>
  <c r="N8" i="15"/>
  <c r="O8" i="15"/>
  <c r="P8" i="15"/>
  <c r="Q8" i="15"/>
  <c r="B8" i="51" a="1"/>
  <c r="B8" i="51"/>
  <c r="A8" i="51"/>
  <c r="A9" i="51"/>
  <c r="A10" i="51"/>
  <c r="A11" i="51"/>
  <c r="A12" i="51"/>
  <c r="A13" i="51"/>
  <c r="A14" i="51"/>
  <c r="A15" i="51"/>
  <c r="A16" i="51"/>
  <c r="A17" i="51"/>
  <c r="A18" i="51"/>
  <c r="A19" i="51"/>
  <c r="A20" i="51"/>
  <c r="A21" i="51"/>
  <c r="A22" i="51"/>
  <c r="A23" i="51"/>
  <c r="A24" i="51"/>
  <c r="A25" i="51"/>
  <c r="A26" i="51"/>
  <c r="A27" i="51"/>
  <c r="A28" i="51"/>
  <c r="A29" i="51"/>
  <c r="A30" i="51"/>
  <c r="A31" i="51"/>
  <c r="A32" i="51"/>
  <c r="A33" i="51"/>
  <c r="A34" i="51"/>
  <c r="A35" i="51"/>
  <c r="A36" i="51"/>
  <c r="A37" i="51"/>
  <c r="A38" i="51"/>
  <c r="A39" i="51"/>
  <c r="N2" i="15"/>
  <c r="D1" i="51"/>
  <c r="O2" i="15"/>
  <c r="E1" i="51"/>
  <c r="P2" i="15"/>
  <c r="F1" i="51"/>
  <c r="Q2" i="15"/>
  <c r="G1" i="51"/>
  <c r="M2" i="15"/>
  <c r="C1" i="51"/>
  <c r="D52" i="49"/>
  <c r="D53" i="49"/>
  <c r="M6" i="49"/>
  <c r="E52" i="49"/>
  <c r="E53" i="49"/>
  <c r="N6" i="49"/>
  <c r="F52" i="49"/>
  <c r="F53" i="49"/>
  <c r="O6" i="49"/>
  <c r="G52" i="49"/>
  <c r="G53" i="49"/>
  <c r="P6" i="49"/>
  <c r="H52" i="49"/>
  <c r="H53" i="49"/>
  <c r="Q6" i="49"/>
  <c r="B5" i="51" a="1"/>
  <c r="B5" i="51"/>
  <c r="D52" i="15"/>
  <c r="D53" i="15"/>
  <c r="M6" i="15"/>
  <c r="E52" i="15"/>
  <c r="E53" i="15"/>
  <c r="N6" i="15"/>
  <c r="F52" i="15"/>
  <c r="F53" i="15"/>
  <c r="O6" i="15"/>
  <c r="G52" i="15"/>
  <c r="G53" i="15"/>
  <c r="P6" i="15"/>
  <c r="H52" i="15"/>
  <c r="H53" i="15"/>
  <c r="Q6" i="15"/>
  <c r="B4" i="51" a="1"/>
  <c r="B4" i="51"/>
  <c r="A4" i="51"/>
  <c r="A5" i="51"/>
  <c r="A3" i="51"/>
  <c r="A2" i="51"/>
  <c r="M5" i="49"/>
  <c r="N5" i="49"/>
  <c r="O5" i="49"/>
  <c r="P5" i="49"/>
  <c r="Q5" i="49"/>
  <c r="B3" i="51" a="1"/>
  <c r="B3" i="51"/>
  <c r="M5" i="15"/>
  <c r="O5" i="15"/>
  <c r="P5" i="15"/>
  <c r="B2" i="51" a="1"/>
  <c r="B2" i="51"/>
  <c r="AA4" i="50"/>
  <c r="J28" i="49"/>
  <c r="I27" i="49"/>
  <c r="J23" i="49"/>
  <c r="I22" i="49"/>
  <c r="F40" i="49"/>
  <c r="J21" i="49"/>
  <c r="G38" i="49"/>
  <c r="H37" i="49"/>
  <c r="E37" i="49"/>
  <c r="F37" i="49"/>
  <c r="G37" i="49"/>
  <c r="J37" i="49"/>
  <c r="O3" i="49"/>
  <c r="N4" i="49"/>
  <c r="M4" i="49"/>
  <c r="I7" i="49"/>
  <c r="J6" i="49"/>
  <c r="Q4" i="49"/>
  <c r="Q2" i="49"/>
  <c r="P2" i="49"/>
  <c r="O2" i="49"/>
  <c r="N2" i="49"/>
  <c r="M2" i="49"/>
  <c r="P29" i="49"/>
  <c r="F38" i="49"/>
  <c r="H38" i="49"/>
  <c r="H40" i="49"/>
  <c r="N3" i="49"/>
  <c r="I28" i="49"/>
  <c r="J7" i="49"/>
  <c r="P4" i="49"/>
  <c r="O35" i="49"/>
  <c r="J8" i="49"/>
  <c r="I15" i="49"/>
  <c r="J22" i="49"/>
  <c r="O36" i="49"/>
  <c r="P36" i="49"/>
  <c r="I6" i="49"/>
  <c r="J10" i="49"/>
  <c r="I21" i="49"/>
  <c r="M35" i="49"/>
  <c r="J5" i="49"/>
  <c r="I23" i="49"/>
  <c r="N35" i="49"/>
  <c r="Q29" i="49"/>
  <c r="M3" i="49"/>
  <c r="J15" i="49"/>
  <c r="Q34" i="49"/>
  <c r="I8" i="49"/>
  <c r="J16" i="49"/>
  <c r="M36" i="49"/>
  <c r="J29" i="49"/>
  <c r="J41" i="49"/>
  <c r="J11" i="49"/>
  <c r="E38" i="49"/>
  <c r="J38" i="49"/>
  <c r="N36" i="49"/>
  <c r="E40" i="49"/>
  <c r="N27" i="49"/>
  <c r="J17" i="49"/>
  <c r="G40" i="49"/>
  <c r="P25" i="49"/>
  <c r="Q3" i="49"/>
  <c r="J25" i="49"/>
  <c r="O25" i="49"/>
  <c r="O26" i="49"/>
  <c r="N26" i="49"/>
  <c r="O31" i="49"/>
  <c r="O4" i="49"/>
  <c r="R4" i="49"/>
  <c r="F56" i="49"/>
  <c r="J14" i="49"/>
  <c r="I14" i="49"/>
  <c r="Q25" i="49"/>
  <c r="Q26" i="49"/>
  <c r="E56" i="49"/>
  <c r="J3" i="49"/>
  <c r="I3" i="49"/>
  <c r="J20" i="49"/>
  <c r="I20" i="49"/>
  <c r="J30" i="49"/>
  <c r="I30" i="49"/>
  <c r="J24" i="49"/>
  <c r="I24" i="49"/>
  <c r="O34" i="49"/>
  <c r="O27" i="49"/>
  <c r="P34" i="49"/>
  <c r="N25" i="49"/>
  <c r="O29" i="49"/>
  <c r="P35" i="49"/>
  <c r="Q36" i="49"/>
  <c r="I12" i="49"/>
  <c r="J13" i="49"/>
  <c r="I26" i="49"/>
  <c r="J27" i="49"/>
  <c r="I10" i="49"/>
  <c r="I11" i="49"/>
  <c r="J12" i="49"/>
  <c r="I25" i="49"/>
  <c r="J26" i="49"/>
  <c r="M34" i="49"/>
  <c r="N34" i="49"/>
  <c r="I13" i="49"/>
  <c r="Q35" i="49"/>
  <c r="J4" i="49"/>
  <c r="I5" i="49"/>
  <c r="G56" i="49"/>
  <c r="I16" i="49"/>
  <c r="I17" i="49"/>
  <c r="P27" i="49"/>
  <c r="I29" i="49"/>
  <c r="H56" i="49"/>
  <c r="P26" i="49"/>
  <c r="Q27" i="49"/>
  <c r="P3" i="49"/>
  <c r="R3" i="49"/>
  <c r="J40" i="49"/>
  <c r="P31" i="49"/>
  <c r="R5" i="49"/>
  <c r="J36" i="49"/>
  <c r="J39" i="49"/>
  <c r="Q30" i="49"/>
  <c r="R35" i="49"/>
  <c r="O32" i="49"/>
  <c r="Q32" i="49"/>
  <c r="R42" i="49"/>
  <c r="N40" i="49"/>
  <c r="N41" i="49"/>
  <c r="O30" i="49"/>
  <c r="J42" i="49"/>
  <c r="I9" i="49"/>
  <c r="J9" i="49"/>
  <c r="D56" i="49"/>
  <c r="P40" i="49"/>
  <c r="P41" i="49"/>
  <c r="R34" i="49"/>
  <c r="Q40" i="49"/>
  <c r="Q41" i="49"/>
  <c r="Q31" i="49"/>
  <c r="R43" i="49"/>
  <c r="I59" i="49"/>
  <c r="J35" i="49"/>
  <c r="P32" i="49"/>
  <c r="P30" i="49"/>
  <c r="R45" i="49"/>
  <c r="I54" i="49"/>
  <c r="O40" i="49"/>
  <c r="O41" i="49"/>
  <c r="H43" i="25"/>
  <c r="A47" i="25"/>
  <c r="G50" i="25"/>
  <c r="H50" i="25"/>
  <c r="R6" i="49"/>
  <c r="M41" i="49"/>
  <c r="M40" i="49"/>
  <c r="R40" i="49"/>
  <c r="R46" i="49"/>
  <c r="D2" i="25"/>
  <c r="D15" i="25"/>
  <c r="D1" i="25"/>
  <c r="C2" i="25"/>
  <c r="C20" i="25"/>
  <c r="B2" i="25"/>
  <c r="B47" i="25"/>
  <c r="C1" i="25"/>
  <c r="B1" i="25"/>
  <c r="I2" i="47"/>
  <c r="H25" i="27"/>
  <c r="F12" i="40"/>
  <c r="H26" i="27"/>
  <c r="H29" i="27"/>
  <c r="H27" i="27"/>
  <c r="H28" i="27"/>
  <c r="H12" i="27"/>
  <c r="Q1" i="39"/>
  <c r="C4" i="40"/>
  <c r="E4" i="40"/>
  <c r="F4" i="40"/>
  <c r="C6" i="41"/>
  <c r="D6" i="41"/>
  <c r="E6" i="41"/>
  <c r="F6" i="41"/>
  <c r="E7" i="40"/>
  <c r="F7" i="40"/>
  <c r="F9" i="15"/>
  <c r="C13" i="41"/>
  <c r="D13" i="41"/>
  <c r="E13" i="41"/>
  <c r="F13" i="41"/>
  <c r="D14" i="41"/>
  <c r="F14" i="41"/>
  <c r="E15" i="41"/>
  <c r="F15" i="41"/>
  <c r="D16" i="41"/>
  <c r="F16" i="41"/>
  <c r="B17" i="41"/>
  <c r="C17" i="41"/>
  <c r="D17" i="41"/>
  <c r="E17" i="41"/>
  <c r="F17" i="41"/>
  <c r="B18" i="41"/>
  <c r="C18" i="41"/>
  <c r="D18" i="41"/>
  <c r="E18" i="41"/>
  <c r="F18" i="41"/>
  <c r="C19" i="41"/>
  <c r="E19" i="41"/>
  <c r="D20" i="41"/>
  <c r="E20" i="41"/>
  <c r="C21" i="41"/>
  <c r="D21" i="41"/>
  <c r="E21" i="41"/>
  <c r="C22" i="41"/>
  <c r="D22" i="41"/>
  <c r="E22" i="41"/>
  <c r="F22" i="41"/>
  <c r="E23" i="41"/>
  <c r="C24" i="41"/>
  <c r="D24" i="41"/>
  <c r="E12" i="40"/>
  <c r="C26" i="41"/>
  <c r="C39" i="41"/>
  <c r="D26" i="41"/>
  <c r="D39" i="41"/>
  <c r="C27" i="41"/>
  <c r="E27" i="41"/>
  <c r="F27" i="41"/>
  <c r="C28" i="41"/>
  <c r="D28" i="41"/>
  <c r="E28" i="41"/>
  <c r="D29" i="41"/>
  <c r="D40" i="41"/>
  <c r="E29" i="41"/>
  <c r="E40" i="41"/>
  <c r="F29" i="41"/>
  <c r="F40" i="41"/>
  <c r="C30" i="41"/>
  <c r="D30" i="41"/>
  <c r="E30" i="41"/>
  <c r="H2" i="25"/>
  <c r="H45" i="25"/>
  <c r="I45" i="25"/>
  <c r="H44" i="25"/>
  <c r="N22" i="15"/>
  <c r="P2" i="39"/>
  <c r="P9" i="39"/>
  <c r="P3" i="39"/>
  <c r="P14" i="39"/>
  <c r="P5" i="39"/>
  <c r="P16" i="39"/>
  <c r="P6" i="39"/>
  <c r="P17" i="39"/>
  <c r="P7" i="39"/>
  <c r="P18" i="39"/>
  <c r="P4" i="39"/>
  <c r="H4" i="41"/>
  <c r="A30" i="41"/>
  <c r="A14" i="41"/>
  <c r="A15" i="41"/>
  <c r="A16" i="41"/>
  <c r="A17" i="41"/>
  <c r="A18" i="41"/>
  <c r="A19" i="41"/>
  <c r="A20" i="41"/>
  <c r="A21" i="41"/>
  <c r="A22" i="41"/>
  <c r="A23" i="41"/>
  <c r="A24" i="41"/>
  <c r="A25" i="41"/>
  <c r="A26" i="41"/>
  <c r="A27" i="41"/>
  <c r="A28" i="41"/>
  <c r="A29" i="41"/>
  <c r="A3" i="41"/>
  <c r="A4" i="41"/>
  <c r="A5" i="41"/>
  <c r="A6" i="41"/>
  <c r="A7" i="41"/>
  <c r="A8" i="41"/>
  <c r="A9" i="41"/>
  <c r="A10" i="41"/>
  <c r="A11" i="41"/>
  <c r="A12" i="41"/>
  <c r="A13" i="41"/>
  <c r="A2" i="41"/>
  <c r="A1" i="41"/>
  <c r="A3" i="40"/>
  <c r="A4" i="40"/>
  <c r="A5" i="40"/>
  <c r="A6" i="40"/>
  <c r="A7" i="40"/>
  <c r="A8" i="40"/>
  <c r="A1" i="40"/>
  <c r="H13" i="27"/>
  <c r="H14" i="27"/>
  <c r="H16" i="27"/>
  <c r="H17" i="27"/>
  <c r="H18" i="27"/>
  <c r="H19" i="27"/>
  <c r="H20" i="27"/>
  <c r="H21" i="27"/>
  <c r="H22" i="27"/>
  <c r="H23" i="27"/>
  <c r="H24" i="27"/>
  <c r="H15" i="27"/>
  <c r="H1" i="27"/>
  <c r="H3" i="27"/>
  <c r="H4" i="27"/>
  <c r="H6" i="27"/>
  <c r="H8" i="27"/>
  <c r="H11" i="27"/>
  <c r="G3" i="25"/>
  <c r="F3" i="25"/>
  <c r="E3" i="25"/>
  <c r="E9" i="15"/>
  <c r="D9" i="15"/>
  <c r="B6" i="40"/>
  <c r="J9" i="15"/>
  <c r="Q33" i="15"/>
  <c r="M1" i="41"/>
  <c r="P10" i="39"/>
  <c r="E38" i="15"/>
  <c r="B30" i="41"/>
  <c r="F19" i="41"/>
  <c r="C20" i="41"/>
  <c r="E40" i="15"/>
  <c r="N26" i="15"/>
  <c r="M33" i="15"/>
  <c r="I1" i="41"/>
  <c r="J23" i="15"/>
  <c r="J20" i="15"/>
  <c r="J28" i="15"/>
  <c r="C15" i="41"/>
  <c r="J13" i="15"/>
  <c r="J26" i="15"/>
  <c r="J16" i="15"/>
  <c r="J14" i="15"/>
  <c r="J4" i="15"/>
  <c r="B8" i="40"/>
  <c r="J11" i="15"/>
  <c r="B20" i="41"/>
  <c r="J21" i="15"/>
  <c r="B4" i="40"/>
  <c r="H4" i="40"/>
  <c r="J6" i="15"/>
  <c r="J3" i="15"/>
  <c r="I3" i="15"/>
  <c r="J30" i="15"/>
  <c r="B12" i="40"/>
  <c r="J25" i="15"/>
  <c r="B14" i="41"/>
  <c r="J15" i="15"/>
  <c r="J10" i="15"/>
  <c r="B5" i="40"/>
  <c r="J8" i="15"/>
  <c r="J5" i="15"/>
  <c r="B26" i="41"/>
  <c r="B39" i="41"/>
  <c r="J27" i="15"/>
  <c r="B21" i="41"/>
  <c r="J22" i="15"/>
  <c r="J17" i="15"/>
  <c r="J12" i="15"/>
  <c r="B6" i="41"/>
  <c r="J7" i="15"/>
  <c r="B28" i="41"/>
  <c r="J29" i="15"/>
  <c r="B23" i="41"/>
  <c r="J24" i="15"/>
  <c r="I9" i="15"/>
  <c r="P3" i="15"/>
  <c r="D9" i="40"/>
  <c r="O3" i="15"/>
  <c r="F9" i="40"/>
  <c r="Q3" i="15"/>
  <c r="C9" i="40"/>
  <c r="N3" i="15"/>
  <c r="B9" i="40"/>
  <c r="M3" i="15"/>
  <c r="D6" i="40"/>
  <c r="C6" i="40"/>
  <c r="F10" i="40"/>
  <c r="N5" i="47"/>
  <c r="D2" i="40"/>
  <c r="E2" i="40"/>
  <c r="C2" i="40"/>
  <c r="F2" i="40"/>
  <c r="F25" i="41"/>
  <c r="F38" i="41"/>
  <c r="F11" i="40"/>
  <c r="D25" i="41"/>
  <c r="D38" i="41"/>
  <c r="D11" i="40"/>
  <c r="C11" i="40"/>
  <c r="E11" i="40"/>
  <c r="B11" i="40"/>
  <c r="D12" i="41"/>
  <c r="D10" i="40"/>
  <c r="D5" i="40"/>
  <c r="B19" i="41"/>
  <c r="E11" i="41"/>
  <c r="E9" i="40"/>
  <c r="C5" i="40"/>
  <c r="D8" i="40"/>
  <c r="K2" i="47"/>
  <c r="C10" i="40"/>
  <c r="J2" i="47"/>
  <c r="B10" i="40"/>
  <c r="E8" i="40"/>
  <c r="F8" i="40"/>
  <c r="C10" i="41"/>
  <c r="C8" i="40"/>
  <c r="F7" i="41"/>
  <c r="F5" i="40"/>
  <c r="M2" i="47"/>
  <c r="E10" i="40"/>
  <c r="E5" i="40"/>
  <c r="B2" i="41"/>
  <c r="B2" i="40"/>
  <c r="F3" i="40"/>
  <c r="K7" i="41"/>
  <c r="D3" i="40"/>
  <c r="D5" i="41"/>
  <c r="D4" i="40"/>
  <c r="B3" i="40"/>
  <c r="I7" i="41"/>
  <c r="E3" i="41"/>
  <c r="L7" i="41"/>
  <c r="E3" i="40"/>
  <c r="C3" i="41"/>
  <c r="J7" i="41"/>
  <c r="C3" i="40"/>
  <c r="D9" i="41"/>
  <c r="D7" i="40"/>
  <c r="C9" i="41"/>
  <c r="C7" i="40"/>
  <c r="B9" i="41"/>
  <c r="B7" i="40"/>
  <c r="E8" i="41"/>
  <c r="E6" i="40"/>
  <c r="C7" i="25"/>
  <c r="C5" i="25"/>
  <c r="B4" i="41"/>
  <c r="B23" i="25"/>
  <c r="B8" i="41"/>
  <c r="D56" i="15"/>
  <c r="D4" i="41"/>
  <c r="F4" i="41"/>
  <c r="R2" i="39"/>
  <c r="C13" i="25"/>
  <c r="C15" i="25"/>
  <c r="U2" i="39"/>
  <c r="C21" i="25"/>
  <c r="B22" i="25"/>
  <c r="J5" i="47"/>
  <c r="B13" i="25"/>
  <c r="B21" i="25"/>
  <c r="M5" i="47"/>
  <c r="L5" i="47"/>
  <c r="K5" i="47"/>
  <c r="T2" i="39"/>
  <c r="S2" i="39"/>
  <c r="D13" i="25"/>
  <c r="F13" i="25"/>
  <c r="B6" i="25"/>
  <c r="B14" i="25"/>
  <c r="B15" i="25"/>
  <c r="C8" i="25"/>
  <c r="C22" i="25"/>
  <c r="C23" i="25"/>
  <c r="C10" i="25"/>
  <c r="C14" i="25"/>
  <c r="C18" i="25"/>
  <c r="D11" i="25"/>
  <c r="G11" i="25"/>
  <c r="B19" i="25"/>
  <c r="L2" i="47"/>
  <c r="B12" i="25"/>
  <c r="C12" i="25"/>
  <c r="B20" i="25"/>
  <c r="D14" i="25"/>
  <c r="F14" i="25"/>
  <c r="B7" i="25"/>
  <c r="J1" i="47"/>
  <c r="N1" i="47"/>
  <c r="M1" i="47"/>
  <c r="B9" i="25"/>
  <c r="C16" i="25"/>
  <c r="L1" i="47"/>
  <c r="N2" i="47"/>
  <c r="B8" i="25"/>
  <c r="B16" i="25"/>
  <c r="C9" i="25"/>
  <c r="C17" i="25"/>
  <c r="K1" i="47"/>
  <c r="B10" i="25"/>
  <c r="B18" i="25"/>
  <c r="D23" i="25"/>
  <c r="G23" i="25"/>
  <c r="C11" i="25"/>
  <c r="C6" i="25"/>
  <c r="C19" i="25"/>
  <c r="F15" i="25"/>
  <c r="E15" i="25"/>
  <c r="G15" i="25"/>
  <c r="D5" i="25"/>
  <c r="D12" i="25"/>
  <c r="D22" i="25"/>
  <c r="D10" i="25"/>
  <c r="D21" i="25"/>
  <c r="D9" i="25"/>
  <c r="D20" i="25"/>
  <c r="D8" i="25"/>
  <c r="D19" i="25"/>
  <c r="D7" i="25"/>
  <c r="D18" i="25"/>
  <c r="D6" i="25"/>
  <c r="D17" i="25"/>
  <c r="D16" i="25"/>
  <c r="B5" i="25"/>
  <c r="B11" i="25"/>
  <c r="B17" i="25"/>
  <c r="E5" i="41"/>
  <c r="B1" i="40"/>
  <c r="F1" i="41"/>
  <c r="F37" i="41"/>
  <c r="F1" i="40"/>
  <c r="K1" i="40"/>
  <c r="E1" i="40"/>
  <c r="U1" i="39"/>
  <c r="E1" i="41"/>
  <c r="E37" i="41"/>
  <c r="T1" i="39"/>
  <c r="D1" i="41"/>
  <c r="D37" i="41"/>
  <c r="D1" i="40"/>
  <c r="S1" i="39"/>
  <c r="C1" i="40"/>
  <c r="H1" i="40"/>
  <c r="F24" i="41"/>
  <c r="B11" i="41"/>
  <c r="B1" i="41"/>
  <c r="B37" i="41"/>
  <c r="F12" i="41"/>
  <c r="F3" i="41"/>
  <c r="G40" i="15"/>
  <c r="P26" i="15"/>
  <c r="R1" i="39"/>
  <c r="F30" i="41"/>
  <c r="C1" i="41"/>
  <c r="C37" i="41"/>
  <c r="E37" i="15"/>
  <c r="Q4" i="15"/>
  <c r="H40" i="15"/>
  <c r="Q26" i="15"/>
  <c r="E24" i="41"/>
  <c r="E12" i="41"/>
  <c r="C4" i="41"/>
  <c r="F5" i="41"/>
  <c r="I26" i="15"/>
  <c r="D23" i="41"/>
  <c r="D11" i="41"/>
  <c r="B3" i="41"/>
  <c r="D10" i="41"/>
  <c r="N4" i="15"/>
  <c r="O4" i="15"/>
  <c r="B27" i="41"/>
  <c r="I4" i="15"/>
  <c r="I28" i="15"/>
  <c r="I16" i="15"/>
  <c r="F56" i="15"/>
  <c r="I24" i="15"/>
  <c r="C16" i="41"/>
  <c r="B15" i="41"/>
  <c r="E25" i="41"/>
  <c r="E38" i="41"/>
  <c r="I12" i="15"/>
  <c r="I14" i="15"/>
  <c r="B25" i="41"/>
  <c r="B38" i="41"/>
  <c r="G38" i="15"/>
  <c r="P34" i="15"/>
  <c r="L2" i="41"/>
  <c r="C2" i="41"/>
  <c r="P4" i="15"/>
  <c r="E16" i="41"/>
  <c r="B7" i="41"/>
  <c r="E4" i="41"/>
  <c r="C14" i="41"/>
  <c r="M34" i="15"/>
  <c r="I2" i="41"/>
  <c r="C25" i="41"/>
  <c r="C38" i="41"/>
  <c r="I21" i="15"/>
  <c r="F26" i="41"/>
  <c r="F39" i="41"/>
  <c r="G37" i="15"/>
  <c r="F37" i="15"/>
  <c r="D15" i="41"/>
  <c r="B13" i="41"/>
  <c r="F11" i="41"/>
  <c r="D8" i="41"/>
  <c r="F23" i="41"/>
  <c r="F10" i="41"/>
  <c r="D27" i="41"/>
  <c r="C8" i="41"/>
  <c r="I7" i="15"/>
  <c r="B12" i="41"/>
  <c r="D3" i="41"/>
  <c r="E10" i="41"/>
  <c r="I29" i="15"/>
  <c r="I17" i="15"/>
  <c r="C11" i="41"/>
  <c r="I5" i="15"/>
  <c r="F20" i="41"/>
  <c r="B16" i="41"/>
  <c r="C23" i="41"/>
  <c r="F2" i="41"/>
  <c r="I27" i="15"/>
  <c r="N34" i="15"/>
  <c r="J2" i="41"/>
  <c r="F28" i="41"/>
  <c r="F38" i="15"/>
  <c r="O35" i="15"/>
  <c r="O34" i="15"/>
  <c r="K2" i="41"/>
  <c r="I13" i="15"/>
  <c r="B24" i="41"/>
  <c r="C7" i="41"/>
  <c r="O33" i="15"/>
  <c r="K1" i="41"/>
  <c r="E56" i="15"/>
  <c r="E9" i="41"/>
  <c r="D2" i="41"/>
  <c r="I23" i="15"/>
  <c r="E26" i="41"/>
  <c r="E39" i="41"/>
  <c r="I10" i="15"/>
  <c r="E2" i="41"/>
  <c r="P33" i="15"/>
  <c r="L1" i="41"/>
  <c r="E14" i="41"/>
  <c r="F40" i="15"/>
  <c r="O26" i="15"/>
  <c r="H38" i="15"/>
  <c r="I22" i="15"/>
  <c r="C12" i="41"/>
  <c r="I15" i="15"/>
  <c r="H37" i="15"/>
  <c r="Q35" i="15"/>
  <c r="C29" i="41"/>
  <c r="C40" i="41"/>
  <c r="P35" i="15"/>
  <c r="N33" i="15"/>
  <c r="J1" i="41"/>
  <c r="B29" i="41"/>
  <c r="B40" i="41"/>
  <c r="I25" i="15"/>
  <c r="D19" i="41"/>
  <c r="F21" i="41"/>
  <c r="D12" i="40"/>
  <c r="J12" i="40"/>
  <c r="N35" i="15"/>
  <c r="I11" i="15"/>
  <c r="C5" i="41"/>
  <c r="F9" i="41"/>
  <c r="C12" i="40"/>
  <c r="M35" i="15"/>
  <c r="I30" i="15"/>
  <c r="I6" i="15"/>
  <c r="M4" i="15"/>
  <c r="B5" i="41"/>
  <c r="Q34" i="15"/>
  <c r="M2" i="41"/>
  <c r="B22" i="41"/>
  <c r="E7" i="41"/>
  <c r="D7" i="41"/>
  <c r="I8" i="15"/>
  <c r="G56" i="15"/>
  <c r="B10" i="41"/>
  <c r="O28" i="15"/>
  <c r="P13" i="39"/>
  <c r="Q28" i="15"/>
  <c r="P15" i="39"/>
  <c r="P28" i="15"/>
  <c r="I20" i="15"/>
  <c r="K4" i="40"/>
  <c r="K12" i="40"/>
  <c r="H3" i="25"/>
  <c r="P11" i="39"/>
  <c r="L11" i="40"/>
  <c r="L2" i="40"/>
  <c r="L10" i="40"/>
  <c r="I6" i="40"/>
  <c r="H56" i="15"/>
  <c r="Q39" i="15"/>
  <c r="F6" i="40"/>
  <c r="L6" i="40"/>
  <c r="M6" i="40"/>
  <c r="N6" i="40"/>
  <c r="F8" i="41"/>
  <c r="N39" i="15"/>
  <c r="N40" i="15"/>
  <c r="O39" i="15"/>
  <c r="O40" i="15"/>
  <c r="M40" i="15"/>
  <c r="M39" i="15"/>
  <c r="P39" i="15"/>
  <c r="P40" i="15"/>
  <c r="L3" i="40"/>
  <c r="L9" i="40"/>
  <c r="L4" i="40"/>
  <c r="L7" i="40"/>
  <c r="L5" i="40"/>
  <c r="L8" i="40"/>
  <c r="L12" i="40"/>
  <c r="M12" i="40"/>
  <c r="N12" i="40"/>
  <c r="H6" i="40"/>
  <c r="N24" i="15"/>
  <c r="H8" i="40"/>
  <c r="H5" i="40"/>
  <c r="N25" i="15"/>
  <c r="Q2" i="40"/>
  <c r="H12" i="40"/>
  <c r="K5" i="40"/>
  <c r="H11" i="40"/>
  <c r="K2" i="40"/>
  <c r="I11" i="40"/>
  <c r="O31" i="15"/>
  <c r="I9" i="40"/>
  <c r="Q9" i="40"/>
  <c r="J9" i="40"/>
  <c r="K10" i="40"/>
  <c r="J2" i="40"/>
  <c r="J5" i="40"/>
  <c r="I59" i="15"/>
  <c r="I2" i="40"/>
  <c r="J6" i="40"/>
  <c r="J8" i="40"/>
  <c r="I54" i="15"/>
  <c r="Q5" i="40"/>
  <c r="K3" i="40"/>
  <c r="Q11" i="40"/>
  <c r="Q4" i="40"/>
  <c r="S5" i="39"/>
  <c r="R5" i="39"/>
  <c r="Q8" i="40"/>
  <c r="U5" i="39"/>
  <c r="Q10" i="40"/>
  <c r="Q5" i="39"/>
  <c r="U4" i="39"/>
  <c r="T5" i="39"/>
  <c r="Q2" i="39"/>
  <c r="Y2" i="39"/>
  <c r="R5" i="15"/>
  <c r="T7" i="39"/>
  <c r="T6" i="39"/>
  <c r="U6" i="39"/>
  <c r="U7" i="39"/>
  <c r="H2" i="40"/>
  <c r="H3" i="40"/>
  <c r="R7" i="39"/>
  <c r="R6" i="39"/>
  <c r="Q7" i="39"/>
  <c r="Q3" i="40"/>
  <c r="J4" i="40"/>
  <c r="S6" i="39"/>
  <c r="S7" i="39"/>
  <c r="Q6" i="40"/>
  <c r="Q7" i="40"/>
  <c r="J1" i="40"/>
  <c r="I1" i="40"/>
  <c r="G13" i="25"/>
  <c r="Q4" i="39"/>
  <c r="F11" i="25"/>
  <c r="M7" i="41"/>
  <c r="R7" i="41"/>
  <c r="T4" i="39"/>
  <c r="S4" i="39"/>
  <c r="I8" i="40"/>
  <c r="R4" i="39"/>
  <c r="E11" i="25"/>
  <c r="E14" i="25"/>
  <c r="E13" i="25"/>
  <c r="G14" i="25"/>
  <c r="Q13" i="39"/>
  <c r="E23" i="25"/>
  <c r="N4" i="47"/>
  <c r="N3" i="47"/>
  <c r="H6" i="25"/>
  <c r="F23" i="25"/>
  <c r="G8" i="25"/>
  <c r="E8" i="25"/>
  <c r="F8" i="25"/>
  <c r="E20" i="25"/>
  <c r="G20" i="25"/>
  <c r="F20" i="25"/>
  <c r="E9" i="25"/>
  <c r="G9" i="25"/>
  <c r="F9" i="25"/>
  <c r="E10" i="25"/>
  <c r="F10" i="25"/>
  <c r="G10" i="25"/>
  <c r="F17" i="25"/>
  <c r="E17" i="25"/>
  <c r="G17" i="25"/>
  <c r="G6" i="25"/>
  <c r="F6" i="25"/>
  <c r="E6" i="25"/>
  <c r="G12" i="25"/>
  <c r="E12" i="25"/>
  <c r="F12" i="25"/>
  <c r="G21" i="25"/>
  <c r="F21" i="25"/>
  <c r="E21" i="25"/>
  <c r="G22" i="25"/>
  <c r="F22" i="25"/>
  <c r="E22" i="25"/>
  <c r="G18" i="25"/>
  <c r="F18" i="25"/>
  <c r="E18" i="25"/>
  <c r="E5" i="25"/>
  <c r="G5" i="25"/>
  <c r="F5" i="25"/>
  <c r="G16" i="25"/>
  <c r="E16" i="25"/>
  <c r="F16" i="25"/>
  <c r="G7" i="25"/>
  <c r="F7" i="25"/>
  <c r="E7" i="25"/>
  <c r="F19" i="25"/>
  <c r="E19" i="25"/>
  <c r="G19" i="25"/>
  <c r="P24" i="15"/>
  <c r="J36" i="15"/>
  <c r="M6" i="41"/>
  <c r="I3" i="40"/>
  <c r="K6" i="40"/>
  <c r="J10" i="40"/>
  <c r="H7" i="40"/>
  <c r="K8" i="40"/>
  <c r="R4" i="15"/>
  <c r="Q24" i="15"/>
  <c r="Q31" i="15"/>
  <c r="K7" i="40"/>
  <c r="J11" i="40"/>
  <c r="P31" i="15"/>
  <c r="L4" i="41"/>
  <c r="J7" i="40"/>
  <c r="J42" i="15"/>
  <c r="M4" i="41"/>
  <c r="I7" i="40"/>
  <c r="I4" i="40"/>
  <c r="H9" i="40"/>
  <c r="J37" i="15"/>
  <c r="K9" i="40"/>
  <c r="A43" i="25"/>
  <c r="H42" i="25"/>
  <c r="H10" i="40"/>
  <c r="P25" i="15"/>
  <c r="R34" i="15"/>
  <c r="J35" i="15"/>
  <c r="J3" i="40"/>
  <c r="J40" i="15"/>
  <c r="K11" i="40"/>
  <c r="J4" i="41"/>
  <c r="Q25" i="15"/>
  <c r="J38" i="15"/>
  <c r="A50" i="25"/>
  <c r="O24" i="15"/>
  <c r="O25" i="15"/>
  <c r="R3" i="15"/>
  <c r="K4" i="41"/>
  <c r="I12" i="40"/>
  <c r="I5" i="40"/>
  <c r="J41" i="15"/>
  <c r="I10" i="40"/>
  <c r="R33" i="15"/>
  <c r="J39" i="15"/>
  <c r="I4" i="41"/>
  <c r="H16" i="25"/>
  <c r="H5" i="25"/>
  <c r="H10" i="25"/>
  <c r="H7" i="25"/>
  <c r="H19" i="25"/>
  <c r="H13" i="25"/>
  <c r="H22" i="25"/>
  <c r="H11" i="25"/>
  <c r="H17" i="25"/>
  <c r="H23" i="25"/>
  <c r="H8" i="25"/>
  <c r="H14" i="25"/>
  <c r="H20" i="25"/>
  <c r="H9" i="25"/>
  <c r="H12" i="25"/>
  <c r="H15" i="25"/>
  <c r="H18" i="25"/>
  <c r="H21" i="25"/>
  <c r="Q40" i="15"/>
  <c r="R39" i="15"/>
  <c r="R9" i="40"/>
  <c r="R6" i="40"/>
  <c r="R2" i="40"/>
  <c r="R11" i="40"/>
  <c r="R5" i="40"/>
  <c r="R8" i="40"/>
  <c r="R4" i="40"/>
  <c r="M5" i="40"/>
  <c r="N5" i="40"/>
  <c r="M11" i="40"/>
  <c r="N11" i="40"/>
  <c r="O9" i="40"/>
  <c r="P9" i="40"/>
  <c r="O4" i="40"/>
  <c r="P4" i="40"/>
  <c r="O8" i="40"/>
  <c r="P8" i="40"/>
  <c r="R10" i="40"/>
  <c r="T13" i="39"/>
  <c r="Y13" i="39"/>
  <c r="R3" i="40"/>
  <c r="R41" i="15"/>
  <c r="M10" i="40"/>
  <c r="N10" i="40"/>
  <c r="R44" i="15"/>
  <c r="M2" i="40"/>
  <c r="N2" i="40"/>
  <c r="R7" i="40"/>
  <c r="M7" i="40"/>
  <c r="N7" i="40"/>
  <c r="Q6" i="39"/>
  <c r="Y6" i="39"/>
  <c r="Q17" i="39"/>
  <c r="M3" i="40"/>
  <c r="N3" i="40"/>
  <c r="R3" i="39"/>
  <c r="R9" i="39"/>
  <c r="D50" i="25"/>
  <c r="B50" i="25"/>
  <c r="T3" i="39"/>
  <c r="T9" i="39"/>
  <c r="S3" i="39"/>
  <c r="S9" i="39"/>
  <c r="Y4" i="39"/>
  <c r="T15" i="39"/>
  <c r="T16" i="39"/>
  <c r="U3" i="39"/>
  <c r="U9" i="39"/>
  <c r="Y5" i="39"/>
  <c r="Y7" i="39"/>
  <c r="T18" i="39"/>
  <c r="Q29" i="15"/>
  <c r="P29" i="15"/>
  <c r="Q15" i="39"/>
  <c r="Q18" i="39"/>
  <c r="O10" i="40"/>
  <c r="P10" i="40"/>
  <c r="M4" i="40"/>
  <c r="N4" i="40"/>
  <c r="O2" i="40"/>
  <c r="P2" i="40"/>
  <c r="M8" i="40"/>
  <c r="N8" i="40"/>
  <c r="O6" i="40"/>
  <c r="P6" i="40"/>
  <c r="O11" i="40"/>
  <c r="P11" i="40"/>
  <c r="O12" i="40"/>
  <c r="P12" i="40"/>
  <c r="O3" i="40"/>
  <c r="P3" i="40"/>
  <c r="O5" i="40"/>
  <c r="P5" i="40"/>
  <c r="Q30" i="15"/>
  <c r="M9" i="40"/>
  <c r="N9" i="40"/>
  <c r="O30" i="15"/>
  <c r="C47" i="25"/>
  <c r="O29" i="15"/>
  <c r="C50" i="25"/>
  <c r="O7" i="40"/>
  <c r="P7" i="40"/>
  <c r="P30" i="15"/>
  <c r="R42" i="15"/>
  <c r="R45" i="15"/>
  <c r="Q16" i="39"/>
  <c r="U10" i="39"/>
  <c r="S10" i="39"/>
  <c r="R10" i="39"/>
  <c r="T10" i="39"/>
  <c r="T17" i="39"/>
  <c r="Y17" i="39"/>
  <c r="Q3" i="39"/>
  <c r="Q9" i="39"/>
  <c r="Q11" i="39"/>
  <c r="R6" i="15"/>
  <c r="Y15" i="39"/>
  <c r="Y16" i="39"/>
  <c r="Y18" i="39"/>
  <c r="D47" i="25"/>
  <c r="E47" i="25"/>
  <c r="G46" i="25"/>
  <c r="Q14" i="39"/>
  <c r="Q10" i="39"/>
  <c r="Y3" i="39"/>
  <c r="T14" i="39"/>
  <c r="Y14" i="39"/>
  <c r="U11" i="39"/>
  <c r="T11" i="39"/>
  <c r="S11" i="39"/>
  <c r="R11" i="3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tc={0026317E-2A18-4FA3-9C99-10E250E7565E}</author>
  </authors>
  <commentList>
    <comment ref="L26" authorId="0" shapeId="0" xr:uid="{0026317E-2A18-4FA3-9C99-10E250E7565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operating cash flow ratio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tc={F097345C-9793-4CCB-9CB0-B4497648CD06}</author>
  </authors>
  <commentList>
    <comment ref="L27" authorId="0" shapeId="0" xr:uid="{F097345C-9793-4CCB-9CB0-B4497648CD0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operating cash flow ratio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<sst xmlns="http://schemas.openxmlformats.org/spreadsheetml/2006/main" count="827" uniqueCount="407">
  <si>
    <t>Total Revenue</t>
  </si>
  <si>
    <t>EBITDA</t>
  </si>
  <si>
    <t>Interest Income</t>
  </si>
  <si>
    <t>EBIT</t>
  </si>
  <si>
    <t>Interest Expense</t>
  </si>
  <si>
    <t>Total Net Income</t>
  </si>
  <si>
    <t>Normalized Income</t>
  </si>
  <si>
    <t>Basic EPS - Total</t>
  </si>
  <si>
    <t>Basic EPS - Normalized</t>
  </si>
  <si>
    <t>Diluted EPS - Normalized</t>
  </si>
  <si>
    <t>Dividends Paid Per Share (DPS)</t>
  </si>
  <si>
    <t>Cash &amp; Equivalents</t>
  </si>
  <si>
    <t>Marketable Securities</t>
  </si>
  <si>
    <t>Inventories</t>
  </si>
  <si>
    <t>Total Current Assets</t>
  </si>
  <si>
    <t>Total Assets</t>
  </si>
  <si>
    <t>Total Current Liabilities</t>
  </si>
  <si>
    <t>Total Non-Current Liabilities</t>
  </si>
  <si>
    <t>Total Liabilities</t>
  </si>
  <si>
    <t>Total Equity</t>
  </si>
  <si>
    <t>Total Common Shares Out</t>
  </si>
  <si>
    <t>Net Cash From Total Operating Activities</t>
  </si>
  <si>
    <t>Net Cash From Investing Activities</t>
  </si>
  <si>
    <t>Issuance Of Debt</t>
  </si>
  <si>
    <t>Repurchase Of Capital Stock</t>
  </si>
  <si>
    <t>Net Cash From Financing Activities</t>
  </si>
  <si>
    <t>Legenda</t>
  </si>
  <si>
    <t>USD</t>
  </si>
  <si>
    <t>Średniorocznie:</t>
  </si>
  <si>
    <t>5y tot. chng:</t>
  </si>
  <si>
    <t>Pożądane wartości</t>
  </si>
  <si>
    <t>Income statement</t>
  </si>
  <si>
    <t>Przychody ze sprzedaży</t>
  </si>
  <si>
    <t>Normalizacja EPS</t>
  </si>
  <si>
    <t>=&gt; 0</t>
  </si>
  <si>
    <t>Rozwodnienie EPS</t>
  </si>
  <si>
    <t>P/E</t>
  </si>
  <si>
    <t>&lt; 20; =&gt; 0</t>
  </si>
  <si>
    <t>Stopa dywidendy</t>
  </si>
  <si>
    <t>=&gt; inf</t>
  </si>
  <si>
    <t>Zysk netto</t>
  </si>
  <si>
    <t>% zysku wypłacony w formie dywidendy</t>
  </si>
  <si>
    <t>&lt;20; 60&gt;; =&gt; min</t>
  </si>
  <si>
    <t>Znormalizowany zysk netto</t>
  </si>
  <si>
    <t>Zysk na akcję</t>
  </si>
  <si>
    <t>Znormalizowany zysk na akcję</t>
  </si>
  <si>
    <t>Rozwodniony znorm. zysk na akcję</t>
  </si>
  <si>
    <t>Dywidenda na akcję</t>
  </si>
  <si>
    <t>Balance sheet</t>
  </si>
  <si>
    <t>Gotówka</t>
  </si>
  <si>
    <t>Marża zysku netto</t>
  </si>
  <si>
    <t>Rotacja Aktywów</t>
  </si>
  <si>
    <t>Zapasy</t>
  </si>
  <si>
    <t>Mnożnik kapitału własnego</t>
  </si>
  <si>
    <t>Aktywa obrotowe</t>
  </si>
  <si>
    <t>ROA</t>
  </si>
  <si>
    <t>Aktywa ogółem</t>
  </si>
  <si>
    <t>ROE</t>
  </si>
  <si>
    <t>&gt;10; =&gt; inf</t>
  </si>
  <si>
    <t>Zadłużenie odsetkowe</t>
  </si>
  <si>
    <t>Zobowiązania bieżące</t>
  </si>
  <si>
    <t>Pokrycie odsetek zyskiem</t>
  </si>
  <si>
    <t>&gt;&gt;1</t>
  </si>
  <si>
    <t>Zobowiązania długoterminowe</t>
  </si>
  <si>
    <t>&lt;0.67</t>
  </si>
  <si>
    <t>Zobowiązania ogółem</t>
  </si>
  <si>
    <t>Zobowiązania do k. własnych</t>
  </si>
  <si>
    <t>Kapitał własny</t>
  </si>
  <si>
    <t>Debt/equity</t>
  </si>
  <si>
    <t>&lt;1</t>
  </si>
  <si>
    <t>Liczba akcji</t>
  </si>
  <si>
    <t>Struktura zobowiązań</t>
  </si>
  <si>
    <t>&lt;0.5; 1&gt;</t>
  </si>
  <si>
    <t>Cash flow statement</t>
  </si>
  <si>
    <t>Gotówka z działalności operacyjnej</t>
  </si>
  <si>
    <t>Struktura zadłużenia</t>
  </si>
  <si>
    <t>Gotówka z działalności inwestycyjnej</t>
  </si>
  <si>
    <t>Płynność bieżąca</t>
  </si>
  <si>
    <t>&lt;1.3; 2&gt;</t>
  </si>
  <si>
    <t>Płynność szybka</t>
  </si>
  <si>
    <t>~1</t>
  </si>
  <si>
    <t>Gotówka z działalności finansowej</t>
  </si>
  <si>
    <t>Wartość pożądana</t>
  </si>
  <si>
    <t>Cena przed publikacją raportu</t>
  </si>
  <si>
    <t>Wartość niepożądana</t>
  </si>
  <si>
    <t>Interest total</t>
  </si>
  <si>
    <t>Zmiany Płynności</t>
  </si>
  <si>
    <t>Inne źródła danych</t>
  </si>
  <si>
    <t>Zadłużenie netto</t>
  </si>
  <si>
    <t>Δ bieżąca</t>
  </si>
  <si>
    <t>Książkowe wartości</t>
  </si>
  <si>
    <t>Δ szybka</t>
  </si>
  <si>
    <t>Śr. Aktywa ogółem</t>
  </si>
  <si>
    <t>Śr. Kapitał własny</t>
  </si>
  <si>
    <t>Śr. Zapasy</t>
  </si>
  <si>
    <t>&gt;0; =&gt; inf</t>
  </si>
  <si>
    <t>Śr. Aktywa obrotowe</t>
  </si>
  <si>
    <t>Śr. Zadłużenie odsetkowe</t>
  </si>
  <si>
    <t>O+ I- F-</t>
  </si>
  <si>
    <t>Śr. Zob. bieżące</t>
  </si>
  <si>
    <t>Zadłużenie netto jako % kapitalizacji</t>
  </si>
  <si>
    <t>&lt;0; =&gt; (-1) inf</t>
  </si>
  <si>
    <t>Dynamika zysku netto</t>
  </si>
  <si>
    <t>Dynamika sprzedaży</t>
  </si>
  <si>
    <t>Normalizacja jako % sprzedaży</t>
  </si>
  <si>
    <t>Dynamika znorm. zysku na akcję</t>
  </si>
  <si>
    <t>Dynamika dywidendy</t>
  </si>
  <si>
    <t>Dynamika $ z DO</t>
  </si>
  <si>
    <t>Dynamika EBITDA</t>
  </si>
  <si>
    <t>Zadłużenie netto na akcję</t>
  </si>
  <si>
    <t>Cena akcji + zadłużenie netto</t>
  </si>
  <si>
    <t>NEPS exc interest inc.</t>
  </si>
  <si>
    <t xml:space="preserve">Znorm. Z. netto - Z. netto </t>
  </si>
  <si>
    <t>Cash from operations per share</t>
  </si>
  <si>
    <t>Cena 2020</t>
  </si>
  <si>
    <t>Instrukcja</t>
  </si>
  <si>
    <t>EPS na rok:</t>
  </si>
  <si>
    <t>Komórki B2:D2</t>
  </si>
  <si>
    <t>Prognozowany EPS dla spółki na kolejne lata na z https://www.nasdaq.com/market-activity/stocks/amzn/earnings</t>
  </si>
  <si>
    <t>Dzielnik</t>
  </si>
  <si>
    <t>Komórki E2:G2</t>
  </si>
  <si>
    <t>Oczekiwana średnioroczna stopa zwrotu</t>
  </si>
  <si>
    <t>PE</t>
  </si>
  <si>
    <t>Cena na rok (wiersz pierwszy)</t>
  </si>
  <si>
    <t>Max cena kupna wymagana dla osiągnięcia określonej w wierszu drugim średniorocznej stopy zwrotu</t>
  </si>
  <si>
    <t>Komórki E3:G3</t>
  </si>
  <si>
    <t>Całkowita stopa zwrotu z inwestycji po X latach (w tym wypadku 2)</t>
  </si>
  <si>
    <t>Kolumny B, C, D</t>
  </si>
  <si>
    <t>Szacowana cena akcji spółki w danym roku (B1:D1) przy założeniu osiągnięcia założonego EPS (B2:D2) i PE z kolumny A</t>
  </si>
  <si>
    <t>Kolumny E, F, G</t>
  </si>
  <si>
    <t>Maksymalna cena po jakiej można kupić akcje spółki DZISIAJ aby osiągnąć założoną stopę zwrotu (E3:G3) w szacowanym okresie przy założeniu, że spółka dowiezie prognozy</t>
  </si>
  <si>
    <t>Przykład</t>
  </si>
  <si>
    <t>Zakładając, że</t>
  </si>
  <si>
    <t>AMZN dowiezie szacowany EPS w wysokości 63.03 w 2023</t>
  </si>
  <si>
    <t>Bieżące PE</t>
  </si>
  <si>
    <t>PE spadnie z bieżącego 90 do 75</t>
  </si>
  <si>
    <t>Wycena agresywna zakłada ekspansję PE</t>
  </si>
  <si>
    <t>oraz oczekiwanej stopie zwrotu na poziomie 20% średniorocznie przez kolejne 2 lata</t>
  </si>
  <si>
    <t>maksymalna cena jaką można dzisiaj zapłacić za akcje spółki znajduje się w komórce G8 i wynosi 3282.81</t>
  </si>
  <si>
    <t>Średnie PE z ostatnich 5 lat</t>
  </si>
  <si>
    <t>Średnia</t>
  </si>
  <si>
    <t>Śr. Zobowiązania ogółem</t>
  </si>
  <si>
    <t>&gt;1</t>
  </si>
  <si>
    <t>Zadłużenie krótkoterminowe</t>
  </si>
  <si>
    <t>Zadłużenie długoterminowe</t>
  </si>
  <si>
    <t>Long Term Debt</t>
  </si>
  <si>
    <t>Shor Term Debt</t>
  </si>
  <si>
    <t>Emisja/umorzenie długu</t>
  </si>
  <si>
    <t>Emisja/umorzenie akcji własnych</t>
  </si>
  <si>
    <t>Nadwyżka cash O nad I + F - em./um. długu</t>
  </si>
  <si>
    <t>Nadwyżka cash O nad I + F - em./um. długu - em./um. akcji</t>
  </si>
  <si>
    <t>Ogólne zadłużenie</t>
  </si>
  <si>
    <t>Short-Term Debt + Long-Term Debt</t>
  </si>
  <si>
    <t>Śr. Zobowiązania długoterminowe</t>
  </si>
  <si>
    <t>Suma</t>
  </si>
  <si>
    <t>P/EBITDA</t>
  </si>
  <si>
    <t>EBITDA na akcję</t>
  </si>
  <si>
    <t>&lt; 30; =&gt; 0; &lt;40 jeżeli wiesz co robisz</t>
  </si>
  <si>
    <t>zmiana, któa przybliża bieżącą do przedziału &lt;1.3, 2&gt;</t>
  </si>
  <si>
    <t>zmiana, która zwiększa gotówkową</t>
  </si>
  <si>
    <t>zmiana, która przybliża szybką do 1</t>
  </si>
  <si>
    <t>©Bartek Szyma 2021</t>
  </si>
  <si>
    <t>Data</t>
  </si>
  <si>
    <t>Wycena ostrożnościowa zakłada kontrakcję PE</t>
  </si>
  <si>
    <t>P/CFO</t>
  </si>
  <si>
    <t>Ok</t>
  </si>
  <si>
    <t>Cel</t>
  </si>
  <si>
    <t>Źle</t>
  </si>
  <si>
    <t>Dobrze</t>
  </si>
  <si>
    <t>P/CFO ex. $</t>
  </si>
  <si>
    <t>P/EBITDA ex. $</t>
  </si>
  <si>
    <t>P/E exc. $</t>
  </si>
  <si>
    <t>Atrakcyjność max P/Metric = 40</t>
  </si>
  <si>
    <t>Atrakcyjność % od 5y min + % od 5yr avg</t>
  </si>
  <si>
    <t>CFO</t>
  </si>
  <si>
    <t>DPS</t>
  </si>
  <si>
    <t>Revenue</t>
  </si>
  <si>
    <t>CAGR</t>
  </si>
  <si>
    <t>35%-CAGR</t>
  </si>
  <si>
    <t>EPS. N. D.</t>
  </si>
  <si>
    <t>Neg Value</t>
  </si>
  <si>
    <t>Pos value</t>
  </si>
  <si>
    <t>CFO surp.-Db.-St.</t>
  </si>
  <si>
    <t>CFO surp.-Db</t>
  </si>
  <si>
    <t>Total Shares</t>
  </si>
  <si>
    <t>Debt/EBITDA</t>
  </si>
  <si>
    <t>&lt;3</t>
  </si>
  <si>
    <t>&gt; 0</t>
  </si>
  <si>
    <t>Max osi pomocniczej</t>
  </si>
  <si>
    <t>Slider:</t>
  </si>
  <si>
    <t>Średnie PE 5y</t>
  </si>
  <si>
    <t>Skąd brać dane (darmowe źródła)</t>
  </si>
  <si>
    <t>Portal</t>
  </si>
  <si>
    <t>Nazwa pola</t>
  </si>
  <si>
    <t>Nazwa sprawozdania</t>
  </si>
  <si>
    <t>Nazwa w arkuszu</t>
  </si>
  <si>
    <t>Uwagi</t>
  </si>
  <si>
    <t>MT</t>
  </si>
  <si>
    <t>Income Statement</t>
  </si>
  <si>
    <t>SA</t>
  </si>
  <si>
    <t>Interest And Investment Income</t>
  </si>
  <si>
    <t>Net income</t>
  </si>
  <si>
    <t>Normalized Net Income</t>
  </si>
  <si>
    <t>Basic EPS</t>
  </si>
  <si>
    <t>Normalized Basic EPS</t>
  </si>
  <si>
    <t>W przypadku wartości znormalizowanych wolimy EPS excluding non recurring items, niestety darmowe screenery takowych nie zawierają. Jako najlepszy zamiennik możemy użyć normalized EPS</t>
  </si>
  <si>
    <t>Normalized Diluted EPS</t>
  </si>
  <si>
    <t>Common Stock Dividends Paid</t>
  </si>
  <si>
    <t>Cash on Hand</t>
  </si>
  <si>
    <t>Balance Sheet</t>
  </si>
  <si>
    <t>Tylko macrotrends, wartość o znikomym znaczeniu gdy firma ma ujemne zadłużenie netto</t>
  </si>
  <si>
    <t>Current Portion of LT Debt</t>
  </si>
  <si>
    <t>Wartość wyliczana z dwóch poprzednich</t>
  </si>
  <si>
    <t>Total Long Term Liabilities</t>
  </si>
  <si>
    <t>Share Holder Equity</t>
  </si>
  <si>
    <t>Shares Outstanding</t>
  </si>
  <si>
    <t>Cash Flow From Operating Activities</t>
  </si>
  <si>
    <t>Cash Flow Statement</t>
  </si>
  <si>
    <t>Cash Flow From Investing Activities</t>
  </si>
  <si>
    <t>Debt Issuance/Retirement Net</t>
  </si>
  <si>
    <t>Net Total Equity Issued/Repurchased</t>
  </si>
  <si>
    <t>Repurchase/Issuance Of Capital Stock</t>
  </si>
  <si>
    <t>Cash Flow From Financing Activities</t>
  </si>
  <si>
    <t>MT: macrotrends.net</t>
  </si>
  <si>
    <t>SA: seekingalpha.com</t>
  </si>
  <si>
    <t>CFI</t>
  </si>
  <si>
    <t>CFF</t>
  </si>
  <si>
    <t>Dane:</t>
  </si>
  <si>
    <t>Porównanie do historii spółki</t>
  </si>
  <si>
    <t>Porównanie do klasycznych wartości</t>
  </si>
  <si>
    <t>Total Revenue:</t>
  </si>
  <si>
    <t>EBITDA:</t>
  </si>
  <si>
    <t>Interest Income:</t>
  </si>
  <si>
    <t>EBIT:</t>
  </si>
  <si>
    <t>Interest Expense:</t>
  </si>
  <si>
    <t>Total Net Income:</t>
  </si>
  <si>
    <t>Normalized Income:</t>
  </si>
  <si>
    <t>Basic EPS - Total:</t>
  </si>
  <si>
    <t>Basic EPS - Normalized:</t>
  </si>
  <si>
    <t>Diluted EPS - Normalized:</t>
  </si>
  <si>
    <t>Dividends Paid Per Share (DPS):</t>
  </si>
  <si>
    <t>Cash &amp; Equivalents:</t>
  </si>
  <si>
    <t>Inventories:</t>
  </si>
  <si>
    <t>Total Current Assets:</t>
  </si>
  <si>
    <t>Total Assets:</t>
  </si>
  <si>
    <t>Total Current Liabilities:</t>
  </si>
  <si>
    <t>Total Non-Current Liabilities:</t>
  </si>
  <si>
    <t>Total Liabilities:</t>
  </si>
  <si>
    <t>Total Equity:</t>
  </si>
  <si>
    <t>Total Common Shares Out:</t>
  </si>
  <si>
    <t>Net Cash From Total Operating Activities:</t>
  </si>
  <si>
    <t>Net Cash From Investing Activities:</t>
  </si>
  <si>
    <t>Issuance Of Debt:</t>
  </si>
  <si>
    <t>Repurchase Of Capital Stock:</t>
  </si>
  <si>
    <t>Net Cash From Financing Activities:</t>
  </si>
  <si>
    <t>Cena:</t>
  </si>
  <si>
    <t>Shor Term Debt::</t>
  </si>
  <si>
    <t>Long Term Debt::</t>
  </si>
  <si>
    <t>Short-Term Debt + Long-Term Debt::</t>
  </si>
  <si>
    <t>Skąd brać dane (usstocks)</t>
  </si>
  <si>
    <t>token</t>
  </si>
  <si>
    <t>Jak czytać dashboard</t>
  </si>
  <si>
    <t xml:space="preserve">Zaczynając od rzeczy oczywistych </t>
  </si>
  <si>
    <t>Porządane wartości wskaźnika - szara skala (im ciemniejszy szary tym lepsza wartość wskaźnika)</t>
  </si>
  <si>
    <t>Ta część zawiera 4 istotne informacje:</t>
  </si>
  <si>
    <t>Bieżący poziom wskaźników PE ex cash, P/CFO ex cash, P/EBITDA ex cash - fioletowy słupek</t>
  </si>
  <si>
    <t>Minimalny poziom wskaźnika w ostatnich pięciu latach - biała, pionowa kreska</t>
  </si>
  <si>
    <t>Na wykresie widać przebieg wskażników PE/ P/CFO i P/EBITDA w czasie. Dodatkowo biała przerywana linia pokazuje średnią dla wskaźnika wybranego w pierwszej kontrolce (tutaj PE)</t>
  </si>
  <si>
    <t>Ten wykres pozwala ocenić dynamiki podstawowych parametrów:</t>
  </si>
  <si>
    <t>W przypadku pierwszych czterech wysokie dodatnie dynamiki są pożądane, w przypadku liczby akcji pozytywna jest dynamika ujemna bo oznacza, że w obrocie z roku na rok jest coraz mniej akcji</t>
  </si>
  <si>
    <t>Wartości pozytywne zaznaczone są na wykresie na niebiesko, a negatywne na czerwono</t>
  </si>
  <si>
    <t xml:space="preserve">1. Klasycznym - gdzie założeniem jest max akceptowalny poziom wskaźnika = 40 i każdy punkt poniżej 40 podwyższa wynik o 2.5% </t>
  </si>
  <si>
    <t>2. Historycznym - porównujemy wskaźnik do historycznych wartości dla spółki oraz do odległości od średniej - de facto "nagradzając" spółkę za to, że dane wskaźniki są najniżej w hostorii (ocena - im niżej tym lepiej)</t>
  </si>
  <si>
    <t>Na "pajączku" możemy ocenić atrakcyjność mnożnika PE, P/CFO i P/EBITDA w dwóch wariantach:</t>
  </si>
  <si>
    <t>Ta część pozwala nam sporrządzić szybką symulację wyceny zakładając, że:</t>
  </si>
  <si>
    <t>Oczekujemy średniorocznej stopy zwrotu na poziomie</t>
  </si>
  <si>
    <t>a wskaźnik PE osiągnie wartość:</t>
  </si>
  <si>
    <t xml:space="preserve">w latach </t>
  </si>
  <si>
    <t>to dzisiaj możemy zapłacić maksymalnie za akcje spółki aby wygenerować oczekiwany zwrot</t>
  </si>
  <si>
    <t>nasza wycena jest konserwatywna jeżeli niebieskie słupki są niżej na wykresie niż fioletowe i agresywna w przeciwnym przypadku</t>
  </si>
  <si>
    <t>Ostatnia część to podsumowanie parametrów jakościowych dla spółki</t>
  </si>
  <si>
    <t>Nadwyżka CFO nad CFI i CFF (pomniejszone w pierwszym wariancie o emisję nowego długu - niebieski słupek, a w drugi emisję długu i akcji - fioletowy) mówi nam o tym, czy spółka jest w stanie sama się finansować. Wartości dodatnie są dobrym znakiem, ujemne nie są złym - świadczą po prostu o tym, że spółka nie należy do elity elit</t>
  </si>
  <si>
    <t>Zadłużenie netto - ujemna wartość oznacza, że spółka jest  stanie spłacić całe zadłużenie gotówką i krótkoterminowymi papierami wartościowymi. Ponownie - gdy zadłużenie netto jest ujemne to świetnie, w przeciwnym razie nie ma olbrzymiego problemu. 99% spółek będzie miało ZN dodatnie</t>
  </si>
  <si>
    <t>Struktura cashflow statementu. Dojrzałe przedsiębiorstwa generują cash na poziomie działalności operacyjnej a "palą" go w działalności finansowej i inwestycyjnej. Startupy z kolei do firmy "wprowadzają" cash działalnością finansową (pożyczki, emisje), a palą w inwestycyjnej i operacyjnej. Tabelka pozwala zorientować się, do jakiej grupy należy analizowana spółka</t>
  </si>
  <si>
    <t>Debt/Ebitda - wskaźnik ostrożnościowy pokazujący zdolność spółki do obsługi zadłużenia. Wartość 3 i więcej jest już niebezpieczna. Okolice jedynki są uważane za optymalne</t>
  </si>
  <si>
    <t xml:space="preserve">Np. Klasycznie PE na poziomie &gt; 20 uważane jest za mało atrakcyjne </t>
  </si>
  <si>
    <t>Taki poziom PE otrzyma (40-20)*2.5% czyli 50% ponieważ znajduje się w połowie akceptowalnego przedziału. Mimo iż mało prawdopodobne jest znalezienie spółki z PE bliskim 0, to trzeba pamiętać, że trafiają się takie z PE &lt; 3 (patrz UNM w 2020)</t>
  </si>
  <si>
    <t>Np. dla PE za ostatnie trzy lata = [10, 10, 5], wskaźnik zostanie uznany za maksymalnie atrakcyjny</t>
  </si>
  <si>
    <t>Historyczna wycena przyznaje do 66% jeżeli wskaźnik jest obecnie na historycznym minimum oraz do 33% jeżeli jest 50% poniżej 5-cio letniej średniej</t>
  </si>
  <si>
    <t xml:space="preserve">link do pobrania danych </t>
  </si>
  <si>
    <t>Dane z Income tatement sumujemy za ostatnie 4 kwartały i wyliczona wartość będzie wartością TTM</t>
  </si>
  <si>
    <t>W przypadku danych bilansowych wykorzystujemy wartości dostępne w ostatnim kwartale</t>
  </si>
  <si>
    <t>Dane z rachunku przepływów, podobnie, jak z income statementu, musimy zsumować aby itrzymać poprawne wartości</t>
  </si>
  <si>
    <t>Nie modyfikować komórek poniżej tego pola!!</t>
  </si>
  <si>
    <t>Gdzie wpisywać dane</t>
  </si>
  <si>
    <t>Tutaj wpisz ticker spółki:</t>
  </si>
  <si>
    <t>link do pobrania danych:</t>
  </si>
  <si>
    <t>skopiuj i wklej do przeglądarki</t>
  </si>
  <si>
    <t>Modyfikacja innych arkuszy może prowadzić do wadliwego działania całego skoroszytu!</t>
  </si>
  <si>
    <t>Jeżeli nie potrzebujesz instrukcji zawartych w arkuszu Jak ręcznie generować TTM, możesz go bezpiecznie usunąć</t>
  </si>
  <si>
    <r>
      <t xml:space="preserve">Jedyne miejsce, które należy modyfikować to arkusz </t>
    </r>
    <r>
      <rPr>
        <b/>
        <sz val="11"/>
        <rFont val="Calibri"/>
        <family val="2"/>
        <charset val="238"/>
        <scheme val="minor"/>
      </rPr>
      <t>Dane</t>
    </r>
  </si>
  <si>
    <t>Nr kolumny dla wyszukaj.pionowo</t>
  </si>
  <si>
    <t>Nr wiersza dla dopasowania z formatki</t>
  </si>
  <si>
    <t>Dany wskaźnik jest przewartościowany (sytuacja gdy fioletowy słupek wychodzi poza szarą część)</t>
  </si>
  <si>
    <t>sprzedaży, ebitda, zysku rozwodnionego znormalizowanego (EPS N. D.), gotówki z działalności operacyjnej, CFO, oraz skupu/emisji akcji</t>
  </si>
  <si>
    <t>Dividend Payout Ratio</t>
  </si>
  <si>
    <t>CAGR 5y</t>
  </si>
  <si>
    <t>CAGR 3y</t>
  </si>
  <si>
    <t>TTM</t>
  </si>
  <si>
    <t>https://usstocks.pl/dividends/public/data/</t>
  </si>
  <si>
    <t>?token=</t>
  </si>
  <si>
    <t>Zmiana formatowania: Wybrane dane i wskaźniki E-H 44-49 na procentowe</t>
  </si>
  <si>
    <t>Tekst do labelki</t>
  </si>
  <si>
    <t>Wzrost: jeżeli wartość początkowa jest &lt;= 0, brana jest wartość z kolejnego roku, a CAGR jest liczony dla krószego o rok okresu</t>
  </si>
  <si>
    <t>Debt ex cash/EBITDA</t>
  </si>
  <si>
    <t>Jeżeli P/CFO i P/EBITDA są mniejsze od zera, przyjmujemy wartość = 0, Wybrane dane i wskaźniki M-Q 40-44</t>
  </si>
  <si>
    <t>Jeżeli Debt/Ebitda &lt; 0 przyjmujemy 0, Wybrane dane i wskaźniki M-Q 40-44</t>
  </si>
  <si>
    <t>Jeżeli zysk, ebitda lub $ z DO są ujemne w jednym roku, przyjmujemy wartość dynamiki = 0%, Wybrane dane i wskaźniki E-H 44-49</t>
  </si>
  <si>
    <t>Jeżeli CAGR dla któregoś ze wskaźników jest liczony dla krótszego okresu, zostanie wyświetlona informacja na dashboardzie, Dashboard etykiety wykresów kołowych</t>
  </si>
  <si>
    <t>Średnia wskaźników P/E, P/CFO, P/EBITDA nie uwzględnia wartości &lt;= 0. Do obliczeń brane są tylko wartości dodatnie wskaźników. Mnożniki ceny Q-U 11</t>
  </si>
  <si>
    <t>Sprzedaż na akcję</t>
  </si>
  <si>
    <t>Poprawki w sytuacji ujemnych wartości CFO i dodatnich CFF</t>
  </si>
  <si>
    <t>Marża zysku netto na zysku znormalizowanym, a nie zwykłym</t>
  </si>
  <si>
    <t>Adekwatność gotówkowa</t>
  </si>
  <si>
    <t>Δ adekwatność</t>
  </si>
  <si>
    <t>Normalizacja liczona jako EPS diluted normalized / EPS basic</t>
  </si>
  <si>
    <t>Mnożnik PE w zakresie 0-100</t>
  </si>
  <si>
    <t>Poprawka do wyliczania wskaźnika "Pokrycie odsetek zyskiem". Przesunięcie komórek o 1 w prawo, plus poprawa formatowania formuły (było czerw. Dla wsk &gt; 3, jest dla wsk &lt; 1)</t>
  </si>
  <si>
    <t>Zmiana renderowania etykiety CFO</t>
  </si>
  <si>
    <t>Liczba 35% (dla uniknięcia problemów z excelami ustawionymi na notację europejską)</t>
  </si>
  <si>
    <t>Liczba 20% j.w.</t>
  </si>
  <si>
    <t>Liczba 2% j.w.</t>
  </si>
  <si>
    <t>Zmiana sposobu obliczania formuły 35% - CAGR "Wzrost" - obecnie 35% podawane jest jako parametr co powinno załatwić sprawę arkuszy ustawionych do pracy z notacją europejską</t>
  </si>
  <si>
    <r>
      <t xml:space="preserve">Interest income oraz interest expense można znaleźć zbiorczo w SA jako </t>
    </r>
    <r>
      <rPr>
        <b/>
        <sz val="11"/>
        <color theme="1"/>
        <rFont val="Calibri"/>
        <family val="2"/>
        <charset val="238"/>
        <scheme val="minor"/>
      </rPr>
      <t xml:space="preserve">Net Interest Expenses </t>
    </r>
    <r>
      <rPr>
        <sz val="11"/>
        <color theme="1"/>
        <rFont val="Calibri"/>
        <family val="2"/>
        <charset val="238"/>
        <scheme val="minor"/>
      </rPr>
      <t>i ta wartość wystarczy - wypełniamy wtedy tylko Interest Expense</t>
    </r>
  </si>
  <si>
    <t>Dodany monit o zmianę notacji - Dane K1</t>
  </si>
  <si>
    <t>Total Net Income ex OF:</t>
  </si>
  <si>
    <t>EPS basic:</t>
  </si>
  <si>
    <t>EPS diluted:</t>
  </si>
  <si>
    <t>EPS ex OF, diluted:</t>
  </si>
  <si>
    <t>Dividend:</t>
  </si>
  <si>
    <t>Cash, equivalents and marketable securities:</t>
  </si>
  <si>
    <t>Total current assets:</t>
  </si>
  <si>
    <t>Total assets:</t>
  </si>
  <si>
    <t>Total current liabilities:</t>
  </si>
  <si>
    <t>Total long term liabilities:</t>
  </si>
  <si>
    <t>Total liabilities:</t>
  </si>
  <si>
    <t>Total equity:</t>
  </si>
  <si>
    <t>Shares outstanding:</t>
  </si>
  <si>
    <t>Cash from operations:</t>
  </si>
  <si>
    <t>Cash from investing:</t>
  </si>
  <si>
    <t>Net debt issuance:</t>
  </si>
  <si>
    <t>Net Stocks Repurchase:</t>
  </si>
  <si>
    <t>Cash from financing:</t>
  </si>
  <si>
    <t>Stock price:</t>
  </si>
  <si>
    <t>Estimates:</t>
  </si>
  <si>
    <t>Date:</t>
  </si>
  <si>
    <t xml:space="preserve">Poprawka w liczeniu CAGR </t>
  </si>
  <si>
    <t>Przychody odsetkowe</t>
  </si>
  <si>
    <t>Koszty odsetkowe</t>
  </si>
  <si>
    <t>Normalizacja jako % zysku zaraportowanego</t>
  </si>
  <si>
    <t>Zmiana sposobu liczenia Znormalizowanego zysku netto - od tej wersji liczony jest jako iloczyn znormalizowanego EPS i liczby akcji w danym okresie</t>
  </si>
  <si>
    <t>Dodatkowa miara i wykres: Normalizacja jako % zysku zaraportowanego</t>
  </si>
  <si>
    <t>2017-12</t>
  </si>
  <si>
    <t>2018-12</t>
  </si>
  <si>
    <t>2019-12</t>
  </si>
  <si>
    <t>2020-12</t>
  </si>
  <si>
    <t>2021-12</t>
  </si>
  <si>
    <t>2022-12</t>
  </si>
  <si>
    <t>2023-12</t>
  </si>
  <si>
    <t>ustawienia regionalne:</t>
  </si>
  <si>
    <t>Annual Data</t>
  </si>
  <si>
    <t>Short term debt &amp; lease obligations:</t>
  </si>
  <si>
    <t>Long term debt &amp; lease obligations:</t>
  </si>
  <si>
    <t>Total debt &amp; lease obligations:</t>
  </si>
  <si>
    <t>2024-12</t>
  </si>
  <si>
    <t>Free Cash Flow</t>
  </si>
  <si>
    <t>Quarterly Data</t>
  </si>
  <si>
    <t>2016-09</t>
  </si>
  <si>
    <t>2016-12</t>
  </si>
  <si>
    <t>2017-03</t>
  </si>
  <si>
    <t>2017-06</t>
  </si>
  <si>
    <t>2017-09</t>
  </si>
  <si>
    <t>2018-03</t>
  </si>
  <si>
    <t>2018-06</t>
  </si>
  <si>
    <t>2018-09</t>
  </si>
  <si>
    <t>2019-03</t>
  </si>
  <si>
    <t>2019-06</t>
  </si>
  <si>
    <t>2019-09</t>
  </si>
  <si>
    <t>2020-03</t>
  </si>
  <si>
    <t>2020-06</t>
  </si>
  <si>
    <t>2020-09</t>
  </si>
  <si>
    <t>2021-03</t>
  </si>
  <si>
    <t>2021-06</t>
  </si>
  <si>
    <t>2021-09</t>
  </si>
  <si>
    <t>2022-03</t>
  </si>
  <si>
    <t>P/S</t>
  </si>
  <si>
    <t>spółka do analizy (ticker)</t>
  </si>
  <si>
    <t>2022-06</t>
  </si>
  <si>
    <t>Dane liczą się jako pełne 5x TTM</t>
  </si>
  <si>
    <t>Dodano możliwość porównania dwóch spółek</t>
  </si>
  <si>
    <t>pep</t>
  </si>
  <si>
    <t>en</t>
  </si>
  <si>
    <t>Zmiana l. akcji r/r</t>
  </si>
  <si>
    <t>FCF ps</t>
  </si>
  <si>
    <t>FCF ps / share price</t>
  </si>
  <si>
    <t>csv</t>
  </si>
  <si>
    <t>2022-09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</si>
</sst>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z_ł_-;\-* #,##0.00\ _z_ł_-;_-* &quot;-&quot;??\ _z_ł_-;_-@_-"/>
    <numFmt numFmtId="165" formatCode="0.0000"/>
    <numFmt numFmtId="166" formatCode="#,##0.0"/>
    <numFmt numFmtId="167" formatCode="0.0"/>
    <numFmt numFmtId="168" formatCode="0.0%"/>
  </numFmts>
  <fonts count="23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indexed="8"/>
      <name val="Czcionka tekstu podstawowego"/>
      <family val="2"/>
      <charset val="238"/>
    </font>
    <font>
      <sz val="11"/>
      <color rgb="FFFF00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0"/>
      <name val="Wingdings 3"/>
      <family val="1"/>
      <charset val="2"/>
    </font>
    <font>
      <b/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theme="0" tint="-4.9989318521683403E-2"/>
      <name val="Calibri"/>
      <family val="2"/>
      <charset val="238"/>
      <scheme val="minor"/>
    </font>
    <font>
      <sz val="12"/>
      <color theme="0" tint="-4.9989318521683403E-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9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8" fillId="9" borderId="0" applyNumberFormat="0" applyBorder="0" applyAlignment="0" applyProtection="0"/>
    <xf numFmtId="0" fontId="21" fillId="0" borderId="0"/>
  </cellStyleXfs>
  <cellXfs count="145">
    <xf numFmtId="0" fontId="0" fillId="0" borderId="0" xfId="0"/>
    <xf numFmtId="4" fontId="0" fillId="0" borderId="0" xfId="0" applyNumberFormat="1"/>
    <xf numFmtId="10" fontId="0" fillId="0" borderId="0" xfId="1" applyNumberFormat="1" applyFont="1" applyFill="1"/>
    <xf numFmtId="0" fontId="0" fillId="3" borderId="0" xfId="0" applyFill="1"/>
    <xf numFmtId="4" fontId="3" fillId="0" borderId="0" xfId="0" applyNumberFormat="1" applyFont="1"/>
    <xf numFmtId="10" fontId="0" fillId="0" borderId="0" xfId="0" applyNumberFormat="1"/>
    <xf numFmtId="2" fontId="0" fillId="0" borderId="0" xfId="0" applyNumberFormat="1"/>
    <xf numFmtId="0" fontId="3" fillId="0" borderId="0" xfId="0" applyFont="1"/>
    <xf numFmtId="0" fontId="3" fillId="3" borderId="0" xfId="0" applyFont="1" applyFill="1"/>
    <xf numFmtId="4" fontId="0" fillId="0" borderId="0" xfId="0" applyNumberFormat="1" applyAlignment="1">
      <alignment horizontal="right"/>
    </xf>
    <xf numFmtId="10" fontId="0" fillId="0" borderId="0" xfId="1" applyNumberFormat="1" applyFont="1" applyFill="1" applyAlignment="1">
      <alignment horizontal="right"/>
    </xf>
    <xf numFmtId="0" fontId="3" fillId="4" borderId="0" xfId="0" applyFont="1" applyFill="1"/>
    <xf numFmtId="0" fontId="3" fillId="5" borderId="0" xfId="0" applyFont="1" applyFill="1"/>
    <xf numFmtId="0" fontId="3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3" fillId="6" borderId="0" xfId="0" applyFont="1" applyFill="1"/>
    <xf numFmtId="0" fontId="3" fillId="7" borderId="0" xfId="0" applyFont="1" applyFill="1"/>
    <xf numFmtId="0" fontId="0" fillId="6" borderId="0" xfId="0" applyFill="1"/>
    <xf numFmtId="0" fontId="0" fillId="0" borderId="0" xfId="0" applyAlignment="1">
      <alignment horizontal="left"/>
    </xf>
    <xf numFmtId="10" fontId="3" fillId="0" borderId="0" xfId="1" applyNumberFormat="1" applyFont="1" applyFill="1" applyAlignment="1">
      <alignment horizontal="left"/>
    </xf>
    <xf numFmtId="0" fontId="3" fillId="7" borderId="0" xfId="0" quotePrefix="1" applyFont="1" applyFill="1" applyAlignment="1">
      <alignment horizontal="left"/>
    </xf>
    <xf numFmtId="10" fontId="3" fillId="7" borderId="0" xfId="1" applyNumberFormat="1" applyFont="1" applyFill="1" applyAlignment="1">
      <alignment horizontal="left"/>
    </xf>
    <xf numFmtId="0" fontId="3" fillId="7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5" borderId="0" xfId="0" applyFill="1"/>
    <xf numFmtId="0" fontId="3" fillId="2" borderId="0" xfId="0" applyFont="1" applyFill="1"/>
    <xf numFmtId="165" fontId="7" fillId="0" borderId="0" xfId="0" applyNumberFormat="1" applyFont="1"/>
    <xf numFmtId="10" fontId="3" fillId="3" borderId="0" xfId="0" applyNumberFormat="1" applyFont="1" applyFill="1"/>
    <xf numFmtId="4" fontId="5" fillId="0" borderId="0" xfId="0" applyNumberFormat="1" applyFont="1"/>
    <xf numFmtId="0" fontId="3" fillId="0" borderId="0" xfId="0" applyFont="1" applyAlignment="1">
      <alignment horizontal="left"/>
    </xf>
    <xf numFmtId="10" fontId="8" fillId="9" borderId="0" xfId="7" applyNumberFormat="1"/>
    <xf numFmtId="10" fontId="0" fillId="0" borderId="0" xfId="1" applyNumberFormat="1" applyFont="1"/>
    <xf numFmtId="4" fontId="7" fillId="0" borderId="0" xfId="0" applyNumberFormat="1" applyFont="1"/>
    <xf numFmtId="4" fontId="0" fillId="0" borderId="0" xfId="1" applyNumberFormat="1" applyFont="1" applyFill="1" applyAlignment="1">
      <alignment horizontal="right"/>
    </xf>
    <xf numFmtId="4" fontId="0" fillId="0" borderId="0" xfId="1" applyNumberFormat="1" applyFont="1" applyFill="1"/>
    <xf numFmtId="10" fontId="0" fillId="2" borderId="0" xfId="1" applyNumberFormat="1" applyFont="1" applyFill="1" applyAlignment="1">
      <alignment horizontal="right"/>
    </xf>
    <xf numFmtId="4" fontId="3" fillId="5" borderId="0" xfId="0" applyNumberFormat="1" applyFont="1" applyFill="1" applyAlignment="1">
      <alignment horizontal="right"/>
    </xf>
    <xf numFmtId="9" fontId="0" fillId="0" borderId="0" xfId="0" applyNumberFormat="1"/>
    <xf numFmtId="0" fontId="0" fillId="8" borderId="0" xfId="0" applyFill="1"/>
    <xf numFmtId="0" fontId="0" fillId="0" borderId="0" xfId="0" applyAlignment="1">
      <alignment horizontal="left" vertical="center"/>
    </xf>
    <xf numFmtId="4" fontId="9" fillId="0" borderId="0" xfId="0" applyNumberFormat="1" applyFont="1"/>
    <xf numFmtId="4" fontId="0" fillId="3" borderId="0" xfId="0" applyNumberFormat="1" applyFill="1"/>
    <xf numFmtId="4" fontId="0" fillId="8" borderId="0" xfId="0" applyNumberFormat="1" applyFill="1"/>
    <xf numFmtId="3" fontId="0" fillId="0" borderId="0" xfId="0" applyNumberFormat="1"/>
    <xf numFmtId="3" fontId="0" fillId="2" borderId="0" xfId="0" applyNumberFormat="1" applyFill="1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9" fontId="0" fillId="0" borderId="0" xfId="1" applyFont="1"/>
    <xf numFmtId="10" fontId="3" fillId="0" borderId="0" xfId="1" applyNumberFormat="1" applyFont="1"/>
    <xf numFmtId="10" fontId="2" fillId="0" borderId="0" xfId="1" applyNumberFormat="1" applyFont="1"/>
    <xf numFmtId="0" fontId="0" fillId="0" borderId="0" xfId="0" applyAlignment="1">
      <alignment horizontal="center" wrapText="1"/>
    </xf>
    <xf numFmtId="0" fontId="13" fillId="3" borderId="0" xfId="0" applyFont="1" applyFill="1" applyAlignment="1">
      <alignment horizontal="right"/>
    </xf>
    <xf numFmtId="4" fontId="3" fillId="4" borderId="0" xfId="0" applyNumberFormat="1" applyFont="1" applyFill="1" applyAlignment="1">
      <alignment horizontal="right"/>
    </xf>
    <xf numFmtId="4" fontId="0" fillId="4" borderId="0" xfId="0" applyNumberFormat="1" applyFill="1" applyAlignment="1">
      <alignment horizontal="right"/>
    </xf>
    <xf numFmtId="2" fontId="3" fillId="4" borderId="0" xfId="1" applyNumberFormat="1" applyFont="1" applyFill="1" applyBorder="1" applyAlignment="1">
      <alignment horizontal="right"/>
    </xf>
    <xf numFmtId="2" fontId="3" fillId="4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4" fontId="0" fillId="5" borderId="0" xfId="0" applyNumberFormat="1" applyFill="1" applyAlignment="1">
      <alignment horizontal="right"/>
    </xf>
    <xf numFmtId="0" fontId="3" fillId="5" borderId="0" xfId="0" applyFont="1" applyFill="1" applyAlignment="1">
      <alignment horizontal="right"/>
    </xf>
    <xf numFmtId="4" fontId="3" fillId="6" borderId="0" xfId="0" applyNumberFormat="1" applyFont="1" applyFill="1" applyAlignment="1">
      <alignment horizontal="right"/>
    </xf>
    <xf numFmtId="166" fontId="0" fillId="0" borderId="0" xfId="0" applyNumberFormat="1"/>
    <xf numFmtId="0" fontId="0" fillId="0" borderId="1" xfId="0" applyBorder="1"/>
    <xf numFmtId="167" fontId="0" fillId="0" borderId="0" xfId="0" applyNumberFormat="1"/>
    <xf numFmtId="0" fontId="7" fillId="4" borderId="0" xfId="6" applyFont="1" applyFill="1" applyAlignment="1">
      <alignment horizontal="center"/>
    </xf>
    <xf numFmtId="0" fontId="0" fillId="4" borderId="0" xfId="0" applyFill="1"/>
    <xf numFmtId="2" fontId="3" fillId="4" borderId="0" xfId="1" applyNumberFormat="1" applyFont="1" applyFill="1" applyAlignment="1">
      <alignment horizontal="right"/>
    </xf>
    <xf numFmtId="0" fontId="15" fillId="4" borderId="0" xfId="0" applyFont="1" applyFill="1" applyAlignment="1">
      <alignment horizontal="center"/>
    </xf>
    <xf numFmtId="0" fontId="15" fillId="4" borderId="0" xfId="0" applyFont="1" applyFill="1"/>
    <xf numFmtId="0" fontId="0" fillId="4" borderId="0" xfId="0" applyFill="1" applyAlignment="1">
      <alignment horizontal="center"/>
    </xf>
    <xf numFmtId="0" fontId="7" fillId="10" borderId="0" xfId="6" applyFont="1" applyFill="1" applyAlignment="1">
      <alignment horizontal="center"/>
    </xf>
    <xf numFmtId="0" fontId="0" fillId="10" borderId="0" xfId="0" applyFill="1"/>
    <xf numFmtId="4" fontId="3" fillId="10" borderId="0" xfId="0" applyNumberFormat="1" applyFont="1" applyFill="1" applyAlignment="1">
      <alignment horizontal="right"/>
    </xf>
    <xf numFmtId="0" fontId="15" fillId="10" borderId="0" xfId="0" applyFont="1" applyFill="1" applyAlignment="1">
      <alignment horizontal="center"/>
    </xf>
    <xf numFmtId="0" fontId="15" fillId="10" borderId="0" xfId="0" applyFont="1" applyFill="1"/>
    <xf numFmtId="0" fontId="3" fillId="10" borderId="0" xfId="0" applyFont="1" applyFill="1" applyAlignment="1">
      <alignment horizontal="right"/>
    </xf>
    <xf numFmtId="4" fontId="3" fillId="8" borderId="0" xfId="0" applyNumberFormat="1" applyFont="1" applyFill="1" applyAlignment="1">
      <alignment horizontal="right"/>
    </xf>
    <xf numFmtId="0" fontId="7" fillId="11" borderId="0" xfId="6" applyFont="1" applyFill="1" applyAlignment="1">
      <alignment horizontal="center"/>
    </xf>
    <xf numFmtId="0" fontId="0" fillId="11" borderId="0" xfId="0" applyFill="1"/>
    <xf numFmtId="4" fontId="3" fillId="11" borderId="0" xfId="0" applyNumberFormat="1" applyFont="1" applyFill="1" applyAlignment="1">
      <alignment horizontal="right"/>
    </xf>
    <xf numFmtId="0" fontId="6" fillId="0" borderId="0" xfId="6" applyFill="1"/>
    <xf numFmtId="0" fontId="0" fillId="12" borderId="0" xfId="0" applyFill="1"/>
    <xf numFmtId="0" fontId="0" fillId="12" borderId="0" xfId="0" applyFill="1" applyAlignment="1">
      <alignment horizontal="center" vertical="center"/>
    </xf>
    <xf numFmtId="0" fontId="10" fillId="12" borderId="0" xfId="0" applyFont="1" applyFill="1" applyAlignment="1">
      <alignment horizontal="center"/>
    </xf>
    <xf numFmtId="0" fontId="12" fillId="12" borderId="0" xfId="6" applyFont="1" applyFill="1"/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4" fontId="0" fillId="6" borderId="0" xfId="0" applyNumberFormat="1" applyFill="1" applyAlignment="1">
      <alignment horizontal="right"/>
    </xf>
    <xf numFmtId="4" fontId="0" fillId="2" borderId="0" xfId="0" applyNumberFormat="1" applyFill="1" applyAlignment="1">
      <alignment horizontal="right"/>
    </xf>
    <xf numFmtId="0" fontId="0" fillId="0" borderId="2" xfId="0" applyBorder="1"/>
    <xf numFmtId="3" fontId="0" fillId="0" borderId="2" xfId="0" applyNumberFormat="1" applyBorder="1"/>
    <xf numFmtId="4" fontId="0" fillId="2" borderId="0" xfId="0" applyNumberFormat="1" applyFill="1"/>
    <xf numFmtId="10" fontId="3" fillId="12" borderId="0" xfId="1" applyNumberFormat="1" applyFont="1" applyFill="1" applyAlignment="1">
      <alignment horizontal="left"/>
    </xf>
    <xf numFmtId="10" fontId="0" fillId="12" borderId="0" xfId="1" applyNumberFormat="1" applyFont="1" applyFill="1" applyAlignment="1">
      <alignment horizontal="right"/>
    </xf>
    <xf numFmtId="165" fontId="7" fillId="12" borderId="0" xfId="0" applyNumberFormat="1" applyFont="1" applyFill="1"/>
    <xf numFmtId="0" fontId="0" fillId="12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7" fillId="0" borderId="0" xfId="6" applyFont="1" applyFill="1"/>
    <xf numFmtId="0" fontId="7" fillId="0" borderId="0" xfId="0" applyFont="1"/>
    <xf numFmtId="0" fontId="20" fillId="0" borderId="0" xfId="6" applyFont="1" applyFill="1"/>
    <xf numFmtId="0" fontId="0" fillId="13" borderId="0" xfId="0" applyFill="1"/>
    <xf numFmtId="4" fontId="0" fillId="13" borderId="0" xfId="0" applyNumberFormat="1" applyFill="1"/>
    <xf numFmtId="10" fontId="0" fillId="13" borderId="0" xfId="1" applyNumberFormat="1" applyFont="1" applyFill="1"/>
    <xf numFmtId="2" fontId="0" fillId="0" borderId="0" xfId="1" applyNumberFormat="1" applyFont="1" applyBorder="1" applyProtection="1"/>
    <xf numFmtId="9" fontId="0" fillId="0" borderId="0" xfId="1" applyFont="1" applyFill="1" applyAlignment="1">
      <alignment horizontal="right"/>
    </xf>
    <xf numFmtId="9" fontId="0" fillId="0" borderId="0" xfId="1" applyFont="1" applyFill="1"/>
    <xf numFmtId="14" fontId="0" fillId="0" borderId="0" xfId="0" applyNumberFormat="1"/>
    <xf numFmtId="0" fontId="6" fillId="3" borderId="1" xfId="6" applyFill="1" applyBorder="1" applyProtection="1">
      <protection locked="0"/>
    </xf>
    <xf numFmtId="0" fontId="3" fillId="0" borderId="0" xfId="0" applyFont="1" applyAlignment="1">
      <alignment horizontal="center" vertical="center" wrapText="1"/>
    </xf>
    <xf numFmtId="4" fontId="0" fillId="0" borderId="0" xfId="0" applyNumberFormat="1" applyAlignment="1">
      <alignment vertical="center" wrapText="1"/>
    </xf>
    <xf numFmtId="0" fontId="22" fillId="14" borderId="0" xfId="0" applyFont="1" applyFill="1"/>
    <xf numFmtId="0" fontId="0" fillId="3" borderId="1" xfId="0" applyFill="1" applyBorder="1"/>
    <xf numFmtId="0" fontId="0" fillId="0" borderId="0" xfId="0" quotePrefix="1"/>
    <xf numFmtId="0" fontId="13" fillId="0" borderId="0" xfId="0" applyFont="1"/>
    <xf numFmtId="4" fontId="3" fillId="0" borderId="0" xfId="0" applyNumberFormat="1" applyFont="1" applyAlignment="1">
      <alignment horizontal="right"/>
    </xf>
    <xf numFmtId="2" fontId="3" fillId="0" borderId="0" xfId="0" applyNumberFormat="1" applyFont="1"/>
    <xf numFmtId="9" fontId="0" fillId="0" borderId="0" xfId="1" applyFont="1" applyFill="1" applyBorder="1" applyAlignment="1">
      <alignment horizontal="right"/>
    </xf>
    <xf numFmtId="9" fontId="0" fillId="0" borderId="0" xfId="1" applyFont="1" applyFill="1" applyBorder="1"/>
    <xf numFmtId="9" fontId="0" fillId="0" borderId="0" xfId="1" applyFont="1" applyBorder="1"/>
    <xf numFmtId="0" fontId="13" fillId="3" borderId="0" xfId="0" applyFont="1" applyFill="1" applyAlignment="1">
      <alignment horizontal="center"/>
    </xf>
    <xf numFmtId="0" fontId="0" fillId="2" borderId="0" xfId="0" applyFill="1"/>
    <xf numFmtId="168" fontId="0" fillId="0" borderId="0" xfId="1" applyNumberFormat="1" applyFont="1"/>
    <xf numFmtId="0" fontId="10" fillId="12" borderId="0" xfId="0" applyFont="1" applyFill="1" applyAlignment="1">
      <alignment horizontal="left"/>
    </xf>
    <xf numFmtId="0" fontId="0" fillId="12" borderId="0" xfId="0" applyFill="1" applyAlignment="1">
      <alignment horizontal="center"/>
    </xf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left"/>
    </xf>
    <xf numFmtId="0" fontId="3" fillId="11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9">
    <cellStyle name="Dziesiętny 2" xfId="2" xr:uid="{00000000-0005-0000-0000-000000000000}"/>
    <cellStyle name="Dziesiętny 2 2" xfId="5" xr:uid="{00000000-0005-0000-0000-000001000000}"/>
    <cellStyle name="Hiperłącze" xfId="6" builtinId="8"/>
    <cellStyle name="Normal 2" xfId="8" xr:uid="{34B208A3-072E-4A57-807E-EAE06EEB0FC1}"/>
    <cellStyle name="Normalny" xfId="0" builtinId="0"/>
    <cellStyle name="Normalny 2" xfId="3" xr:uid="{00000000-0005-0000-0000-000004000000}"/>
    <cellStyle name="Procentowy" xfId="1" builtinId="5"/>
    <cellStyle name="Procentowy 2" xfId="4" xr:uid="{00000000-0005-0000-0000-000006000000}"/>
    <cellStyle name="Zły" xfId="7" builtinId="27"/>
  </cellStyles>
  <dxfs count="82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B050"/>
      </font>
    </dxf>
  </dxfs>
  <tableStyles count="0" defaultTableStyle="TableStyleMedium2" defaultPivotStyle="PivotStyleLight16"/>
  <colors>
    <mruColors>
      <color rgb="FFCC0000"/>
      <color rgb="FF24E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7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'Mnożniki ceny'!$P$9</c:f>
              <c:strCache>
                <c:ptCount val="1"/>
                <c:pt idx="0">
                  <c:v>P/EBITDA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>
              <a:glow>
                <a:schemeClr val="tx2">
                  <a:lumMod val="60000"/>
                  <a:lumOff val="40000"/>
                  <a:alpha val="7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>
                        <a:lumMod val="85000"/>
                      </a:schemeClr>
                    </a:solidFill>
                  </a:defRPr>
                </a:pPr>
                <a:endParaRPr lang="pl-PL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'Mnożniki ceny'!$Q$1:$U$1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'Mnożniki ceny'!$Q$9:$U$9</c:f>
              <c:numCache>
                <c:formatCode>0.00</c:formatCode>
                <c:ptCount val="5"/>
                <c:pt idx="0">
                  <c:v>6.127656390302306</c:v>
                </c:pt>
                <c:pt idx="1">
                  <c:v>6.1340446815605194</c:v>
                </c:pt>
                <c:pt idx="2">
                  <c:v>5.8073752711496738</c:v>
                </c:pt>
                <c:pt idx="3">
                  <c:v>9.0253007983807478</c:v>
                </c:pt>
                <c:pt idx="4">
                  <c:v>4.7817117368274316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B4-48E3-807F-11DB6B4F068D}"/>
            </c:ext>
          </c:extLst>
        </c:ser>
        <c:ser>
          <c:idx val="1"/>
          <c:order val="1"/>
          <c:tx>
            <c:strRef>
              <c:f>'Mnożniki ceny'!$P$10</c:f>
              <c:strCache>
                <c:ptCount val="1"/>
                <c:pt idx="0">
                  <c:v>P/CFO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glow>
                <a:srgbClr val="7030A0">
                  <a:alpha val="80000"/>
                </a:srgb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chemeClr val="bg1">
                        <a:lumMod val="85000"/>
                      </a:schemeClr>
                    </a:solidFill>
                  </a:defRPr>
                </a:pPr>
                <a:endParaRPr lang="pl-PL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'Mnożniki ceny'!$Q$1:$U$1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'Mnożniki ceny'!$Q$10:$U$10</c:f>
              <c:numCache>
                <c:formatCode>0.00</c:formatCode>
                <c:ptCount val="5"/>
                <c:pt idx="0">
                  <c:v>7.7065687935253155</c:v>
                </c:pt>
                <c:pt idx="1">
                  <c:v>7.9395770392749263</c:v>
                </c:pt>
                <c:pt idx="2">
                  <c:v>5.3551140152020267</c:v>
                </c:pt>
                <c:pt idx="3">
                  <c:v>9.4659747611746674</c:v>
                </c:pt>
                <c:pt idx="4">
                  <c:v>7.9653250773993793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B4-48E3-807F-11DB6B4F06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5"/>
        <c:axId val="-1748551280"/>
        <c:axId val="-1748554000"/>
      </c:barChart>
      <c:lineChart>
        <c:grouping val="standard"/>
        <c:varyColors val="0"/>
        <c:ser>
          <c:idx val="2"/>
          <c:order val="2"/>
          <c:tx>
            <c:strRef>
              <c:f>'Mnożniki ceny'!$P$11</c:f>
              <c:strCache>
                <c:ptCount val="1"/>
                <c:pt idx="0">
                  <c:v>Śr. P/EBITDA</c:v>
                </c:pt>
              </c:strCache>
            </c:strRef>
          </c:tx>
          <c:spPr>
            <a:ln w="6350">
              <a:solidFill>
                <a:schemeClr val="bg1"/>
              </a:solidFill>
              <a:prstDash val="lgDash"/>
            </a:ln>
          </c:spPr>
          <c:marker>
            <c:symbol val="none"/>
          </c:marker>
          <c:val>
            <c:numRef>
              <c:f>'Mnożniki ceny'!$Q$11:$U$11</c:f>
              <c:numCache>
                <c:formatCode>0.00</c:formatCode>
                <c:ptCount val="5"/>
                <c:pt idx="0">
                  <c:v>6.3752177756441357</c:v>
                </c:pt>
                <c:pt idx="1">
                  <c:v>6.3752177756441357</c:v>
                </c:pt>
                <c:pt idx="2">
                  <c:v>6.3752177756441357</c:v>
                </c:pt>
                <c:pt idx="3">
                  <c:v>6.3752177756441357</c:v>
                </c:pt>
                <c:pt idx="4">
                  <c:v>6.3752177756441357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F5-427E-A7E2-94D7A4886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48551280"/>
        <c:axId val="-1748554000"/>
      </c:lineChart>
      <c:catAx>
        <c:axId val="-17485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54000"/>
        <c:crosses val="autoZero"/>
        <c:auto val="1"/>
        <c:lblAlgn val="ctr"/>
        <c:lblOffset val="100"/>
        <c:noMultiLvlLbl val="0"/>
      </c:catAx>
      <c:valAx>
        <c:axId val="-1748554000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5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pl-PL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>
              <a:outerShdw sx="1000" sy="1000" algn="ctr" rotWithShape="0">
                <a:srgbClr val="00B0F0"/>
              </a:outerShdw>
            </a:effectLst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>
                <a:outerShdw sx="1000" sy="1000" algn="ctr" rotWithShape="0">
                  <a:srgbClr val="00B0F0"/>
                </a:outerShdw>
              </a:effectLst>
            </c:spPr>
          </c:marker>
          <c:dLbls>
            <c:dLbl>
              <c:idx val="0"/>
              <c:layout>
                <c:manualLayout>
                  <c:x val="9.866331338526399E-2"/>
                  <c:y val="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316-4FC7-820A-6895ACBDA03A}"/>
                </c:ext>
              </c:extLst>
            </c:dLbl>
            <c:dLbl>
              <c:idx val="1"/>
              <c:layout>
                <c:manualLayout>
                  <c:x val="1.1211740157416281E-2"/>
                  <c:y val="4.012345679012339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316-4FC7-820A-6895ACBDA03A}"/>
                </c:ext>
              </c:extLst>
            </c:dLbl>
            <c:dLbl>
              <c:idx val="2"/>
              <c:layout>
                <c:manualLayout>
                  <c:x val="1.3454088188899635E-2"/>
                  <c:y val="-6.172839506172839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316-4FC7-820A-6895ACBDA03A}"/>
                </c:ext>
              </c:extLst>
            </c:dLbl>
            <c:dLbl>
              <c:idx val="3"/>
              <c:layout>
                <c:manualLayout>
                  <c:x val="7.175513700746472E-2"/>
                  <c:y val="-1.54320987654320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16-4FC7-820A-6895ACBDA03A}"/>
                </c:ext>
              </c:extLst>
            </c:dLbl>
            <c:dLbl>
              <c:idx val="4"/>
              <c:layout>
                <c:manualLayout>
                  <c:x val="3.587756850373236E-2"/>
                  <c:y val="3.08641975308641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16-4FC7-820A-6895ACBDA03A}"/>
                </c:ext>
              </c:extLst>
            </c:dLbl>
            <c:dLbl>
              <c:idx val="5"/>
              <c:layout>
                <c:manualLayout>
                  <c:x val="-4.484696062966545E-3"/>
                  <c:y val="6.79012345679012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316-4FC7-820A-6895ACBDA0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'Mnożniki ceny'!$P$13:$P$18</c:f>
              <c:strCache>
                <c:ptCount val="6"/>
                <c:pt idx="0">
                  <c:v>P/E</c:v>
                </c:pt>
                <c:pt idx="1">
                  <c:v>P/E exc. $</c:v>
                </c:pt>
                <c:pt idx="2">
                  <c:v>P/CFO</c:v>
                </c:pt>
                <c:pt idx="3">
                  <c:v>P/CFO ex. $</c:v>
                </c:pt>
                <c:pt idx="4">
                  <c:v>P/EBITDA</c:v>
                </c:pt>
                <c:pt idx="5">
                  <c:v>P/EBITDA ex. $</c:v>
                </c:pt>
              </c:strCache>
            </c:strRef>
          </c:cat>
          <c:val>
            <c:numRef>
              <c:f>'Mnożniki ceny'!$Y$13:$Y$18</c:f>
              <c:numCache>
                <c:formatCode>0.00%</c:formatCode>
                <c:ptCount val="6"/>
                <c:pt idx="0">
                  <c:v>0.87720557357934981</c:v>
                </c:pt>
                <c:pt idx="1">
                  <c:v>0.87720557357934981</c:v>
                </c:pt>
                <c:pt idx="2">
                  <c:v>0.45753894992742167</c:v>
                </c:pt>
                <c:pt idx="3">
                  <c:v>0.45753894992742167</c:v>
                </c:pt>
                <c:pt idx="4">
                  <c:v>0.87998627079080349</c:v>
                </c:pt>
                <c:pt idx="5">
                  <c:v>0.87998627079080349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6-4FC7-820A-6895ACBDA0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401731632"/>
        <c:axId val="1401724976"/>
      </c:radarChart>
      <c:catAx>
        <c:axId val="140173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1724976"/>
        <c:crosses val="autoZero"/>
        <c:auto val="1"/>
        <c:lblAlgn val="ctr"/>
        <c:lblOffset val="100"/>
        <c:noMultiLvlLbl val="0"/>
      </c:catAx>
      <c:valAx>
        <c:axId val="1401724976"/>
        <c:scaling>
          <c:orientation val="minMax"/>
          <c:max val="1"/>
          <c:min val="0"/>
        </c:scaling>
        <c:delete val="0"/>
        <c:axPos val="l"/>
        <c:numFmt formatCode="0.00" sourceLinked="0"/>
        <c:majorTickMark val="in"/>
        <c:minorTickMark val="none"/>
        <c:tickLblPos val="none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173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467470760233922E-2"/>
          <c:y val="3.506331911067781E-2"/>
          <c:w val="0.64274840929836019"/>
          <c:h val="0.86447642986097439"/>
        </c:manualLayout>
      </c:layout>
      <c:doughnutChart>
        <c:varyColors val="1"/>
        <c:ser>
          <c:idx val="1"/>
          <c:order val="1"/>
          <c:spPr>
            <a:solidFill>
              <a:srgbClr val="CC0000"/>
            </a:solidFill>
            <a:ln w="34925">
              <a:noFill/>
            </a:ln>
            <a:effectLst>
              <a:glow>
                <a:srgbClr val="FF0000">
                  <a:alpha val="75000"/>
                </a:srgbClr>
              </a:glow>
            </a:effectLst>
          </c:spPr>
          <c:dPt>
            <c:idx val="0"/>
            <c:bubble3D val="0"/>
            <c:spPr>
              <a:solidFill>
                <a:srgbClr val="CC0000">
                  <a:alpha val="50000"/>
                </a:srgbClr>
              </a:solidFill>
              <a:ln w="34925">
                <a:noFill/>
              </a:ln>
              <a:effectLst>
                <a:glow>
                  <a:srgbClr val="FF000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7FCF-4B77-B20E-F6A3CAD49F5A}"/>
              </c:ext>
            </c:extLst>
          </c:dPt>
          <c:dPt>
            <c:idx val="1"/>
            <c:bubble3D val="0"/>
            <c:spPr>
              <a:noFill/>
              <a:ln w="34925">
                <a:noFill/>
              </a:ln>
              <a:effectLst>
                <a:glow>
                  <a:srgbClr val="FF000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E2F2-421A-80B4-AF8A094F7A76}"/>
              </c:ext>
            </c:extLst>
          </c:dPt>
          <c:val>
            <c:numRef>
              <c:f>Wzrost!$O$2:$P$2</c:f>
              <c:numCache>
                <c:formatCode>0.00%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F2-421A-80B4-AF8A094F7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doughnutChart>
        <c:varyColors val="1"/>
        <c:ser>
          <c:idx val="0"/>
          <c:order val="0"/>
          <c:spPr>
            <a:noFill/>
            <a:ln>
              <a:noFill/>
            </a:ln>
          </c:spPr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34925">
                <a:noFill/>
              </a:ln>
              <a:effectLst>
                <a:glow>
                  <a:srgbClr val="00B0F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E2F2-421A-80B4-AF8A094F7A76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F2-421A-80B4-AF8A094F7A76}"/>
              </c:ext>
            </c:extLst>
          </c:dPt>
          <c:val>
            <c:numRef>
              <c:f>Wzrost!$M$2:$N$2</c:f>
              <c:numCache>
                <c:formatCode>0.00%</c:formatCode>
                <c:ptCount val="2"/>
                <c:pt idx="0">
                  <c:v>6.9039972234838043E-2</c:v>
                </c:pt>
                <c:pt idx="1">
                  <c:v>0.28096002776516193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F2-421A-80B4-AF8A094F7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24392958393097"/>
          <c:y val="5.5441460511419585E-2"/>
          <c:w val="0.64274840929836019"/>
          <c:h val="0.86447642986097439"/>
        </c:manualLayout>
      </c:layout>
      <c:doughnutChart>
        <c:varyColors val="1"/>
        <c:ser>
          <c:idx val="1"/>
          <c:order val="1"/>
          <c:tx>
            <c:strRef>
              <c:f>Wzrost!$O$1</c:f>
              <c:strCache>
                <c:ptCount val="1"/>
                <c:pt idx="0">
                  <c:v>Neg Value</c:v>
                </c:pt>
              </c:strCache>
            </c:strRef>
          </c:tx>
          <c:spPr>
            <a:solidFill>
              <a:srgbClr val="CC0000"/>
            </a:solidFill>
            <a:ln w="34925">
              <a:solidFill>
                <a:srgbClr val="CC0000"/>
              </a:solidFill>
            </a:ln>
          </c:spPr>
          <c:dPt>
            <c:idx val="0"/>
            <c:bubble3D val="0"/>
            <c:spPr>
              <a:solidFill>
                <a:srgbClr val="CC0000">
                  <a:alpha val="50000"/>
                </a:srgbClr>
              </a:solidFill>
              <a:ln w="34925">
                <a:noFill/>
              </a:ln>
              <a:effectLst>
                <a:glow>
                  <a:srgbClr val="CC000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6FC8-4DE1-A173-55833CD0363E}"/>
              </c:ext>
            </c:extLst>
          </c:dPt>
          <c:dPt>
            <c:idx val="1"/>
            <c:bubble3D val="0"/>
            <c:spPr>
              <a:noFill/>
              <a:ln w="34925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C8-4DE1-A173-55833CD0363E}"/>
              </c:ext>
            </c:extLst>
          </c:dPt>
          <c:val>
            <c:numRef>
              <c:f>Wzrost!$O$3:$P$3</c:f>
              <c:numCache>
                <c:formatCode>0.00%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C8-4DE1-A173-55833CD03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doughnutChart>
        <c:varyColors val="1"/>
        <c:ser>
          <c:idx val="0"/>
          <c:order val="0"/>
          <c:tx>
            <c:strRef>
              <c:f>Wzrost!$M$1</c:f>
              <c:strCache>
                <c:ptCount val="1"/>
                <c:pt idx="0">
                  <c:v>Pos value</c:v>
                </c:pt>
              </c:strCache>
            </c:strRef>
          </c:tx>
          <c:spPr>
            <a:solidFill>
              <a:schemeClr val="dk1"/>
            </a:solidFill>
            <a:ln>
              <a:noFill/>
            </a:ln>
            <a:effectLst>
              <a:glow>
                <a:srgbClr val="00B0F0">
                  <a:alpha val="75000"/>
                </a:srgbClr>
              </a:glow>
            </a:effectLst>
          </c:spPr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34925">
                <a:noFill/>
              </a:ln>
              <a:effectLst>
                <a:glow>
                  <a:srgbClr val="00B0F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6FC8-4DE1-A173-55833CD0363E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>
                <a:glow>
                  <a:srgbClr val="00B0F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8-6FC8-4DE1-A173-55833CD0363E}"/>
              </c:ext>
            </c:extLst>
          </c:dPt>
          <c:val>
            <c:numRef>
              <c:f>Wzrost!$M$3:$N$3</c:f>
              <c:numCache>
                <c:formatCode>0.00%</c:formatCode>
                <c:ptCount val="2"/>
                <c:pt idx="0">
                  <c:v>9.9991253772425903E-2</c:v>
                </c:pt>
                <c:pt idx="1">
                  <c:v>0.25000874622757407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C8-4DE1-A173-55833CD03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24392958393097"/>
          <c:y val="5.5441460511419585E-2"/>
          <c:w val="0.64274840929836019"/>
          <c:h val="0.86447642986097439"/>
        </c:manualLayout>
      </c:layout>
      <c:doughnutChart>
        <c:varyColors val="1"/>
        <c:ser>
          <c:idx val="1"/>
          <c:order val="1"/>
          <c:tx>
            <c:strRef>
              <c:f>Wzrost!$O$1</c:f>
              <c:strCache>
                <c:ptCount val="1"/>
                <c:pt idx="0">
                  <c:v>Neg Value</c:v>
                </c:pt>
              </c:strCache>
            </c:strRef>
          </c:tx>
          <c:spPr>
            <a:solidFill>
              <a:srgbClr val="CC0000">
                <a:alpha val="50000"/>
              </a:srgbClr>
            </a:solidFill>
            <a:ln w="34925">
              <a:noFill/>
            </a:ln>
            <a:effectLst>
              <a:glow>
                <a:srgbClr val="CC0000">
                  <a:alpha val="75000"/>
                </a:srgbClr>
              </a:glow>
            </a:effectLst>
          </c:spPr>
          <c:dPt>
            <c:idx val="0"/>
            <c:bubble3D val="0"/>
            <c:spPr>
              <a:solidFill>
                <a:srgbClr val="CC0000">
                  <a:alpha val="50000"/>
                </a:srgbClr>
              </a:solidFill>
              <a:ln w="34925">
                <a:noFill/>
              </a:ln>
              <a:effectLst>
                <a:glow>
                  <a:srgbClr val="CC000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6617-4576-BDF7-4D1D0C657DAD}"/>
              </c:ext>
            </c:extLst>
          </c:dPt>
          <c:dPt>
            <c:idx val="1"/>
            <c:bubble3D val="0"/>
            <c:spPr>
              <a:noFill/>
              <a:ln w="34925">
                <a:noFill/>
              </a:ln>
              <a:effectLst>
                <a:glow>
                  <a:srgbClr val="CC000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6617-4576-BDF7-4D1D0C657DAD}"/>
              </c:ext>
            </c:extLst>
          </c:dPt>
          <c:val>
            <c:numRef>
              <c:f>Wzrost!$O$9:$P$9</c:f>
              <c:numCache>
                <c:formatCode>0.00%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17-4576-BDF7-4D1D0C657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doughnutChart>
        <c:varyColors val="1"/>
        <c:ser>
          <c:idx val="0"/>
          <c:order val="0"/>
          <c:tx>
            <c:strRef>
              <c:f>Wzrost!$M$1</c:f>
              <c:strCache>
                <c:ptCount val="1"/>
                <c:pt idx="0">
                  <c:v>Pos value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34925">
                <a:noFill/>
              </a:ln>
              <a:effectLst>
                <a:glow>
                  <a:srgbClr val="00B0F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6617-4576-BDF7-4D1D0C657DAD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617-4576-BDF7-4D1D0C657DAD}"/>
              </c:ext>
            </c:extLst>
          </c:dPt>
          <c:val>
            <c:numRef>
              <c:f>Wzrost!$M$9:$N$9</c:f>
              <c:numCache>
                <c:formatCode>0.00%</c:formatCode>
                <c:ptCount val="2"/>
                <c:pt idx="0">
                  <c:v>6.3247599277428845E-2</c:v>
                </c:pt>
                <c:pt idx="1">
                  <c:v>0.28675240072257113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617-4576-BDF7-4D1D0C657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24392958393097"/>
          <c:y val="5.5441460511419585E-2"/>
          <c:w val="0.64274840929836019"/>
          <c:h val="0.86447642986097439"/>
        </c:manualLayout>
      </c:layout>
      <c:doughnutChart>
        <c:varyColors val="1"/>
        <c:ser>
          <c:idx val="1"/>
          <c:order val="1"/>
          <c:tx>
            <c:strRef>
              <c:f>Wzrost!$O$1</c:f>
              <c:strCache>
                <c:ptCount val="1"/>
                <c:pt idx="0">
                  <c:v>Neg Value</c:v>
                </c:pt>
              </c:strCache>
            </c:strRef>
          </c:tx>
          <c:spPr>
            <a:solidFill>
              <a:srgbClr val="CC0000">
                <a:alpha val="50000"/>
              </a:srgbClr>
            </a:solidFill>
            <a:ln w="34925">
              <a:noFill/>
            </a:ln>
            <a:effectLst>
              <a:glow>
                <a:srgbClr val="CC0000">
                  <a:alpha val="75000"/>
                </a:srgbClr>
              </a:glow>
            </a:effectLst>
          </c:spPr>
          <c:dPt>
            <c:idx val="0"/>
            <c:bubble3D val="0"/>
            <c:spPr>
              <a:solidFill>
                <a:srgbClr val="CC0000">
                  <a:alpha val="50000"/>
                </a:srgbClr>
              </a:solidFill>
              <a:ln w="34925">
                <a:noFill/>
              </a:ln>
              <a:effectLst>
                <a:glow>
                  <a:srgbClr val="CC000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44FD-4064-80EA-674C8EF3AD31}"/>
              </c:ext>
            </c:extLst>
          </c:dPt>
          <c:dPt>
            <c:idx val="1"/>
            <c:bubble3D val="0"/>
            <c:spPr>
              <a:noFill/>
              <a:ln w="34925">
                <a:noFill/>
              </a:ln>
              <a:effectLst>
                <a:glow>
                  <a:srgbClr val="CC000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44FD-4064-80EA-674C8EF3AD31}"/>
              </c:ext>
            </c:extLst>
          </c:dPt>
          <c:val>
            <c:numRef>
              <c:f>Wzrost!$O$11:$P$11</c:f>
              <c:numCache>
                <c:formatCode>0.00%</c:formatCode>
                <c:ptCount val="2"/>
                <c:pt idx="0">
                  <c:v>3.986878202699029E-2</c:v>
                </c:pt>
                <c:pt idx="1">
                  <c:v>0.31013121797300969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FD-4064-80EA-674C8EF3A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doughnutChart>
        <c:varyColors val="1"/>
        <c:ser>
          <c:idx val="0"/>
          <c:order val="0"/>
          <c:tx>
            <c:strRef>
              <c:f>Wzrost!$M$1</c:f>
              <c:strCache>
                <c:ptCount val="1"/>
                <c:pt idx="0">
                  <c:v>Pos value</c:v>
                </c:pt>
              </c:strCache>
            </c:strRef>
          </c:tx>
          <c:spPr>
            <a:noFill/>
            <a:ln>
              <a:noFill/>
            </a:ln>
            <a:effectLst>
              <a:glow rad="63500">
                <a:srgbClr val="00B0F0">
                  <a:alpha val="75000"/>
                </a:srgbClr>
              </a:glow>
            </a:effectLst>
          </c:spPr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34925">
                <a:noFill/>
              </a:ln>
              <a:effectLst>
                <a:glow>
                  <a:schemeClr val="tx2">
                    <a:lumMod val="60000"/>
                    <a:lumOff val="4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44FD-4064-80EA-674C8EF3AD31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>
                <a:glow rad="63500">
                  <a:srgbClr val="00B0F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8-44FD-4064-80EA-674C8EF3AD31}"/>
              </c:ext>
            </c:extLst>
          </c:dPt>
          <c:val>
            <c:numRef>
              <c:f>Wzrost!$M$11:$N$11</c:f>
              <c:numCache>
                <c:formatCode>0.00%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FD-4064-80EA-674C8EF3A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4869708205484034E-3"/>
          <c:y val="0"/>
          <c:w val="0.97805211671780634"/>
          <c:h val="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Jakość!$H$1</c:f>
              <c:strCache>
                <c:ptCount val="1"/>
                <c:pt idx="0">
                  <c:v>CFO surp.-Db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 w="9525" cap="flat" cmpd="sng" algn="ctr">
              <a:noFill/>
              <a:miter lim="800000"/>
            </a:ln>
            <a:effectLst>
              <a:glow>
                <a:srgbClr val="00B0F0">
                  <a:alpha val="25000"/>
                </a:srgbClr>
              </a:glow>
            </a:effectLst>
          </c:spPr>
          <c:invertIfNegative val="0"/>
          <c:cat>
            <c:numRef>
              <c:f>Jakość!$O$31:$S$31</c:f>
              <c:numCache>
                <c:formatCode>General</c:formatCode>
                <c:ptCount val="5"/>
              </c:numCache>
            </c:numRef>
          </c:cat>
          <c:val>
            <c:numRef>
              <c:f>Jakość!$I$1:$M$1</c:f>
              <c:numCache>
                <c:formatCode>#,##0.00</c:formatCode>
                <c:ptCount val="5"/>
                <c:pt idx="0">
                  <c:v>-28.47999999999999</c:v>
                </c:pt>
                <c:pt idx="1">
                  <c:v>-3.6600000000000037</c:v>
                </c:pt>
                <c:pt idx="2">
                  <c:v>-113.21999999999998</c:v>
                </c:pt>
                <c:pt idx="3">
                  <c:v>-0.84999999999999076</c:v>
                </c:pt>
                <c:pt idx="4">
                  <c:v>-101.27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B-4E62-AE8F-3A47119D502C}"/>
            </c:ext>
          </c:extLst>
        </c:ser>
        <c:ser>
          <c:idx val="1"/>
          <c:order val="1"/>
          <c:tx>
            <c:strRef>
              <c:f>Jakość!$H$2</c:f>
              <c:strCache>
                <c:ptCount val="1"/>
                <c:pt idx="0">
                  <c:v>CFO surp.-Db.-St.</c:v>
                </c:pt>
              </c:strCache>
            </c:strRef>
          </c:tx>
          <c:spPr>
            <a:solidFill>
              <a:srgbClr val="7030A0"/>
            </a:solidFill>
            <a:ln w="9525" cap="flat" cmpd="sng" algn="ctr">
              <a:noFill/>
              <a:miter lim="800000"/>
            </a:ln>
            <a:effectLst>
              <a:glow>
                <a:srgbClr val="7030A0">
                  <a:alpha val="27000"/>
                </a:srgbClr>
              </a:glow>
            </a:effectLst>
          </c:spPr>
          <c:invertIfNegative val="0"/>
          <c:val>
            <c:numRef>
              <c:f>Jakość!$I$2:$M$2</c:f>
              <c:numCache>
                <c:formatCode>#,##0.00</c:formatCode>
                <c:ptCount val="5"/>
                <c:pt idx="0">
                  <c:v>-28.47999999999999</c:v>
                </c:pt>
                <c:pt idx="1">
                  <c:v>-3.6600000000000037</c:v>
                </c:pt>
                <c:pt idx="2">
                  <c:v>-113.21999999999998</c:v>
                </c:pt>
                <c:pt idx="3">
                  <c:v>60.890000000000015</c:v>
                </c:pt>
                <c:pt idx="4">
                  <c:v>13.700000000000003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1B-4E62-AE8F-3A47119D5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451117471"/>
        <c:axId val="1451118303"/>
      </c:barChart>
      <c:catAx>
        <c:axId val="145111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75000"/>
                <a:alpha val="7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51118303"/>
        <c:crosses val="autoZero"/>
        <c:auto val="1"/>
        <c:lblAlgn val="ctr"/>
        <c:lblOffset val="100"/>
        <c:noMultiLvlLbl val="0"/>
      </c:catAx>
      <c:valAx>
        <c:axId val="1451118303"/>
        <c:scaling>
          <c:orientation val="minMax"/>
        </c:scaling>
        <c:delete val="1"/>
        <c:axPos val="l"/>
        <c:numFmt formatCode="#,##0.00" sourceLinked="1"/>
        <c:majorTickMark val="none"/>
        <c:minorTickMark val="none"/>
        <c:tickLblPos val="nextTo"/>
        <c:crossAx val="145111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39445126004675E-3"/>
          <c:y val="0.79615263476680809"/>
          <c:w val="0.99416055487399535"/>
          <c:h val="0.161871758810973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Jakość!$H$4</c:f>
              <c:strCache>
                <c:ptCount val="1"/>
                <c:pt idx="0">
                  <c:v>Zadłużenie netto jako % kapitalizacji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 w="9525" cap="flat" cmpd="sng" algn="ctr">
              <a:noFill/>
              <a:miter lim="800000"/>
            </a:ln>
            <a:effectLst>
              <a:glow>
                <a:srgbClr val="00B0F0">
                  <a:alpha val="25000"/>
                </a:srgb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Jakość!$I$4:$M$4</c:f>
              <c:numCache>
                <c:formatCode>0.00%</c:formatCode>
                <c:ptCount val="5"/>
                <c:pt idx="0">
                  <c:v>0.85844425448772732</c:v>
                </c:pt>
                <c:pt idx="1">
                  <c:v>1.0167427701674276</c:v>
                </c:pt>
                <c:pt idx="2">
                  <c:v>1.2112655012699836</c:v>
                </c:pt>
                <c:pt idx="3">
                  <c:v>0.63590491141511551</c:v>
                </c:pt>
                <c:pt idx="4">
                  <c:v>1.1487484452736318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58-4B0C-B9A3-8AA85E5E7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1117471"/>
        <c:axId val="1451118303"/>
      </c:barChart>
      <c:catAx>
        <c:axId val="1451117471"/>
        <c:scaling>
          <c:orientation val="minMax"/>
        </c:scaling>
        <c:delete val="1"/>
        <c:axPos val="b"/>
        <c:majorTickMark val="none"/>
        <c:minorTickMark val="none"/>
        <c:tickLblPos val="nextTo"/>
        <c:crossAx val="1451118303"/>
        <c:crosses val="autoZero"/>
        <c:auto val="1"/>
        <c:lblAlgn val="ctr"/>
        <c:lblOffset val="100"/>
        <c:noMultiLvlLbl val="0"/>
      </c:catAx>
      <c:valAx>
        <c:axId val="145111830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451117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5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150">
          <a:solidFill>
            <a:schemeClr val="bg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24392958393097"/>
          <c:y val="5.5441460511419585E-2"/>
          <c:w val="0.64274840929836019"/>
          <c:h val="0.86447642986097439"/>
        </c:manualLayout>
      </c:layout>
      <c:doughnutChart>
        <c:varyColors val="1"/>
        <c:ser>
          <c:idx val="1"/>
          <c:order val="1"/>
          <c:tx>
            <c:strRef>
              <c:f>Wzrost!$O$1</c:f>
              <c:strCache>
                <c:ptCount val="1"/>
                <c:pt idx="0">
                  <c:v>Neg Value</c:v>
                </c:pt>
              </c:strCache>
            </c:strRef>
          </c:tx>
          <c:spPr>
            <a:solidFill>
              <a:srgbClr val="CC0000"/>
            </a:solidFill>
            <a:ln w="34925">
              <a:noFill/>
            </a:ln>
            <a:effectLst>
              <a:glow rad="50800">
                <a:srgbClr val="CC0000">
                  <a:alpha val="75000"/>
                </a:srgbClr>
              </a:glow>
            </a:effectLst>
          </c:spPr>
          <c:dPt>
            <c:idx val="0"/>
            <c:bubble3D val="0"/>
            <c:spPr>
              <a:noFill/>
              <a:ln w="34925">
                <a:noFill/>
              </a:ln>
              <a:effectLst>
                <a:glow>
                  <a:srgbClr val="CC0000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8A90-4FF9-A439-4175196D5656}"/>
              </c:ext>
            </c:extLst>
          </c:dPt>
          <c:dPt>
            <c:idx val="1"/>
            <c:bubble3D val="0"/>
            <c:explosion val="1"/>
            <c:spPr>
              <a:solidFill>
                <a:srgbClr val="CC0000">
                  <a:alpha val="50000"/>
                </a:srgbClr>
              </a:solidFill>
              <a:ln w="34925">
                <a:noFill/>
              </a:ln>
              <a:effectLst>
                <a:glow>
                  <a:srgbClr val="CC0000"/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8A90-4FF9-A439-4175196D5656}"/>
              </c:ext>
            </c:extLst>
          </c:dPt>
          <c:val>
            <c:numRef>
              <c:f>Wzrost!$O$12:$P$12</c:f>
              <c:numCache>
                <c:formatCode>0.00%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90-4FF9-A439-4175196D5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0"/>
        <c:holeSize val="75"/>
      </c:doughnutChart>
      <c:doughnutChart>
        <c:varyColors val="1"/>
        <c:ser>
          <c:idx val="0"/>
          <c:order val="0"/>
          <c:tx>
            <c:strRef>
              <c:f>Wzrost!$M$1</c:f>
              <c:strCache>
                <c:ptCount val="1"/>
                <c:pt idx="0">
                  <c:v>Pos value</c:v>
                </c:pt>
              </c:strCache>
            </c:strRef>
          </c:tx>
          <c:spPr>
            <a:noFill/>
            <a:ln>
              <a:noFill/>
            </a:ln>
            <a:effectLst>
              <a:glow rad="63500">
                <a:srgbClr val="00B0F0">
                  <a:alpha val="75000"/>
                </a:srgbClr>
              </a:glow>
            </a:effectLst>
          </c:spPr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34925">
                <a:noFill/>
              </a:ln>
              <a:effectLst>
                <a:glow>
                  <a:srgbClr val="00B0F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8A90-4FF9-A439-4175196D5656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>
                <a:glow rad="63500">
                  <a:srgbClr val="00B0F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8-8A90-4FF9-A439-4175196D5656}"/>
              </c:ext>
            </c:extLst>
          </c:dPt>
          <c:val>
            <c:numRef>
              <c:f>Wzrost!$M$12:$N$12</c:f>
              <c:numCache>
                <c:formatCode>0.00%</c:formatCode>
                <c:ptCount val="2"/>
                <c:pt idx="0">
                  <c:v>-3.3786110314771522E-2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A90-4FF9-A439-4175196D5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bg1">
                    <a:lumMod val="85000"/>
                  </a:schemeClr>
                </a:solidFill>
              </a:rPr>
              <a:t>Oczekiwana cena w latach</a:t>
            </a:r>
            <a:r>
              <a:rPr lang="pl-PL" sz="1200">
                <a:solidFill>
                  <a:schemeClr val="bg1">
                    <a:lumMod val="85000"/>
                  </a:schemeClr>
                </a:solidFill>
              </a:rPr>
              <a:t> dla</a:t>
            </a:r>
            <a:r>
              <a:rPr lang="en-US" sz="1200">
                <a:solidFill>
                  <a:schemeClr val="bg1">
                    <a:lumMod val="85000"/>
                  </a:schemeClr>
                </a:solidFill>
              </a:rPr>
              <a:t>:</a:t>
            </a:r>
          </a:p>
        </c:rich>
      </c:tx>
      <c:layout>
        <c:manualLayout>
          <c:xMode val="edge"/>
          <c:yMode val="edge"/>
          <c:x val="0.1896278478316702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457210940737671"/>
          <c:y val="7.6126482040894727E-2"/>
          <c:w val="0.7272965879265092"/>
          <c:h val="0.72371479316158438"/>
        </c:manualLayout>
      </c:layout>
      <c:barChart>
        <c:barDir val="col"/>
        <c:grouping val="clustered"/>
        <c:varyColors val="0"/>
        <c:ser>
          <c:idx val="0"/>
          <c:order val="0"/>
          <c:tx>
            <c:v>Exp. PE</c:v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>
              <a:glow>
                <a:srgbClr val="00B0F0">
                  <a:alpha val="75000"/>
                </a:srgb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effectLst>
                      <a:glow>
                        <a:srgbClr val="00B0F0">
                          <a:alpha val="75000"/>
                        </a:srgbClr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Wycena!$B$1:$D$1</c:f>
              <c:strCache>
                <c:ptCount val="3"/>
                <c:pt idx="0">
                  <c:v>2022-12</c:v>
                </c:pt>
                <c:pt idx="1">
                  <c:v>2023-12</c:v>
                </c:pt>
                <c:pt idx="2">
                  <c:v>2024-12</c:v>
                </c:pt>
              </c:strCache>
            </c:strRef>
          </c:cat>
          <c:val>
            <c:numRef>
              <c:f>Wycena!$B$47:$D$47</c:f>
              <c:numCache>
                <c:formatCode>#,##0</c:formatCode>
                <c:ptCount val="3"/>
                <c:pt idx="0">
                  <c:v>38.1</c:v>
                </c:pt>
                <c:pt idx="1">
                  <c:v>32.1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A-4B39-A457-FB428D5466E8}"/>
            </c:ext>
          </c:extLst>
        </c:ser>
        <c:ser>
          <c:idx val="1"/>
          <c:order val="1"/>
          <c:tx>
            <c:v>Avg PE</c:v>
          </c:tx>
          <c:spPr>
            <a:solidFill>
              <a:srgbClr val="7030A0"/>
            </a:solidFill>
            <a:ln>
              <a:noFill/>
            </a:ln>
            <a:effectLst>
              <a:glow>
                <a:srgbClr val="7030A0">
                  <a:alpha val="75000"/>
                </a:srgb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Wycena!$B$50:$D$50</c:f>
              <c:numCache>
                <c:formatCode>#,##0</c:formatCode>
                <c:ptCount val="3"/>
                <c:pt idx="0">
                  <c:v>65.208253352741181</c:v>
                </c:pt>
                <c:pt idx="1">
                  <c:v>54.939237076718946</c:v>
                </c:pt>
                <c:pt idx="2">
                  <c:v>77.017622070166738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2A-4B39-A457-FB428D546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9202527"/>
        <c:axId val="1148652239"/>
      </c:barChart>
      <c:catAx>
        <c:axId val="1149202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8652239"/>
        <c:crosses val="autoZero"/>
        <c:auto val="1"/>
        <c:lblAlgn val="ctr"/>
        <c:lblOffset val="100"/>
        <c:noMultiLvlLbl val="0"/>
      </c:catAx>
      <c:valAx>
        <c:axId val="1148652239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4920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12553702568216"/>
          <c:y val="4.1068218908166539E-2"/>
          <c:w val="0.14716436274301486"/>
          <c:h val="0.446516105257616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bg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24392958393097"/>
          <c:y val="5.5441460511419585E-2"/>
          <c:w val="0.64274840929836019"/>
          <c:h val="0.86447642986097439"/>
        </c:manualLayout>
      </c:layout>
      <c:doughnutChart>
        <c:varyColors val="1"/>
        <c:ser>
          <c:idx val="1"/>
          <c:order val="1"/>
          <c:tx>
            <c:strRef>
              <c:f>Wzrost!$O$1</c:f>
              <c:strCache>
                <c:ptCount val="1"/>
                <c:pt idx="0">
                  <c:v>Neg Value</c:v>
                </c:pt>
              </c:strCache>
            </c:strRef>
          </c:tx>
          <c:spPr>
            <a:solidFill>
              <a:srgbClr val="CC0000">
                <a:alpha val="50000"/>
              </a:srgbClr>
            </a:solidFill>
            <a:ln w="3175">
              <a:noFill/>
            </a:ln>
            <a:effectLst>
              <a:glow>
                <a:srgbClr val="CC0000">
                  <a:alpha val="75000"/>
                </a:srgbClr>
              </a:glow>
            </a:effectLst>
          </c:spPr>
          <c:dPt>
            <c:idx val="0"/>
            <c:bubble3D val="0"/>
            <c:spPr>
              <a:solidFill>
                <a:srgbClr val="CC0000">
                  <a:alpha val="50000"/>
                </a:srgbClr>
              </a:solidFill>
              <a:ln w="3175">
                <a:noFill/>
              </a:ln>
              <a:effectLst>
                <a:glow>
                  <a:srgbClr val="CC000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4749-4360-95C7-4AEADA8DB87A}"/>
              </c:ext>
            </c:extLst>
          </c:dPt>
          <c:dPt>
            <c:idx val="1"/>
            <c:bubble3D val="0"/>
            <c:spPr>
              <a:noFill/>
              <a:ln w="3175">
                <a:noFill/>
              </a:ln>
              <a:effectLst>
                <a:glow>
                  <a:srgbClr val="CC000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4749-4360-95C7-4AEADA8DB87A}"/>
              </c:ext>
            </c:extLst>
          </c:dPt>
          <c:val>
            <c:numRef>
              <c:f>Wzrost!$O$10:$P$10</c:f>
              <c:numCache>
                <c:formatCode>0.00%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49-4360-95C7-4AEADA8DB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doughnutChart>
        <c:varyColors val="1"/>
        <c:ser>
          <c:idx val="0"/>
          <c:order val="0"/>
          <c:tx>
            <c:strRef>
              <c:f>Wzrost!$M$1</c:f>
              <c:strCache>
                <c:ptCount val="1"/>
                <c:pt idx="0">
                  <c:v>Pos value</c:v>
                </c:pt>
              </c:strCache>
            </c:strRef>
          </c:tx>
          <c:spPr>
            <a:noFill/>
            <a:ln>
              <a:noFill/>
            </a:ln>
            <a:effectLst>
              <a:glow rad="63500">
                <a:srgbClr val="00B0F0">
                  <a:alpha val="75000"/>
                </a:srgbClr>
              </a:glow>
            </a:effectLst>
          </c:spPr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 w="34925">
                <a:noFill/>
              </a:ln>
              <a:effectLst>
                <a:glow>
                  <a:schemeClr val="tx2">
                    <a:lumMod val="60000"/>
                    <a:lumOff val="40000"/>
                    <a:alpha val="7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6-4749-4360-95C7-4AEADA8DB87A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>
                <a:glow rad="63500">
                  <a:srgbClr val="00B0F0">
                    <a:alpha val="75000"/>
                  </a:srgb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8-4749-4360-95C7-4AEADA8DB87A}"/>
              </c:ext>
            </c:extLst>
          </c:dPt>
          <c:val>
            <c:numRef>
              <c:f>Wzrost!$M$10:$N$10</c:f>
              <c:numCache>
                <c:formatCode>0.00%</c:formatCode>
                <c:ptCount val="2"/>
                <c:pt idx="0">
                  <c:v>6.5762756635474151E-2</c:v>
                </c:pt>
                <c:pt idx="1">
                  <c:v>0.13423724336452586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749-4360-95C7-4AEADA8DB8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'Wybrane dane i wskaźniki'!$B$44</c:f>
              <c:strCache>
                <c:ptCount val="1"/>
                <c:pt idx="0">
                  <c:v>Dynamika zysku netto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'Wybrane dane i wskaźniki'!$D$44:$H$44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-0.74817419529348117</c:v>
                </c:pt>
                <c:pt idx="2">
                  <c:v>0.10633727175080561</c:v>
                </c:pt>
                <c:pt idx="3">
                  <c:v>1.7359223300970872</c:v>
                </c:pt>
                <c:pt idx="4">
                  <c:v>0.65046132008516677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4-42F2-AA59-4E4341FCB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48585008"/>
        <c:axId val="-1748581200"/>
      </c:barChart>
      <c:lineChart>
        <c:grouping val="standard"/>
        <c:varyColors val="0"/>
        <c:ser>
          <c:idx val="0"/>
          <c:order val="0"/>
          <c:tx>
            <c:strRef>
              <c:f>'Wybrane dane i wskaźniki'!$B$8</c:f>
              <c:strCache>
                <c:ptCount val="1"/>
                <c:pt idx="0">
                  <c:v>Zysk netto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wskaźniki'!$D$8:$H$8</c:f>
              <c:numCache>
                <c:formatCode>#,##0.00</c:formatCode>
                <c:ptCount val="5"/>
                <c:pt idx="0">
                  <c:v>36.97</c:v>
                </c:pt>
                <c:pt idx="1">
                  <c:v>9.31</c:v>
                </c:pt>
                <c:pt idx="2">
                  <c:v>10.3</c:v>
                </c:pt>
                <c:pt idx="3">
                  <c:v>28.18</c:v>
                </c:pt>
                <c:pt idx="4">
                  <c:v>46.51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24-42F2-AA59-4E4341FCB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48564880"/>
        <c:axId val="-1748558896"/>
      </c:lineChart>
      <c:catAx>
        <c:axId val="-174856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58896"/>
        <c:crosses val="autoZero"/>
        <c:auto val="1"/>
        <c:lblAlgn val="ctr"/>
        <c:lblOffset val="100"/>
        <c:noMultiLvlLbl val="0"/>
      </c:catAx>
      <c:valAx>
        <c:axId val="-174855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64880"/>
        <c:crosses val="autoZero"/>
        <c:crossBetween val="between"/>
      </c:valAx>
      <c:valAx>
        <c:axId val="-1748581200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85008"/>
        <c:crosses val="max"/>
        <c:crossBetween val="between"/>
      </c:valAx>
      <c:catAx>
        <c:axId val="-1748585008"/>
        <c:scaling>
          <c:orientation val="minMax"/>
        </c:scaling>
        <c:delete val="1"/>
        <c:axPos val="b"/>
        <c:majorTickMark val="out"/>
        <c:minorTickMark val="none"/>
        <c:tickLblPos val="nextTo"/>
        <c:crossAx val="-174858120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'Wybrane dane i wskaźniki'!$B$45</c:f>
              <c:strCache>
                <c:ptCount val="1"/>
                <c:pt idx="0">
                  <c:v>Dynamika sprzedaży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wskaźniki'!$D$45:$H$45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1.095438175270114E-2</c:v>
                </c:pt>
                <c:pt idx="2">
                  <c:v>0.15225619712037988</c:v>
                </c:pt>
                <c:pt idx="3">
                  <c:v>0.1917490580013527</c:v>
                </c:pt>
                <c:pt idx="4">
                  <c:v>5.7830022969868567E-3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1-4E15-BEF2-FBB78BE3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48589904"/>
        <c:axId val="-1748573040"/>
      </c:barChart>
      <c:lineChart>
        <c:grouping val="standard"/>
        <c:varyColors val="0"/>
        <c:ser>
          <c:idx val="0"/>
          <c:order val="0"/>
          <c:tx>
            <c:strRef>
              <c:f>'Wybrane dane i wskaźniki'!$B$3</c:f>
              <c:strCache>
                <c:ptCount val="1"/>
                <c:pt idx="0">
                  <c:v>Przychody ze sprzedaży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wskaźniki'!$D$3:$H$3</c:f>
              <c:numCache>
                <c:formatCode>#,##0.00</c:formatCode>
                <c:ptCount val="5"/>
                <c:pt idx="0">
                  <c:v>266.56</c:v>
                </c:pt>
                <c:pt idx="1">
                  <c:v>269.48</c:v>
                </c:pt>
                <c:pt idx="2">
                  <c:v>310.51</c:v>
                </c:pt>
                <c:pt idx="3">
                  <c:v>370.05</c:v>
                </c:pt>
                <c:pt idx="4">
                  <c:v>372.19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81-4E15-BEF2-FBB78BE3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48558352"/>
        <c:axId val="-1748579024"/>
      </c:lineChart>
      <c:catAx>
        <c:axId val="-174855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79024"/>
        <c:crosses val="autoZero"/>
        <c:auto val="1"/>
        <c:lblAlgn val="ctr"/>
        <c:lblOffset val="100"/>
        <c:noMultiLvlLbl val="0"/>
      </c:catAx>
      <c:valAx>
        <c:axId val="-174857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58352"/>
        <c:crosses val="autoZero"/>
        <c:crossBetween val="between"/>
      </c:valAx>
      <c:valAx>
        <c:axId val="-1748573040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89904"/>
        <c:crosses val="max"/>
        <c:crossBetween val="between"/>
      </c:valAx>
      <c:catAx>
        <c:axId val="-1748589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4857304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wskaźniki'!$B$10</c:f>
              <c:strCache>
                <c:ptCount val="1"/>
                <c:pt idx="0">
                  <c:v>Zysk na akcję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wskaźniki'!$D$10:$H$10</c:f>
              <c:numCache>
                <c:formatCode>#,##0.00</c:formatCode>
                <c:ptCount val="5"/>
                <c:pt idx="0">
                  <c:v>2.09</c:v>
                </c:pt>
                <c:pt idx="1">
                  <c:v>0.52</c:v>
                </c:pt>
                <c:pt idx="2">
                  <c:v>0.58000000000000007</c:v>
                </c:pt>
                <c:pt idx="3">
                  <c:v>1.5399999999999998</c:v>
                </c:pt>
                <c:pt idx="4">
                  <c:v>2.84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B6-4505-B176-3C089F38BA74}"/>
            </c:ext>
          </c:extLst>
        </c:ser>
        <c:ser>
          <c:idx val="2"/>
          <c:order val="1"/>
          <c:tx>
            <c:strRef>
              <c:f>'Wybrane dane i wskaźniki'!$B$12</c:f>
              <c:strCache>
                <c:ptCount val="1"/>
                <c:pt idx="0">
                  <c:v>Rozwodniony znorm. zysk na akcję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wskaźniki'!$D$12:$H$12</c:f>
              <c:numCache>
                <c:formatCode>#,##0.00</c:formatCode>
                <c:ptCount val="5"/>
                <c:pt idx="0">
                  <c:v>2.09</c:v>
                </c:pt>
                <c:pt idx="1">
                  <c:v>0.52</c:v>
                </c:pt>
                <c:pt idx="2">
                  <c:v>0.58000000000000007</c:v>
                </c:pt>
                <c:pt idx="3">
                  <c:v>1.5399999999999998</c:v>
                </c:pt>
                <c:pt idx="4">
                  <c:v>2.84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B6-4505-B176-3C089F38B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48557808"/>
        <c:axId val="-1748577392"/>
      </c:barChart>
      <c:catAx>
        <c:axId val="-17485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77392"/>
        <c:crosses val="autoZero"/>
        <c:auto val="1"/>
        <c:lblAlgn val="ctr"/>
        <c:lblOffset val="100"/>
        <c:noMultiLvlLbl val="0"/>
      </c:catAx>
      <c:valAx>
        <c:axId val="-17485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57808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wskaźniki'!$L$3</c:f>
              <c:strCache>
                <c:ptCount val="1"/>
                <c:pt idx="0">
                  <c:v>Normalizacja EPS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wskaźniki'!$M$3:$Q$3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9-4C26-9A75-6FC6A626FBA3}"/>
            </c:ext>
          </c:extLst>
        </c:ser>
        <c:ser>
          <c:idx val="1"/>
          <c:order val="1"/>
          <c:tx>
            <c:strRef>
              <c:f>'Wybrane dane i wskaźniki'!$L$4</c:f>
              <c:strCache>
                <c:ptCount val="1"/>
                <c:pt idx="0">
                  <c:v>Rozwodnienie EPS</c:v>
                </c:pt>
              </c:strCache>
            </c:strRef>
          </c:tx>
          <c:invertIfNegative val="0"/>
          <c:val>
            <c:numRef>
              <c:f>'Wybrane dane i wskaźniki'!$M$4:$Q$4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A9-4C26-9A75-6FC6A626F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48584464"/>
        <c:axId val="-1748570864"/>
      </c:barChart>
      <c:catAx>
        <c:axId val="-174858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70864"/>
        <c:crosses val="autoZero"/>
        <c:auto val="1"/>
        <c:lblAlgn val="ctr"/>
        <c:lblOffset val="100"/>
        <c:noMultiLvlLbl val="0"/>
      </c:catAx>
      <c:valAx>
        <c:axId val="-174857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84464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'Wybrane dane i wskaźniki'!$B$46</c:f>
              <c:strCache>
                <c:ptCount val="1"/>
                <c:pt idx="0">
                  <c:v>Dynamika znorm. zysku na akcję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wskaźniki'!$D$46:$H$46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-0.75119617224880386</c:v>
                </c:pt>
                <c:pt idx="2">
                  <c:v>0.11538461538461542</c:v>
                </c:pt>
                <c:pt idx="3">
                  <c:v>1.6551724137931028</c:v>
                </c:pt>
                <c:pt idx="4">
                  <c:v>0.84415584415584433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D8-4375-BDFD-A74E59757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48580656"/>
        <c:axId val="-1748556720"/>
      </c:barChart>
      <c:lineChart>
        <c:grouping val="standard"/>
        <c:varyColors val="0"/>
        <c:ser>
          <c:idx val="0"/>
          <c:order val="0"/>
          <c:tx>
            <c:strRef>
              <c:f>'Wybrane dane i wskaźniki'!$B$11</c:f>
              <c:strCache>
                <c:ptCount val="1"/>
                <c:pt idx="0">
                  <c:v>Znormalizowany zysk na akcję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wskaźniki'!$D$11:$H$11</c:f>
              <c:numCache>
                <c:formatCode>#,##0.00</c:formatCode>
                <c:ptCount val="5"/>
                <c:pt idx="0">
                  <c:v>2.09</c:v>
                </c:pt>
                <c:pt idx="1">
                  <c:v>0.52</c:v>
                </c:pt>
                <c:pt idx="2">
                  <c:v>0.58000000000000007</c:v>
                </c:pt>
                <c:pt idx="3">
                  <c:v>1.5399999999999998</c:v>
                </c:pt>
                <c:pt idx="4">
                  <c:v>2.84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D8-4375-BDFD-A74E59757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48582832"/>
        <c:axId val="-1748582288"/>
      </c:lineChart>
      <c:catAx>
        <c:axId val="-174858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82288"/>
        <c:crosses val="autoZero"/>
        <c:auto val="1"/>
        <c:lblAlgn val="ctr"/>
        <c:lblOffset val="100"/>
        <c:noMultiLvlLbl val="0"/>
      </c:catAx>
      <c:valAx>
        <c:axId val="-17485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82832"/>
        <c:crosses val="autoZero"/>
        <c:crossBetween val="between"/>
      </c:valAx>
      <c:valAx>
        <c:axId val="-1748556720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80656"/>
        <c:crosses val="max"/>
        <c:crossBetween val="between"/>
      </c:valAx>
      <c:catAx>
        <c:axId val="-1748580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4855672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wskaźniki'!$B$44</c:f>
              <c:strCache>
                <c:ptCount val="1"/>
                <c:pt idx="0">
                  <c:v>Dynamika zysku netto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wskaźniki'!$D$44:$H$44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-0.74817419529348117</c:v>
                </c:pt>
                <c:pt idx="2">
                  <c:v>0.10633727175080561</c:v>
                </c:pt>
                <c:pt idx="3">
                  <c:v>1.7359223300970872</c:v>
                </c:pt>
                <c:pt idx="4">
                  <c:v>0.65046132008516677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F3-4112-A310-4DDA86B5C1E1}"/>
            </c:ext>
          </c:extLst>
        </c:ser>
        <c:ser>
          <c:idx val="1"/>
          <c:order val="1"/>
          <c:tx>
            <c:strRef>
              <c:f>'Wybrane dane i wskaźniki'!$B$45</c:f>
              <c:strCache>
                <c:ptCount val="1"/>
                <c:pt idx="0">
                  <c:v>Dynamika sprzedaży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wskaźniki'!$D$45:$H$45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1.095438175270114E-2</c:v>
                </c:pt>
                <c:pt idx="2">
                  <c:v>0.15225619712037988</c:v>
                </c:pt>
                <c:pt idx="3">
                  <c:v>0.1917490580013527</c:v>
                </c:pt>
                <c:pt idx="4">
                  <c:v>5.7830022969868567E-3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F3-4112-A310-4DDA86B5C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48589360"/>
        <c:axId val="-1748576848"/>
      </c:barChart>
      <c:valAx>
        <c:axId val="-1748576848"/>
        <c:scaling>
          <c:orientation val="minMax"/>
        </c:scaling>
        <c:delete val="0"/>
        <c:axPos val="r"/>
        <c:majorGridlines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89360"/>
        <c:crosses val="max"/>
        <c:crossBetween val="between"/>
      </c:valAx>
      <c:catAx>
        <c:axId val="-174858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48576848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wskaźniki'!$L$18</c:f>
              <c:strCache>
                <c:ptCount val="1"/>
                <c:pt idx="0">
                  <c:v>Ogólne zadłużenie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'Wybrane dane i wskaźniki'!$E$2:$H$2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'Wybrane dane i wskaźniki'!$N$18:$Q$18</c:f>
              <c:numCache>
                <c:formatCode>0.00</c:formatCode>
                <c:ptCount val="4"/>
                <c:pt idx="0">
                  <c:v>0.7546702299473399</c:v>
                </c:pt>
                <c:pt idx="1">
                  <c:v>0.77937572365881891</c:v>
                </c:pt>
                <c:pt idx="2">
                  <c:v>0.81385963530040017</c:v>
                </c:pt>
                <c:pt idx="3">
                  <c:v>0.86095632008860579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6-46BC-852D-A1F46676BC61}"/>
            </c:ext>
          </c:extLst>
        </c:ser>
        <c:ser>
          <c:idx val="1"/>
          <c:order val="1"/>
          <c:tx>
            <c:strRef>
              <c:f>'Wybrane dane i wskaźniki'!$L$19</c:f>
              <c:strCache>
                <c:ptCount val="1"/>
                <c:pt idx="0">
                  <c:v>Zobowiązania do k. własnych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'Wybrane dane i wskaźniki'!$E$2:$H$2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'Wybrane dane i wskaźniki'!$N$19:$Q$19</c:f>
              <c:numCache>
                <c:formatCode>0.00</c:formatCode>
                <c:ptCount val="4"/>
                <c:pt idx="0">
                  <c:v>3.076146159454475</c:v>
                </c:pt>
                <c:pt idx="1">
                  <c:v>3.5325927707681877</c:v>
                </c:pt>
                <c:pt idx="2">
                  <c:v>4.3721870811484473</c:v>
                </c:pt>
                <c:pt idx="3">
                  <c:v>6.191791903917359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6-46BC-852D-A1F46676BC61}"/>
            </c:ext>
          </c:extLst>
        </c:ser>
        <c:ser>
          <c:idx val="2"/>
          <c:order val="2"/>
          <c:tx>
            <c:strRef>
              <c:f>'Wybrane dane i wskaźniki'!$L$20</c:f>
              <c:strCache>
                <c:ptCount val="1"/>
                <c:pt idx="0">
                  <c:v>Debt/equity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'Wybrane dane i wskaźniki'!$E$2:$H$2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'Wybrane dane i wskaźniki'!$N$20:$Q$20</c:f>
              <c:numCache>
                <c:formatCode>0.00</c:formatCode>
                <c:ptCount val="4"/>
                <c:pt idx="0">
                  <c:v>1.5886477677231201</c:v>
                </c:pt>
                <c:pt idx="1">
                  <c:v>1.8959567907983643</c:v>
                </c:pt>
                <c:pt idx="2">
                  <c:v>2.3482258330002117</c:v>
                </c:pt>
                <c:pt idx="3">
                  <c:v>3.4332119854382532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F6-46BC-852D-A1F46676BC61}"/>
            </c:ext>
          </c:extLst>
        </c:ser>
        <c:ser>
          <c:idx val="3"/>
          <c:order val="3"/>
          <c:tx>
            <c:strRef>
              <c:f>'Wybrane dane i wskaźniki'!$L$21</c:f>
              <c:strCache>
                <c:ptCount val="1"/>
                <c:pt idx="0">
                  <c:v>Struktura zobowiązań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'Wybrane dane i wskaźniki'!$E$2:$H$2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'Wybrane dane i wskaźniki'!$N$21:$Q$21</c:f>
              <c:numCache>
                <c:formatCode>0.00</c:formatCode>
                <c:ptCount val="4"/>
                <c:pt idx="0">
                  <c:v>1.9028113737600472</c:v>
                </c:pt>
                <c:pt idx="1">
                  <c:v>1.8919089564157003</c:v>
                </c:pt>
                <c:pt idx="2">
                  <c:v>1.8826262800103257</c:v>
                </c:pt>
                <c:pt idx="3">
                  <c:v>1.8891948662800631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F6-46BC-852D-A1F46676B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48569232"/>
        <c:axId val="-1748567056"/>
      </c:barChart>
      <c:catAx>
        <c:axId val="-174856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67056"/>
        <c:crosses val="autoZero"/>
        <c:auto val="1"/>
        <c:lblAlgn val="ctr"/>
        <c:lblOffset val="100"/>
        <c:noMultiLvlLbl val="0"/>
      </c:catAx>
      <c:valAx>
        <c:axId val="-174856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69232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wskaźniki'!$L$24</c:f>
              <c:strCache>
                <c:ptCount val="1"/>
                <c:pt idx="0">
                  <c:v>Płynność bieżąca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'Wybrane dane i wskaźniki'!$E$2:$H$2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'Wybrane dane i wskaźniki'!$N$24:$Q$24</c:f>
              <c:numCache>
                <c:formatCode>0.00</c:formatCode>
                <c:ptCount val="4"/>
                <c:pt idx="0">
                  <c:v>1.0045904461339836</c:v>
                </c:pt>
                <c:pt idx="1">
                  <c:v>0.73992212551534586</c:v>
                </c:pt>
                <c:pt idx="2">
                  <c:v>0.63694676074406664</c:v>
                </c:pt>
                <c:pt idx="3">
                  <c:v>0.66077097505668925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A-4376-86CC-5483F6D7A7A5}"/>
            </c:ext>
          </c:extLst>
        </c:ser>
        <c:ser>
          <c:idx val="1"/>
          <c:order val="1"/>
          <c:tx>
            <c:strRef>
              <c:f>'Wybrane dane i wskaźniki'!$L$25</c:f>
              <c:strCache>
                <c:ptCount val="1"/>
                <c:pt idx="0">
                  <c:v>Płynność szybka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'Wybrane dane i wskaźniki'!$E$2:$H$2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'Wybrane dane i wskaźniki'!$N$25:$Q$25</c:f>
              <c:numCache>
                <c:formatCode>0.00</c:formatCode>
                <c:ptCount val="4"/>
                <c:pt idx="0">
                  <c:v>0.80906613111461756</c:v>
                </c:pt>
                <c:pt idx="1">
                  <c:v>0.57879065506184157</c:v>
                </c:pt>
                <c:pt idx="2">
                  <c:v>0.5016952258773939</c:v>
                </c:pt>
                <c:pt idx="3">
                  <c:v>0.52417233560090692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1A-4376-86CC-5483F6D7A7A5}"/>
            </c:ext>
          </c:extLst>
        </c:ser>
        <c:ser>
          <c:idx val="2"/>
          <c:order val="2"/>
          <c:tx>
            <c:strRef>
              <c:f>'Wybrane dane i wskaźniki'!$L$26</c:f>
              <c:strCache>
                <c:ptCount val="1"/>
                <c:pt idx="0">
                  <c:v>Adekwatność gotówkowa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'Wybrane dane i wskaźniki'!$E$2:$H$2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'Wybrane dane i wskaźniki'!$N$26:$Q$26</c:f>
              <c:numCache>
                <c:formatCode>0.00</c:formatCode>
                <c:ptCount val="4"/>
                <c:pt idx="0">
                  <c:v>1.3295079615550134</c:v>
                </c:pt>
                <c:pt idx="1">
                  <c:v>1.7175904718277604</c:v>
                </c:pt>
                <c:pt idx="2">
                  <c:v>1.5539265096673693</c:v>
                </c:pt>
                <c:pt idx="3">
                  <c:v>1.1718820861678005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1A-4376-86CC-5483F6D7A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48578480"/>
        <c:axId val="-1748569776"/>
      </c:barChart>
      <c:catAx>
        <c:axId val="-174857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69776"/>
        <c:crosses val="autoZero"/>
        <c:auto val="1"/>
        <c:lblAlgn val="ctr"/>
        <c:lblOffset val="100"/>
        <c:noMultiLvlLbl val="0"/>
      </c:catAx>
      <c:valAx>
        <c:axId val="-174856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78480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wskaźniki'!$L$29</c:f>
              <c:strCache>
                <c:ptCount val="1"/>
                <c:pt idx="0">
                  <c:v>Δ bieżąca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'Wybrane dane i wskaźniki'!$O$28:$Q$28</c:f>
              <c:strCache>
                <c:ptCount val="3"/>
                <c:pt idx="0">
                  <c:v>2019-2020</c:v>
                </c:pt>
                <c:pt idx="1">
                  <c:v>2020-2021</c:v>
                </c:pt>
                <c:pt idx="2">
                  <c:v>2021-2022</c:v>
                </c:pt>
              </c:strCache>
            </c:strRef>
          </c:cat>
          <c:val>
            <c:numRef>
              <c:f>'Wybrane dane i wskaźniki'!$O$29:$Q$29</c:f>
              <c:numCache>
                <c:formatCode>0.00</c:formatCode>
                <c:ptCount val="3"/>
                <c:pt idx="0">
                  <c:v>-0.26466832061863776</c:v>
                </c:pt>
                <c:pt idx="1">
                  <c:v>-0.10297536477127922</c:v>
                </c:pt>
                <c:pt idx="2">
                  <c:v>2.3824214312622605E-2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E-4D14-8AE7-252A6148BE2D}"/>
            </c:ext>
          </c:extLst>
        </c:ser>
        <c:ser>
          <c:idx val="1"/>
          <c:order val="1"/>
          <c:tx>
            <c:strRef>
              <c:f>'Wybrane dane i wskaźniki'!$L$30</c:f>
              <c:strCache>
                <c:ptCount val="1"/>
                <c:pt idx="0">
                  <c:v>Δ szybka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'Wybrane dane i wskaźniki'!$O$28:$Q$28</c:f>
              <c:strCache>
                <c:ptCount val="3"/>
                <c:pt idx="0">
                  <c:v>2019-2020</c:v>
                </c:pt>
                <c:pt idx="1">
                  <c:v>2020-2021</c:v>
                </c:pt>
                <c:pt idx="2">
                  <c:v>2021-2022</c:v>
                </c:pt>
              </c:strCache>
            </c:strRef>
          </c:cat>
          <c:val>
            <c:numRef>
              <c:f>'Wybrane dane i wskaźniki'!$O$30:$Q$30</c:f>
              <c:numCache>
                <c:formatCode>0.00</c:formatCode>
                <c:ptCount val="3"/>
                <c:pt idx="0">
                  <c:v>-0.23027547605277598</c:v>
                </c:pt>
                <c:pt idx="1">
                  <c:v>-7.7095429184447672E-2</c:v>
                </c:pt>
                <c:pt idx="2">
                  <c:v>2.2477109723513022E-2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2E-4D14-8AE7-252A6148BE2D}"/>
            </c:ext>
          </c:extLst>
        </c:ser>
        <c:ser>
          <c:idx val="2"/>
          <c:order val="2"/>
          <c:tx>
            <c:strRef>
              <c:f>'Wybrane dane i wskaźniki'!$L$31</c:f>
              <c:strCache>
                <c:ptCount val="1"/>
                <c:pt idx="0">
                  <c:v>Δ adekwatność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'Wybrane dane i wskaźniki'!$O$28:$Q$28</c:f>
              <c:strCache>
                <c:ptCount val="3"/>
                <c:pt idx="0">
                  <c:v>2019-2020</c:v>
                </c:pt>
                <c:pt idx="1">
                  <c:v>2020-2021</c:v>
                </c:pt>
                <c:pt idx="2">
                  <c:v>2021-2022</c:v>
                </c:pt>
              </c:strCache>
            </c:strRef>
          </c:cat>
          <c:val>
            <c:numRef>
              <c:f>'Wybrane dane i wskaźniki'!$O$31:$Q$31</c:f>
              <c:numCache>
                <c:formatCode>0.00</c:formatCode>
                <c:ptCount val="3"/>
                <c:pt idx="0">
                  <c:v>0.38808251027274698</c:v>
                </c:pt>
                <c:pt idx="1">
                  <c:v>-0.16366396216039103</c:v>
                </c:pt>
                <c:pt idx="2">
                  <c:v>-0.3820444234995688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2E-4D14-8AE7-252A6148B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48577936"/>
        <c:axId val="-1748588272"/>
      </c:barChart>
      <c:catAx>
        <c:axId val="-17485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88272"/>
        <c:crosses val="autoZero"/>
        <c:auto val="1"/>
        <c:lblAlgn val="ctr"/>
        <c:lblOffset val="100"/>
        <c:noMultiLvlLbl val="0"/>
      </c:catAx>
      <c:valAx>
        <c:axId val="-174858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77936"/>
        <c:crosses val="autoZero"/>
        <c:crossBetween val="between"/>
      </c:valAx>
      <c:dTable>
        <c:showHorzBorder val="1"/>
        <c:showVertBorder val="1"/>
        <c:showOutline val="1"/>
        <c:showKeys val="1"/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wskaźniki'!$L$37</c:f>
              <c:strCache>
                <c:ptCount val="1"/>
                <c:pt idx="0">
                  <c:v>Zadłużenie netto jako % kapitalizacji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wskaźniki'!$M$37:$Q$37</c:f>
              <c:numCache>
                <c:formatCode>0.00%</c:formatCode>
                <c:ptCount val="5"/>
                <c:pt idx="0">
                  <c:v>0.85844425448772732</c:v>
                </c:pt>
                <c:pt idx="1">
                  <c:v>1.0167427701674276</c:v>
                </c:pt>
                <c:pt idx="2">
                  <c:v>1.2112655012699836</c:v>
                </c:pt>
                <c:pt idx="3">
                  <c:v>0.63590491141511551</c:v>
                </c:pt>
                <c:pt idx="4">
                  <c:v>1.1487484452736318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79-4D19-8A21-D9BF1FE96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48587728"/>
        <c:axId val="-1748585552"/>
      </c:barChart>
      <c:catAx>
        <c:axId val="-174858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85552"/>
        <c:crosses val="autoZero"/>
        <c:auto val="1"/>
        <c:lblAlgn val="ctr"/>
        <c:lblOffset val="100"/>
        <c:noMultiLvlLbl val="0"/>
      </c:catAx>
      <c:valAx>
        <c:axId val="-17485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877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'Wybrane dane i wskaźniki'!$B$48</c:f>
              <c:strCache>
                <c:ptCount val="1"/>
                <c:pt idx="0">
                  <c:v>Dynamika $ z 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'Wybrane dane i wskaźniki'!$D$48:$H$48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-0.12779973649538867</c:v>
                </c:pt>
                <c:pt idx="2">
                  <c:v>0.61825636599050537</c:v>
                </c:pt>
                <c:pt idx="3">
                  <c:v>0.13068409121216162</c:v>
                </c:pt>
                <c:pt idx="4">
                  <c:v>-0.23811770255926401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5-492D-BEC2-F7985D1BB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748537136"/>
        <c:axId val="-1748572496"/>
      </c:barChart>
      <c:lineChart>
        <c:grouping val="standard"/>
        <c:varyColors val="0"/>
        <c:ser>
          <c:idx val="0"/>
          <c:order val="0"/>
          <c:tx>
            <c:strRef>
              <c:f>'Wybrane dane i wskaźniki'!$B$26</c:f>
              <c:strCache>
                <c:ptCount val="1"/>
                <c:pt idx="0">
                  <c:v>Gotówka z działalności operacyjnej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wskaźniki'!$D$26:$H$26</c:f>
              <c:numCache>
                <c:formatCode>#,##0.00</c:formatCode>
                <c:ptCount val="5"/>
                <c:pt idx="0">
                  <c:v>53.129999999999995</c:v>
                </c:pt>
                <c:pt idx="1">
                  <c:v>46.339999999999996</c:v>
                </c:pt>
                <c:pt idx="2">
                  <c:v>74.990000000000009</c:v>
                </c:pt>
                <c:pt idx="3">
                  <c:v>84.79</c:v>
                </c:pt>
                <c:pt idx="4">
                  <c:v>64.600000000000009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05-492D-BEC2-F7985D1BB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48575760"/>
        <c:axId val="-1748576304"/>
      </c:lineChart>
      <c:valAx>
        <c:axId val="-174857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75760"/>
        <c:crosses val="autoZero"/>
        <c:crossBetween val="between"/>
      </c:valAx>
      <c:catAx>
        <c:axId val="-17485757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48576304"/>
        <c:crosses val="autoZero"/>
        <c:auto val="1"/>
        <c:lblAlgn val="ctr"/>
        <c:lblOffset val="100"/>
        <c:noMultiLvlLbl val="0"/>
      </c:catAx>
      <c:valAx>
        <c:axId val="-17485724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37136"/>
        <c:crosses val="max"/>
        <c:crossBetween val="between"/>
      </c:valAx>
      <c:catAx>
        <c:axId val="-1748537136"/>
        <c:scaling>
          <c:orientation val="minMax"/>
        </c:scaling>
        <c:delete val="1"/>
        <c:axPos val="b"/>
        <c:majorTickMark val="out"/>
        <c:minorTickMark val="none"/>
        <c:tickLblPos val="nextTo"/>
        <c:crossAx val="-174857249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wskaźniki'!$L$39</c:f>
              <c:strCache>
                <c:ptCount val="1"/>
                <c:pt idx="0">
                  <c:v>Normalizacja jako % sprzedaży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wskaźniki'!$M$39:$Q$39</c:f>
              <c:numCache>
                <c:formatCode>0.00%</c:formatCode>
                <c:ptCount val="5"/>
                <c:pt idx="0">
                  <c:v>1.0279111644657843E-2</c:v>
                </c:pt>
                <c:pt idx="1">
                  <c:v>1.8554252634703477E-4</c:v>
                </c:pt>
                <c:pt idx="2">
                  <c:v>4.5087114746707212E-4</c:v>
                </c:pt>
                <c:pt idx="3">
                  <c:v>-1.2430752600999983E-3</c:v>
                </c:pt>
                <c:pt idx="4">
                  <c:v>-2.8748757355114333E-3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AD-4706-8D57-26F2CE853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48531152"/>
        <c:axId val="-1748529520"/>
      </c:barChart>
      <c:valAx>
        <c:axId val="-1748529520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31152"/>
        <c:crosses val="autoZero"/>
        <c:crossBetween val="between"/>
      </c:valAx>
      <c:catAx>
        <c:axId val="-1748531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4852952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wskaźniki'!$L$41</c:f>
              <c:strCache>
                <c:ptCount val="1"/>
                <c:pt idx="0">
                  <c:v>P/CFO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wskaźniki'!$M$41:$Q$41</c:f>
              <c:numCache>
                <c:formatCode>0.00</c:formatCode>
                <c:ptCount val="5"/>
                <c:pt idx="0">
                  <c:v>7.7065687935253155</c:v>
                </c:pt>
                <c:pt idx="1">
                  <c:v>7.9395770392749263</c:v>
                </c:pt>
                <c:pt idx="2">
                  <c:v>5.3551140152020267</c:v>
                </c:pt>
                <c:pt idx="3">
                  <c:v>9.4659747611746674</c:v>
                </c:pt>
                <c:pt idx="4">
                  <c:v>7.9653250773993793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2-4B10-A065-86851B883B92}"/>
            </c:ext>
          </c:extLst>
        </c:ser>
        <c:ser>
          <c:idx val="1"/>
          <c:order val="1"/>
          <c:tx>
            <c:strRef>
              <c:f>'Wybrane dane i wskaźniki'!$L$42</c:f>
              <c:strCache>
                <c:ptCount val="1"/>
                <c:pt idx="0">
                  <c:v>P/CFO ex. $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'Wybrane dane i wskaźniki'!$M$42:$Q$42</c:f>
              <c:numCache>
                <c:formatCode>0.00</c:formatCode>
                <c:ptCount val="5"/>
                <c:pt idx="0">
                  <c:v>7.7065687935253155</c:v>
                </c:pt>
                <c:pt idx="1">
                  <c:v>7.9395770392749263</c:v>
                </c:pt>
                <c:pt idx="2">
                  <c:v>5.3551140152020267</c:v>
                </c:pt>
                <c:pt idx="3">
                  <c:v>9.4659747611746674</c:v>
                </c:pt>
                <c:pt idx="4">
                  <c:v>7.9653250773993793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2-4B10-A065-86851B883B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748528432"/>
        <c:axId val="-1748543120"/>
      </c:barChart>
      <c:catAx>
        <c:axId val="-174852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43120"/>
        <c:crosses val="autoZero"/>
        <c:auto val="1"/>
        <c:lblAlgn val="ctr"/>
        <c:lblOffset val="100"/>
        <c:noMultiLvlLbl val="0"/>
      </c:catAx>
      <c:valAx>
        <c:axId val="-1748543120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2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'Wybrane dane i wskaźniki'!$B$49</c:f>
              <c:strCache>
                <c:ptCount val="1"/>
                <c:pt idx="0">
                  <c:v>Dynamika EBITDA</c:v>
                </c:pt>
              </c:strCache>
            </c:strRef>
          </c:tx>
          <c:invertIfNegative val="0"/>
          <c:val>
            <c:numRef>
              <c:f>'Wybrane dane i wskaźniki'!$D$49:$H$49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-0.10236456150853024</c:v>
                </c:pt>
                <c:pt idx="2">
                  <c:v>0.1528842947649216</c:v>
                </c:pt>
                <c:pt idx="3">
                  <c:v>0.28604483007953729</c:v>
                </c:pt>
                <c:pt idx="4">
                  <c:v>0.21005285055661749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C4-400E-9A26-8514907A9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1606320"/>
        <c:axId val="791610064"/>
      </c:barChart>
      <c:lineChart>
        <c:grouping val="standard"/>
        <c:varyColors val="0"/>
        <c:ser>
          <c:idx val="0"/>
          <c:order val="0"/>
          <c:tx>
            <c:strRef>
              <c:f>'Wybrane dane i wskaźniki'!$B$4</c:f>
              <c:strCache>
                <c:ptCount val="1"/>
                <c:pt idx="0">
                  <c:v>EBITDA</c:v>
                </c:pt>
              </c:strCache>
            </c:strRef>
          </c:tx>
          <c:spPr>
            <a:effectLst/>
          </c:spPr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wskaźniki'!$D$4:$H$4</c:f>
              <c:numCache>
                <c:formatCode>#,##0.00</c:formatCode>
                <c:ptCount val="5"/>
                <c:pt idx="0">
                  <c:v>66.819999999999993</c:v>
                </c:pt>
                <c:pt idx="1">
                  <c:v>59.980000000000004</c:v>
                </c:pt>
                <c:pt idx="2">
                  <c:v>69.150000000000006</c:v>
                </c:pt>
                <c:pt idx="3">
                  <c:v>88.93</c:v>
                </c:pt>
                <c:pt idx="4">
                  <c:v>107.61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69-4C62-8998-A8BFCC9D5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48530608"/>
        <c:axId val="-1748527888"/>
      </c:lineChart>
      <c:catAx>
        <c:axId val="-174853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27888"/>
        <c:crosses val="autoZero"/>
        <c:auto val="1"/>
        <c:lblAlgn val="ctr"/>
        <c:lblOffset val="100"/>
        <c:noMultiLvlLbl val="0"/>
      </c:catAx>
      <c:valAx>
        <c:axId val="-174852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30608"/>
        <c:crosses val="autoZero"/>
        <c:crossBetween val="between"/>
      </c:valAx>
      <c:valAx>
        <c:axId val="791610064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crossAx val="791606320"/>
        <c:crosses val="max"/>
        <c:crossBetween val="between"/>
      </c:valAx>
      <c:catAx>
        <c:axId val="791606320"/>
        <c:scaling>
          <c:orientation val="minMax"/>
        </c:scaling>
        <c:delete val="1"/>
        <c:axPos val="b"/>
        <c:majorTickMark val="out"/>
        <c:minorTickMark val="none"/>
        <c:tickLblPos val="nextTo"/>
        <c:crossAx val="79161006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'Wybrane dane i wskaźniki'!$B$48</c:f>
              <c:strCache>
                <c:ptCount val="1"/>
                <c:pt idx="0">
                  <c:v>Dynamika $ z DO</c:v>
                </c:pt>
              </c:strCache>
            </c:strRef>
          </c:tx>
          <c:invertIfNegative val="0"/>
          <c:val>
            <c:numRef>
              <c:f>'Wybrane dane i wskaźniki'!$D$48:$H$48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-0.12779973649538867</c:v>
                </c:pt>
                <c:pt idx="2">
                  <c:v>0.61825636599050537</c:v>
                </c:pt>
                <c:pt idx="3">
                  <c:v>0.13068409121216162</c:v>
                </c:pt>
                <c:pt idx="4">
                  <c:v>-0.23811770255926401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92-4A2B-A811-E01DC53A15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3164880"/>
        <c:axId val="973166544"/>
      </c:barChart>
      <c:lineChart>
        <c:grouping val="standard"/>
        <c:varyColors val="0"/>
        <c:ser>
          <c:idx val="0"/>
          <c:order val="0"/>
          <c:tx>
            <c:strRef>
              <c:f>'Wybrane dane i wskaźniki'!$B$26</c:f>
              <c:strCache>
                <c:ptCount val="1"/>
                <c:pt idx="0">
                  <c:v>Gotówka z działalności operacyjnej</c:v>
                </c:pt>
              </c:strCache>
            </c:strRef>
          </c:tx>
          <c:spPr>
            <a:effectLst/>
          </c:spPr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wskaźniki'!$D$26:$H$26</c:f>
              <c:numCache>
                <c:formatCode>#,##0.00</c:formatCode>
                <c:ptCount val="5"/>
                <c:pt idx="0">
                  <c:v>53.129999999999995</c:v>
                </c:pt>
                <c:pt idx="1">
                  <c:v>46.339999999999996</c:v>
                </c:pt>
                <c:pt idx="2">
                  <c:v>74.990000000000009</c:v>
                </c:pt>
                <c:pt idx="3">
                  <c:v>84.79</c:v>
                </c:pt>
                <c:pt idx="4">
                  <c:v>64.600000000000009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F1-4E96-9262-82C9B4795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48548016"/>
        <c:axId val="-1748533328"/>
      </c:lineChart>
      <c:catAx>
        <c:axId val="-174854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33328"/>
        <c:crosses val="autoZero"/>
        <c:auto val="1"/>
        <c:lblAlgn val="ctr"/>
        <c:lblOffset val="100"/>
        <c:noMultiLvlLbl val="0"/>
      </c:catAx>
      <c:valAx>
        <c:axId val="-174853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48016"/>
        <c:crosses val="autoZero"/>
        <c:crossBetween val="between"/>
      </c:valAx>
      <c:valAx>
        <c:axId val="973166544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crossAx val="973164880"/>
        <c:crosses val="max"/>
        <c:crossBetween val="between"/>
      </c:valAx>
      <c:catAx>
        <c:axId val="973164880"/>
        <c:scaling>
          <c:orientation val="minMax"/>
        </c:scaling>
        <c:delete val="1"/>
        <c:axPos val="b"/>
        <c:majorTickMark val="out"/>
        <c:minorTickMark val="none"/>
        <c:tickLblPos val="nextTo"/>
        <c:crossAx val="9731665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wskaźniki'!$B$33</c:f>
              <c:strCache>
                <c:ptCount val="1"/>
                <c:pt idx="0">
                  <c:v>Zadłużenie netto</c:v>
                </c:pt>
              </c:strCache>
            </c:strRef>
          </c:tx>
          <c:spPr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wskaźniki'!$D$33:$H$33</c:f>
              <c:numCache>
                <c:formatCode>#,##0.00</c:formatCode>
                <c:ptCount val="5"/>
                <c:pt idx="0">
                  <c:v>351.48999999999995</c:v>
                </c:pt>
                <c:pt idx="1">
                  <c:v>374.08</c:v>
                </c:pt>
                <c:pt idx="2">
                  <c:v>486.41999999999996</c:v>
                </c:pt>
                <c:pt idx="3">
                  <c:v>510.39000000000004</c:v>
                </c:pt>
                <c:pt idx="4">
                  <c:v>591.09999999999991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C-4F26-8455-6F9D198E91AA}"/>
            </c:ext>
          </c:extLst>
        </c:ser>
        <c:ser>
          <c:idx val="2"/>
          <c:order val="2"/>
          <c:tx>
            <c:strRef>
              <c:f>'Wybrane dane i wskaźniki'!$C$4</c:f>
              <c:strCache>
                <c:ptCount val="1"/>
                <c:pt idx="0">
                  <c:v>EBITDA:</c:v>
                </c:pt>
              </c:strCache>
            </c:strRef>
          </c:tx>
          <c:invertIfNegative val="0"/>
          <c:val>
            <c:numRef>
              <c:f>'Wybrane dane i wskaźniki'!$D$4:$H$4</c:f>
              <c:numCache>
                <c:formatCode>#,##0.00</c:formatCode>
                <c:ptCount val="5"/>
                <c:pt idx="0">
                  <c:v>66.819999999999993</c:v>
                </c:pt>
                <c:pt idx="1">
                  <c:v>59.980000000000004</c:v>
                </c:pt>
                <c:pt idx="2">
                  <c:v>69.150000000000006</c:v>
                </c:pt>
                <c:pt idx="3">
                  <c:v>88.93</c:v>
                </c:pt>
                <c:pt idx="4">
                  <c:v>107.61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FD-43AB-8A68-8C838EF8F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48530064"/>
        <c:axId val="-1748542576"/>
      </c:barChart>
      <c:lineChart>
        <c:grouping val="standard"/>
        <c:varyColors val="0"/>
        <c:ser>
          <c:idx val="1"/>
          <c:order val="1"/>
          <c:tx>
            <c:strRef>
              <c:f>'Wybrane dane i wskaźniki'!$L$47</c:f>
              <c:strCache>
                <c:ptCount val="1"/>
                <c:pt idx="0">
                  <c:v>Debt ex cash/EBITDA</c:v>
                </c:pt>
              </c:strCache>
            </c:strRef>
          </c:tx>
          <c:marker>
            <c:symbol val="none"/>
          </c:marker>
          <c:val>
            <c:numRef>
              <c:f>'Wybrane dane i wskaźniki'!$M$47:$Q$47</c:f>
              <c:numCache>
                <c:formatCode>0.00</c:formatCode>
                <c:ptCount val="5"/>
                <c:pt idx="0">
                  <c:v>5.2602514217300209</c:v>
                </c:pt>
                <c:pt idx="1">
                  <c:v>6.2367455818606192</c:v>
                </c:pt>
                <c:pt idx="2">
                  <c:v>7.0342733188720166</c:v>
                </c:pt>
                <c:pt idx="3">
                  <c:v>5.7392331046890819</c:v>
                </c:pt>
                <c:pt idx="4">
                  <c:v>5.4929839234271896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D-43AB-8A68-8C838EF8F6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9505184"/>
        <c:axId val="2059503936"/>
      </c:lineChart>
      <c:catAx>
        <c:axId val="-174853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42576"/>
        <c:crosses val="autoZero"/>
        <c:auto val="1"/>
        <c:lblAlgn val="ctr"/>
        <c:lblOffset val="100"/>
        <c:noMultiLvlLbl val="0"/>
      </c:catAx>
      <c:valAx>
        <c:axId val="-17485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30064"/>
        <c:crosses val="autoZero"/>
        <c:crossBetween val="between"/>
      </c:valAx>
      <c:valAx>
        <c:axId val="205950393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059505184"/>
        <c:crosses val="max"/>
        <c:crossBetween val="between"/>
      </c:valAx>
      <c:catAx>
        <c:axId val="2059505184"/>
        <c:scaling>
          <c:orientation val="minMax"/>
        </c:scaling>
        <c:delete val="1"/>
        <c:axPos val="b"/>
        <c:majorTickMark val="out"/>
        <c:minorTickMark val="none"/>
        <c:tickLblPos val="nextTo"/>
        <c:crossAx val="205950393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wskaźniki'!$L$5</c:f>
              <c:strCache>
                <c:ptCount val="1"/>
                <c:pt idx="0">
                  <c:v>P/E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wskaźniki'!$M$5:$Q$5</c:f>
              <c:numCache>
                <c:formatCode>#,##0.00</c:formatCode>
                <c:ptCount val="5"/>
                <c:pt idx="0">
                  <c:v>10.311004784688997</c:v>
                </c:pt>
                <c:pt idx="1">
                  <c:v>39.307692307692307</c:v>
                </c:pt>
                <c:pt idx="2">
                  <c:v>38.465517241379303</c:v>
                </c:pt>
                <c:pt idx="3">
                  <c:v>28.95454545454546</c:v>
                </c:pt>
                <c:pt idx="4">
                  <c:v>11.32394366197183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7-4496-8D87-65384CF490E2}"/>
            </c:ext>
          </c:extLst>
        </c:ser>
        <c:ser>
          <c:idx val="1"/>
          <c:order val="1"/>
          <c:tx>
            <c:strRef>
              <c:f>'Wybrane dane i wskaźniki'!$L$6</c:f>
              <c:strCache>
                <c:ptCount val="1"/>
                <c:pt idx="0">
                  <c:v>P/E exc. $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wskaźniki'!$M$6:$Q$6</c:f>
              <c:numCache>
                <c:formatCode>0.00</c:formatCode>
                <c:ptCount val="5"/>
                <c:pt idx="0">
                  <c:v>10.311004784688997</c:v>
                </c:pt>
                <c:pt idx="1">
                  <c:v>39.307692307692307</c:v>
                </c:pt>
                <c:pt idx="2">
                  <c:v>38.465517241379303</c:v>
                </c:pt>
                <c:pt idx="3">
                  <c:v>28.95454545454546</c:v>
                </c:pt>
                <c:pt idx="4">
                  <c:v>11.32394366197183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E7-4496-8D87-65384CF490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748551280"/>
        <c:axId val="-1748554000"/>
      </c:barChart>
      <c:catAx>
        <c:axId val="-17485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54000"/>
        <c:crosses val="autoZero"/>
        <c:auto val="1"/>
        <c:lblAlgn val="ctr"/>
        <c:lblOffset val="100"/>
        <c:noMultiLvlLbl val="0"/>
      </c:catAx>
      <c:valAx>
        <c:axId val="-1748554000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5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wskaźniki'!$L$44</c:f>
              <c:strCache>
                <c:ptCount val="1"/>
                <c:pt idx="0">
                  <c:v>P/EBITDA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wskaźniki'!$M$44:$Q$44</c:f>
              <c:numCache>
                <c:formatCode>0.00</c:formatCode>
                <c:ptCount val="5"/>
                <c:pt idx="0">
                  <c:v>6.127656390302306</c:v>
                </c:pt>
                <c:pt idx="1">
                  <c:v>6.1340446815605194</c:v>
                </c:pt>
                <c:pt idx="2">
                  <c:v>5.8073752711496738</c:v>
                </c:pt>
                <c:pt idx="3">
                  <c:v>9.0253007983807478</c:v>
                </c:pt>
                <c:pt idx="4">
                  <c:v>4.7817117368274316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2-4B10-A065-86851B883B92}"/>
            </c:ext>
          </c:extLst>
        </c:ser>
        <c:ser>
          <c:idx val="1"/>
          <c:order val="1"/>
          <c:tx>
            <c:strRef>
              <c:f>'Wybrane dane i wskaźniki'!$L$45</c:f>
              <c:strCache>
                <c:ptCount val="1"/>
                <c:pt idx="0">
                  <c:v>P/EBITDA ex. $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'Wybrane dane i wskaźniki'!$M$45:$Q$45</c:f>
              <c:numCache>
                <c:formatCode>0.00</c:formatCode>
                <c:ptCount val="5"/>
                <c:pt idx="0">
                  <c:v>6.127656390302306</c:v>
                </c:pt>
                <c:pt idx="1">
                  <c:v>6.1340446815605194</c:v>
                </c:pt>
                <c:pt idx="2">
                  <c:v>5.8073752711496738</c:v>
                </c:pt>
                <c:pt idx="3">
                  <c:v>9.0253007983807478</c:v>
                </c:pt>
                <c:pt idx="4">
                  <c:v>4.7817117368274316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B2-4B10-A065-86851B883B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748527344"/>
        <c:axId val="-1748540944"/>
      </c:barChart>
      <c:catAx>
        <c:axId val="-174852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40944"/>
        <c:crosses val="autoZero"/>
        <c:auto val="1"/>
        <c:lblAlgn val="ctr"/>
        <c:lblOffset val="100"/>
        <c:noMultiLvlLbl val="0"/>
      </c:catAx>
      <c:valAx>
        <c:axId val="-1748540944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2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Dywidenda</a:t>
            </a:r>
            <a:endParaRPr lang="en-GB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'Wybrane dane i wskaźniki'!$B$47</c:f>
              <c:strCache>
                <c:ptCount val="1"/>
                <c:pt idx="0">
                  <c:v>Dynamika dywidendy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wskaźniki'!$D$47:$H$47</c:f>
              <c:numCache>
                <c:formatCode>0%</c:formatCode>
                <c:ptCount val="5"/>
                <c:pt idx="0" formatCode="General">
                  <c:v>0</c:v>
                </c:pt>
                <c:pt idx="1">
                  <c:v>0</c:v>
                </c:pt>
                <c:pt idx="2">
                  <c:v>3.1249999999999778E-2</c:v>
                </c:pt>
                <c:pt idx="3">
                  <c:v>0.21212121212121238</c:v>
                </c:pt>
                <c:pt idx="4">
                  <c:v>9.9999999999999867E-2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7A-466A-8632-599D8B3DA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48547472"/>
        <c:axId val="-1748554544"/>
      </c:barChart>
      <c:lineChart>
        <c:grouping val="standard"/>
        <c:varyColors val="0"/>
        <c:ser>
          <c:idx val="0"/>
          <c:order val="0"/>
          <c:tx>
            <c:strRef>
              <c:f>'Wybrane dane i wskaźniki'!$B$13</c:f>
              <c:strCache>
                <c:ptCount val="1"/>
                <c:pt idx="0">
                  <c:v>Dywidenda na akcję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wskaźniki'!$D$13:$H$13</c:f>
              <c:numCache>
                <c:formatCode>#,##0.00</c:formatCode>
                <c:ptCount val="5"/>
                <c:pt idx="0">
                  <c:v>0.32</c:v>
                </c:pt>
                <c:pt idx="1">
                  <c:v>0.32</c:v>
                </c:pt>
                <c:pt idx="2">
                  <c:v>0.32999999999999996</c:v>
                </c:pt>
                <c:pt idx="3">
                  <c:v>0.4</c:v>
                </c:pt>
                <c:pt idx="4">
                  <c:v>0.44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7A-466A-8632-599D8B3DA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48526800"/>
        <c:axId val="-1748555088"/>
      </c:lineChart>
      <c:catAx>
        <c:axId val="-174852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55088"/>
        <c:crosses val="autoZero"/>
        <c:auto val="1"/>
        <c:lblAlgn val="ctr"/>
        <c:lblOffset val="100"/>
        <c:noMultiLvlLbl val="0"/>
      </c:catAx>
      <c:valAx>
        <c:axId val="-17485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26800"/>
        <c:crosses val="autoZero"/>
        <c:crossBetween val="between"/>
      </c:valAx>
      <c:valAx>
        <c:axId val="-1748554544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47472"/>
        <c:crosses val="max"/>
        <c:crossBetween val="between"/>
      </c:valAx>
      <c:catAx>
        <c:axId val="-174854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485545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DPR &amp; DY</a:t>
            </a:r>
            <a:endParaRPr lang="en-GB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'Wybrane dane i wskaźniki'!$L$9</c:f>
              <c:strCache>
                <c:ptCount val="1"/>
                <c:pt idx="0">
                  <c:v>% zysku wypłacony w formie dywidendy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wskaźniki'!$M$9:$Q$9</c:f>
              <c:numCache>
                <c:formatCode>0.00%</c:formatCode>
                <c:ptCount val="5"/>
                <c:pt idx="0">
                  <c:v>0.15311004784688997</c:v>
                </c:pt>
                <c:pt idx="1">
                  <c:v>0.61538461538461542</c:v>
                </c:pt>
                <c:pt idx="2">
                  <c:v>0.56896551724137923</c:v>
                </c:pt>
                <c:pt idx="3">
                  <c:v>0.25974025974025977</c:v>
                </c:pt>
                <c:pt idx="4">
                  <c:v>0.15492957746478875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B0-4F22-8668-23B2285E4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-1748545296"/>
        <c:axId val="-1748533872"/>
      </c:barChart>
      <c:lineChart>
        <c:grouping val="standard"/>
        <c:varyColors val="0"/>
        <c:ser>
          <c:idx val="0"/>
          <c:order val="0"/>
          <c:tx>
            <c:strRef>
              <c:f>'Wybrane dane i wskaźniki'!$L$8</c:f>
              <c:strCache>
                <c:ptCount val="1"/>
                <c:pt idx="0">
                  <c:v>Stopa dywidendy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wskaźniki'!$M$8:$Q$8</c:f>
              <c:numCache>
                <c:formatCode>0.00%</c:formatCode>
                <c:ptCount val="5"/>
                <c:pt idx="0">
                  <c:v>1.4849187935034803E-2</c:v>
                </c:pt>
                <c:pt idx="1">
                  <c:v>1.5655577299412915E-2</c:v>
                </c:pt>
                <c:pt idx="2">
                  <c:v>1.4791573285522186E-2</c:v>
                </c:pt>
                <c:pt idx="3">
                  <c:v>8.9706212155191752E-3</c:v>
                </c:pt>
                <c:pt idx="4">
                  <c:v>1.3681592039800997E-2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B0-4F22-8668-23B2285E4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48545840"/>
        <c:axId val="-1748548560"/>
      </c:lineChart>
      <c:catAx>
        <c:axId val="-174854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48560"/>
        <c:crosses val="autoZero"/>
        <c:auto val="1"/>
        <c:lblAlgn val="ctr"/>
        <c:lblOffset val="100"/>
        <c:noMultiLvlLbl val="0"/>
      </c:catAx>
      <c:valAx>
        <c:axId val="-17485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45840"/>
        <c:crosses val="autoZero"/>
        <c:crossBetween val="between"/>
      </c:valAx>
      <c:valAx>
        <c:axId val="-17485338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45296"/>
        <c:crosses val="max"/>
        <c:crossBetween val="between"/>
      </c:valAx>
      <c:catAx>
        <c:axId val="-1748545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4853387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ROA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'Wybrane dane i wskaźniki'!$L$13</c:f>
              <c:strCache>
                <c:ptCount val="1"/>
                <c:pt idx="0">
                  <c:v>ROA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'Wybrane dane i wskaźniki'!$E$2:$H$2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'Wybrane dane i wskaźniki'!$N$13:$Q$13</c:f>
              <c:numCache>
                <c:formatCode>0.00%</c:formatCode>
                <c:ptCount val="4"/>
                <c:pt idx="0">
                  <c:v>9.7955146853809048E-3</c:v>
                </c:pt>
                <c:pt idx="1">
                  <c:v>9.9382477807796223E-3</c:v>
                </c:pt>
                <c:pt idx="2">
                  <c:v>2.4669310432369498E-2</c:v>
                </c:pt>
                <c:pt idx="3">
                  <c:v>4.0244704416447459E-2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7-4382-A7B0-3CCD8B76D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48525712"/>
        <c:axId val="-1748534960"/>
      </c:lineChart>
      <c:catAx>
        <c:axId val="-174852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34960"/>
        <c:crosses val="autoZero"/>
        <c:auto val="1"/>
        <c:lblAlgn val="ctr"/>
        <c:lblOffset val="100"/>
        <c:noMultiLvlLbl val="0"/>
      </c:catAx>
      <c:valAx>
        <c:axId val="-174853496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25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ROE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'Wybrane dane i wskaźniki'!$L$14</c:f>
              <c:strCache>
                <c:ptCount val="1"/>
                <c:pt idx="0">
                  <c:v>ROE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'Wybrane dane i wskaźniki'!$E$2:$H$2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'Wybrane dane i wskaźniki'!$N$14:$Q$14</c:f>
              <c:numCache>
                <c:formatCode>0.00%</c:formatCode>
                <c:ptCount val="4"/>
                <c:pt idx="0">
                  <c:v>3.9927949564695288E-2</c:v>
                </c:pt>
                <c:pt idx="1">
                  <c:v>4.5046030045264703E-2</c:v>
                </c:pt>
                <c:pt idx="2">
                  <c:v>0.13252757071977803</c:v>
                </c:pt>
                <c:pt idx="3">
                  <c:v>0.2894302871900184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64-4FEB-81D7-2DF588E08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748546384"/>
        <c:axId val="-1748536592"/>
      </c:lineChart>
      <c:catAx>
        <c:axId val="-174854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36592"/>
        <c:crosses val="autoZero"/>
        <c:auto val="1"/>
        <c:lblAlgn val="ctr"/>
        <c:lblOffset val="100"/>
        <c:noMultiLvlLbl val="0"/>
      </c:catAx>
      <c:valAx>
        <c:axId val="-174853659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46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Marża zysku netto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wskaźniki'!$L$10</c:f>
              <c:strCache>
                <c:ptCount val="1"/>
                <c:pt idx="0">
                  <c:v>Marża zysku netto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wskaźniki'!$M$10:$Q$10</c:f>
              <c:numCache>
                <c:formatCode>0.00%</c:formatCode>
                <c:ptCount val="5"/>
                <c:pt idx="0">
                  <c:v>0.13869297719087634</c:v>
                </c:pt>
                <c:pt idx="1">
                  <c:v>3.4548018405818615E-2</c:v>
                </c:pt>
                <c:pt idx="2">
                  <c:v>3.3171234420791604E-2</c:v>
                </c:pt>
                <c:pt idx="3">
                  <c:v>7.6151871368733956E-2</c:v>
                </c:pt>
                <c:pt idx="4">
                  <c:v>0.1249630565033988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7-428A-85B0-CEC03897D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48553456"/>
        <c:axId val="-1748536048"/>
      </c:barChart>
      <c:catAx>
        <c:axId val="-174855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36048"/>
        <c:crosses val="autoZero"/>
        <c:auto val="1"/>
        <c:lblAlgn val="ctr"/>
        <c:lblOffset val="100"/>
        <c:noMultiLvlLbl val="0"/>
      </c:catAx>
      <c:valAx>
        <c:axId val="-174853604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53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wskaźniki'!$B$33</c:f>
              <c:strCache>
                <c:ptCount val="1"/>
                <c:pt idx="0">
                  <c:v>Zadłużenie netto</c:v>
                </c:pt>
              </c:strCache>
            </c:strRef>
          </c:tx>
          <c:spPr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wskaźniki'!$D$33:$H$33</c:f>
              <c:numCache>
                <c:formatCode>#,##0.00</c:formatCode>
                <c:ptCount val="5"/>
                <c:pt idx="0">
                  <c:v>351.48999999999995</c:v>
                </c:pt>
                <c:pt idx="1">
                  <c:v>374.08</c:v>
                </c:pt>
                <c:pt idx="2">
                  <c:v>486.41999999999996</c:v>
                </c:pt>
                <c:pt idx="3">
                  <c:v>510.39000000000004</c:v>
                </c:pt>
                <c:pt idx="4">
                  <c:v>591.09999999999991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1B-469C-905C-3E0367FA3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48530064"/>
        <c:axId val="-1748542576"/>
      </c:barChart>
      <c:catAx>
        <c:axId val="-174853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42576"/>
        <c:crosses val="autoZero"/>
        <c:auto val="1"/>
        <c:lblAlgn val="ctr"/>
        <c:lblOffset val="100"/>
        <c:noMultiLvlLbl val="0"/>
      </c:catAx>
      <c:valAx>
        <c:axId val="-17485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30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'Wybrane dane i wskaźniki'!$C$26</c:f>
              <c:strCache>
                <c:ptCount val="1"/>
                <c:pt idx="0">
                  <c:v>Net Cash From Total Operating Activities: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wskaźniki'!$D$26:$H$26</c:f>
              <c:numCache>
                <c:formatCode>#,##0.00</c:formatCode>
                <c:ptCount val="5"/>
                <c:pt idx="0">
                  <c:v>53.129999999999995</c:v>
                </c:pt>
                <c:pt idx="1">
                  <c:v>46.339999999999996</c:v>
                </c:pt>
                <c:pt idx="2">
                  <c:v>74.990000000000009</c:v>
                </c:pt>
                <c:pt idx="3">
                  <c:v>84.79</c:v>
                </c:pt>
                <c:pt idx="4">
                  <c:v>64.600000000000009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C-42DC-AB07-138781F69CC4}"/>
            </c:ext>
          </c:extLst>
        </c:ser>
        <c:ser>
          <c:idx val="1"/>
          <c:order val="1"/>
          <c:tx>
            <c:strRef>
              <c:f>'Wybrane dane i wskaźniki'!$C$27</c:f>
              <c:strCache>
                <c:ptCount val="1"/>
                <c:pt idx="0">
                  <c:v>Net Cash From Investing Activities: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wskaźniki'!$D$27:$H$27</c:f>
              <c:numCache>
                <c:formatCode>#,##0.00</c:formatCode>
                <c:ptCount val="5"/>
                <c:pt idx="0">
                  <c:v>-73.039999999999992</c:v>
                </c:pt>
                <c:pt idx="1">
                  <c:v>-13.75</c:v>
                </c:pt>
                <c:pt idx="2">
                  <c:v>-180.15</c:v>
                </c:pt>
                <c:pt idx="3">
                  <c:v>-15.11</c:v>
                </c:pt>
                <c:pt idx="4">
                  <c:v>-24.03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5C-42DC-AB07-138781F69CC4}"/>
            </c:ext>
          </c:extLst>
        </c:ser>
        <c:ser>
          <c:idx val="2"/>
          <c:order val="2"/>
          <c:tx>
            <c:strRef>
              <c:f>'Wybrane dane i wskaźniki'!$C$30</c:f>
              <c:strCache>
                <c:ptCount val="1"/>
                <c:pt idx="0">
                  <c:v>Net Cash From Financing Activities: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'Wybrane dane i wskaźniki'!$D$30:$H$30</c:f>
              <c:numCache>
                <c:formatCode>#,##0.00</c:formatCode>
                <c:ptCount val="5"/>
                <c:pt idx="0">
                  <c:v>28.61</c:v>
                </c:pt>
                <c:pt idx="1">
                  <c:v>-36.25</c:v>
                </c:pt>
                <c:pt idx="2">
                  <c:v>100.09</c:v>
                </c:pt>
                <c:pt idx="3">
                  <c:v>-69.33</c:v>
                </c:pt>
                <c:pt idx="4">
                  <c:v>-40.849999999999994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5C-42DC-AB07-138781F69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6299615"/>
        <c:axId val="2126302527"/>
      </c:barChart>
      <c:catAx>
        <c:axId val="212629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6302527"/>
        <c:crosses val="autoZero"/>
        <c:auto val="1"/>
        <c:lblAlgn val="ctr"/>
        <c:lblOffset val="100"/>
        <c:noMultiLvlLbl val="0"/>
      </c:catAx>
      <c:valAx>
        <c:axId val="2126302527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629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wskaźniki'!$L$33</c:f>
              <c:strCache>
                <c:ptCount val="1"/>
                <c:pt idx="0">
                  <c:v>Nadwyżka cash O nad I + F - em./um. długu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'Wybrane dane i wskaźniki'!$M$2:$Q$2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wskaźniki'!$M$33:$Q$33</c:f>
              <c:numCache>
                <c:formatCode>#,##0.00</c:formatCode>
                <c:ptCount val="5"/>
                <c:pt idx="0">
                  <c:v>-28.47999999999999</c:v>
                </c:pt>
                <c:pt idx="1">
                  <c:v>-3.6600000000000037</c:v>
                </c:pt>
                <c:pt idx="2">
                  <c:v>-113.21999999999998</c:v>
                </c:pt>
                <c:pt idx="3">
                  <c:v>-0.84999999999999076</c:v>
                </c:pt>
                <c:pt idx="4">
                  <c:v>-101.27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A9-4B13-8472-5A52BEB62382}"/>
            </c:ext>
          </c:extLst>
        </c:ser>
        <c:ser>
          <c:idx val="1"/>
          <c:order val="1"/>
          <c:tx>
            <c:strRef>
              <c:f>'Wybrane dane i wskaźniki'!$L$34</c:f>
              <c:strCache>
                <c:ptCount val="1"/>
                <c:pt idx="0">
                  <c:v>Nadwyżka cash O nad I + F - em./um. długu - em./um. akcji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'Wybrane dane i wskaźniki'!$M$2:$Q$2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wskaźniki'!$M$34:$Q$34</c:f>
              <c:numCache>
                <c:formatCode>#,##0.00</c:formatCode>
                <c:ptCount val="5"/>
                <c:pt idx="0">
                  <c:v>-28.47999999999999</c:v>
                </c:pt>
                <c:pt idx="1">
                  <c:v>-3.6600000000000037</c:v>
                </c:pt>
                <c:pt idx="2">
                  <c:v>-113.21999999999998</c:v>
                </c:pt>
                <c:pt idx="3">
                  <c:v>60.890000000000015</c:v>
                </c:pt>
                <c:pt idx="4">
                  <c:v>13.700000000000003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A9-4B13-8472-5A52BEB62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472016"/>
        <c:axId val="1044479504"/>
      </c:barChart>
      <c:catAx>
        <c:axId val="104447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44479504"/>
        <c:crosses val="autoZero"/>
        <c:auto val="1"/>
        <c:lblAlgn val="ctr"/>
        <c:lblOffset val="100"/>
        <c:noMultiLvlLbl val="0"/>
      </c:catAx>
      <c:valAx>
        <c:axId val="10444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4447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wskaźniki'!$L$40</c:f>
              <c:strCache>
                <c:ptCount val="1"/>
                <c:pt idx="0">
                  <c:v>Normalizacja jako % zysku zaraportowanego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wskaźniki'!$M$40:$Q$40</c:f>
              <c:numCache>
                <c:formatCode>0.00%</c:formatCode>
                <c:ptCount val="5"/>
                <c:pt idx="0">
                  <c:v>7.4114146605355563E-2</c:v>
                </c:pt>
                <c:pt idx="1">
                  <c:v>5.370569280343602E-3</c:v>
                </c:pt>
                <c:pt idx="2">
                  <c:v>1.3592233009708792E-2</c:v>
                </c:pt>
                <c:pt idx="3">
                  <c:v>-1.6323633782824854E-2</c:v>
                </c:pt>
                <c:pt idx="4">
                  <c:v>-2.3005805203182118E-2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EC-43E7-9DAB-8C57DB8DA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748531152"/>
        <c:axId val="-1748529520"/>
      </c:barChart>
      <c:valAx>
        <c:axId val="-1748529520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31152"/>
        <c:crosses val="autoZero"/>
        <c:crossBetween val="between"/>
      </c:valAx>
      <c:catAx>
        <c:axId val="-17485311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4852952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Skup akcji własnych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wskaźniki'!$D$29:$H$29</c:f>
              <c:numCache>
                <c:formatCode>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-61.74</c:v>
                </c:pt>
                <c:pt idx="4">
                  <c:v>-114.97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F9-4F36-B507-E7A8B2495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1357248"/>
        <c:axId val="941354336"/>
      </c:lineChart>
      <c:catAx>
        <c:axId val="94135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41354336"/>
        <c:crosses val="autoZero"/>
        <c:auto val="1"/>
        <c:lblAlgn val="ctr"/>
        <c:lblOffset val="100"/>
        <c:noMultiLvlLbl val="0"/>
      </c:catAx>
      <c:valAx>
        <c:axId val="94135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4135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Skup akcji własnych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wskaźniki'!$B$29</c:f>
              <c:strCache>
                <c:ptCount val="1"/>
                <c:pt idx="0">
                  <c:v>Emisja/umorzenie akcji własnych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wskaźniki'!$D$25:$H$25</c:f>
              <c:numCache>
                <c:formatCode>#,##0.00</c:formatCode>
                <c:ptCount val="5"/>
                <c:pt idx="0">
                  <c:v>19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2-48CE-A971-F001B3F3A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1357248"/>
        <c:axId val="941354336"/>
      </c:barChart>
      <c:lineChart>
        <c:grouping val="standard"/>
        <c:varyColors val="0"/>
        <c:ser>
          <c:idx val="1"/>
          <c:order val="1"/>
          <c:tx>
            <c:strRef>
              <c:f>'Wybrane dane i wskaźniki'!$B$61</c:f>
              <c:strCache>
                <c:ptCount val="1"/>
                <c:pt idx="0">
                  <c:v>Zmiana l. akcji r/r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'Wybrane dane i wskaźniki'!$D$61:$H$61</c:f>
              <c:numCache>
                <c:formatCode>0.00%</c:formatCode>
                <c:ptCount val="5"/>
                <c:pt idx="1">
                  <c:v>-5.2631578947368474E-2</c:v>
                </c:pt>
                <c:pt idx="2">
                  <c:v>0</c:v>
                </c:pt>
                <c:pt idx="3">
                  <c:v>0</c:v>
                </c:pt>
                <c:pt idx="4">
                  <c:v>-0.11111111111111116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A2-48CE-A971-F001B3F3A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8558176"/>
        <c:axId val="1028557344"/>
      </c:lineChart>
      <c:catAx>
        <c:axId val="94135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41354336"/>
        <c:crosses val="autoZero"/>
        <c:auto val="1"/>
        <c:lblAlgn val="ctr"/>
        <c:lblOffset val="100"/>
        <c:noMultiLvlLbl val="0"/>
      </c:catAx>
      <c:valAx>
        <c:axId val="94135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41357248"/>
        <c:crosses val="autoZero"/>
        <c:crossBetween val="between"/>
      </c:valAx>
      <c:valAx>
        <c:axId val="102855734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8558176"/>
        <c:crosses val="max"/>
        <c:crossBetween val="between"/>
      </c:valAx>
      <c:catAx>
        <c:axId val="1028558176"/>
        <c:scaling>
          <c:orientation val="minMax"/>
        </c:scaling>
        <c:delete val="1"/>
        <c:axPos val="b"/>
        <c:majorTickMark val="out"/>
        <c:minorTickMark val="none"/>
        <c:tickLblPos val="nextTo"/>
        <c:crossAx val="1028557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FCF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Zmiana r/r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Dane!$E$69:$Y$69</c:f>
              <c:numCache>
                <c:formatCode>0.00%</c:formatCode>
                <c:ptCount val="21"/>
                <c:pt idx="1">
                  <c:v>2.6699893200427205E-2</c:v>
                </c:pt>
                <c:pt idx="2">
                  <c:v>0.2909153952843273</c:v>
                </c:pt>
                <c:pt idx="3">
                  <c:v>3.6261079774375649E-2</c:v>
                </c:pt>
                <c:pt idx="4">
                  <c:v>5.8061171591498262E-2</c:v>
                </c:pt>
                <c:pt idx="5">
                  <c:v>-0.131063204311612</c:v>
                </c:pt>
                <c:pt idx="6">
                  <c:v>-0.15139554553143519</c:v>
                </c:pt>
                <c:pt idx="7">
                  <c:v>-8.5382059800664489E-2</c:v>
                </c:pt>
                <c:pt idx="8">
                  <c:v>0.10316018888485301</c:v>
                </c:pt>
                <c:pt idx="9">
                  <c:v>-8.3305893974316869E-2</c:v>
                </c:pt>
                <c:pt idx="10">
                  <c:v>0.12068965517241415</c:v>
                </c:pt>
                <c:pt idx="11">
                  <c:v>0.27564102564102533</c:v>
                </c:pt>
                <c:pt idx="12">
                  <c:v>0.53391959798994981</c:v>
                </c:pt>
                <c:pt idx="13">
                  <c:v>0.10925470925470937</c:v>
                </c:pt>
                <c:pt idx="14">
                  <c:v>0.17203189604252822</c:v>
                </c:pt>
                <c:pt idx="15">
                  <c:v>-5.2664734786443179E-2</c:v>
                </c:pt>
                <c:pt idx="16">
                  <c:v>-0.14376911823380767</c:v>
                </c:pt>
                <c:pt idx="17">
                  <c:v>-7.7819198508853771E-2</c:v>
                </c:pt>
                <c:pt idx="18">
                  <c:v>-0.22806131042614108</c:v>
                </c:pt>
                <c:pt idx="19">
                  <c:v>-5.3240235653502221E-2</c:v>
                </c:pt>
                <c:pt idx="20">
                  <c:v>-0.20212030421756177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CC-409A-A91B-390E4306B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9122320"/>
        <c:axId val="1029123984"/>
      </c:barChart>
      <c:lineChart>
        <c:grouping val="standard"/>
        <c:varyColors val="0"/>
        <c:ser>
          <c:idx val="0"/>
          <c:order val="0"/>
          <c:tx>
            <c:v>FCF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Dane!$E$36:$Y$36</c:f>
              <c:strCache>
                <c:ptCount val="21"/>
                <c:pt idx="0">
                  <c:v>2017-09</c:v>
                </c:pt>
                <c:pt idx="1">
                  <c:v>2017-12</c:v>
                </c:pt>
                <c:pt idx="2">
                  <c:v>2018-03</c:v>
                </c:pt>
                <c:pt idx="3">
                  <c:v>2018-06</c:v>
                </c:pt>
                <c:pt idx="4">
                  <c:v>2018-09</c:v>
                </c:pt>
                <c:pt idx="5">
                  <c:v>2018-12</c:v>
                </c:pt>
                <c:pt idx="6">
                  <c:v>2019-03</c:v>
                </c:pt>
                <c:pt idx="7">
                  <c:v>2019-06</c:v>
                </c:pt>
                <c:pt idx="8">
                  <c:v>2019-09</c:v>
                </c:pt>
                <c:pt idx="9">
                  <c:v>2019-12</c:v>
                </c:pt>
                <c:pt idx="10">
                  <c:v>2020-03</c:v>
                </c:pt>
                <c:pt idx="11">
                  <c:v>2020-06</c:v>
                </c:pt>
                <c:pt idx="12">
                  <c:v>2020-09</c:v>
                </c:pt>
                <c:pt idx="13">
                  <c:v>2020-12</c:v>
                </c:pt>
                <c:pt idx="14">
                  <c:v>2021-03</c:v>
                </c:pt>
                <c:pt idx="15">
                  <c:v>2021-06</c:v>
                </c:pt>
                <c:pt idx="16">
                  <c:v>2021-09</c:v>
                </c:pt>
                <c:pt idx="17">
                  <c:v>2021-12</c:v>
                </c:pt>
                <c:pt idx="18">
                  <c:v>2022-03</c:v>
                </c:pt>
                <c:pt idx="19">
                  <c:v>2022-06</c:v>
                </c:pt>
                <c:pt idx="20">
                  <c:v>2022-09</c:v>
                </c:pt>
              </c:strCache>
            </c:strRef>
          </c:cat>
          <c:val>
            <c:numRef>
              <c:f>Dane!$E$68:$Y$68</c:f>
              <c:numCache>
                <c:formatCode>#,##0</c:formatCode>
                <c:ptCount val="21"/>
                <c:pt idx="0">
                  <c:v>28.090000000000003</c:v>
                </c:pt>
                <c:pt idx="1">
                  <c:v>28.840000000000003</c:v>
                </c:pt>
                <c:pt idx="2">
                  <c:v>37.230000000000004</c:v>
                </c:pt>
                <c:pt idx="3">
                  <c:v>38.580000000000005</c:v>
                </c:pt>
                <c:pt idx="4">
                  <c:v>40.820000000000007</c:v>
                </c:pt>
                <c:pt idx="5">
                  <c:v>35.470000000000006</c:v>
                </c:pt>
                <c:pt idx="6">
                  <c:v>30.099999999999998</c:v>
                </c:pt>
                <c:pt idx="7">
                  <c:v>27.529999999999998</c:v>
                </c:pt>
                <c:pt idx="8">
                  <c:v>30.37</c:v>
                </c:pt>
                <c:pt idx="9">
                  <c:v>27.839999999999996</c:v>
                </c:pt>
                <c:pt idx="10">
                  <c:v>31.200000000000003</c:v>
                </c:pt>
                <c:pt idx="11">
                  <c:v>39.799999999999997</c:v>
                </c:pt>
                <c:pt idx="12">
                  <c:v>61.05</c:v>
                </c:pt>
                <c:pt idx="13">
                  <c:v>67.72</c:v>
                </c:pt>
                <c:pt idx="14">
                  <c:v>79.37</c:v>
                </c:pt>
                <c:pt idx="15">
                  <c:v>75.190000000000012</c:v>
                </c:pt>
                <c:pt idx="16">
                  <c:v>64.38000000000001</c:v>
                </c:pt>
                <c:pt idx="17">
                  <c:v>59.370000000000005</c:v>
                </c:pt>
                <c:pt idx="18">
                  <c:v>45.830000000000005</c:v>
                </c:pt>
                <c:pt idx="19">
                  <c:v>43.39</c:v>
                </c:pt>
                <c:pt idx="20">
                  <c:v>34.619999999999997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CC-409A-A91B-390E4306B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4941632"/>
        <c:axId val="834930400"/>
      </c:lineChart>
      <c:catAx>
        <c:axId val="83494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4930400"/>
        <c:crosses val="autoZero"/>
        <c:auto val="1"/>
        <c:lblAlgn val="ctr"/>
        <c:lblOffset val="100"/>
        <c:noMultiLvlLbl val="0"/>
      </c:catAx>
      <c:valAx>
        <c:axId val="83493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34941632"/>
        <c:crosses val="autoZero"/>
        <c:crossBetween val="between"/>
      </c:valAx>
      <c:valAx>
        <c:axId val="1029123984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9122320"/>
        <c:crosses val="max"/>
        <c:crossBetween val="between"/>
      </c:valAx>
      <c:catAx>
        <c:axId val="1029122320"/>
        <c:scaling>
          <c:orientation val="minMax"/>
        </c:scaling>
        <c:delete val="1"/>
        <c:axPos val="b"/>
        <c:majorTickMark val="out"/>
        <c:minorTickMark val="none"/>
        <c:tickLblPos val="nextTo"/>
        <c:crossAx val="10291239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Dane!$E$36:$Y$36</c:f>
              <c:strCache>
                <c:ptCount val="21"/>
                <c:pt idx="0">
                  <c:v>2017-09</c:v>
                </c:pt>
                <c:pt idx="1">
                  <c:v>2017-12</c:v>
                </c:pt>
                <c:pt idx="2">
                  <c:v>2018-03</c:v>
                </c:pt>
                <c:pt idx="3">
                  <c:v>2018-06</c:v>
                </c:pt>
                <c:pt idx="4">
                  <c:v>2018-09</c:v>
                </c:pt>
                <c:pt idx="5">
                  <c:v>2018-12</c:v>
                </c:pt>
                <c:pt idx="6">
                  <c:v>2019-03</c:v>
                </c:pt>
                <c:pt idx="7">
                  <c:v>2019-06</c:v>
                </c:pt>
                <c:pt idx="8">
                  <c:v>2019-09</c:v>
                </c:pt>
                <c:pt idx="9">
                  <c:v>2019-12</c:v>
                </c:pt>
                <c:pt idx="10">
                  <c:v>2020-03</c:v>
                </c:pt>
                <c:pt idx="11">
                  <c:v>2020-06</c:v>
                </c:pt>
                <c:pt idx="12">
                  <c:v>2020-09</c:v>
                </c:pt>
                <c:pt idx="13">
                  <c:v>2020-12</c:v>
                </c:pt>
                <c:pt idx="14">
                  <c:v>2021-03</c:v>
                </c:pt>
                <c:pt idx="15">
                  <c:v>2021-06</c:v>
                </c:pt>
                <c:pt idx="16">
                  <c:v>2021-09</c:v>
                </c:pt>
                <c:pt idx="17">
                  <c:v>2021-12</c:v>
                </c:pt>
                <c:pt idx="18">
                  <c:v>2022-03</c:v>
                </c:pt>
                <c:pt idx="19">
                  <c:v>2022-06</c:v>
                </c:pt>
                <c:pt idx="20">
                  <c:v>2022-09</c:v>
                </c:pt>
              </c:strCache>
            </c:strRef>
          </c:cat>
          <c:val>
            <c:numRef>
              <c:f>Dane!$E$71:$Y$71</c:f>
              <c:numCache>
                <c:formatCode>0.0%</c:formatCode>
                <c:ptCount val="21"/>
                <c:pt idx="0">
                  <c:v>6.0206618655692733E-2</c:v>
                </c:pt>
                <c:pt idx="1">
                  <c:v>6.5984853684764463E-2</c:v>
                </c:pt>
                <c:pt idx="2">
                  <c:v>7.4777054711978791E-2</c:v>
                </c:pt>
                <c:pt idx="3">
                  <c:v>8.7304820095044131E-2</c:v>
                </c:pt>
                <c:pt idx="4">
                  <c:v>9.9694712419098816E-2</c:v>
                </c:pt>
                <c:pt idx="5">
                  <c:v>0.12044142614601021</c:v>
                </c:pt>
                <c:pt idx="6">
                  <c:v>8.6868686868686859E-2</c:v>
                </c:pt>
                <c:pt idx="7">
                  <c:v>8.0454731427903436E-2</c:v>
                </c:pt>
                <c:pt idx="8">
                  <c:v>8.2545118504022602E-2</c:v>
                </c:pt>
                <c:pt idx="9">
                  <c:v>6.0416666666666653E-2</c:v>
                </c:pt>
                <c:pt idx="10">
                  <c:v>0.10732714138286895</c:v>
                </c:pt>
                <c:pt idx="11">
                  <c:v>0.12202599950944319</c:v>
                </c:pt>
                <c:pt idx="12">
                  <c:v>0.15202450321231137</c:v>
                </c:pt>
                <c:pt idx="13">
                  <c:v>0.11379982523358204</c:v>
                </c:pt>
                <c:pt idx="14">
                  <c:v>0.12530390578131415</c:v>
                </c:pt>
                <c:pt idx="15">
                  <c:v>0.10704269464572984</c:v>
                </c:pt>
                <c:pt idx="16">
                  <c:v>8.0212304702100626E-2</c:v>
                </c:pt>
                <c:pt idx="17">
                  <c:v>5.1184564452720883E-2</c:v>
                </c:pt>
                <c:pt idx="18">
                  <c:v>5.3710388149259339E-2</c:v>
                </c:pt>
                <c:pt idx="19">
                  <c:v>6.8395334174022701E-2</c:v>
                </c:pt>
                <c:pt idx="20">
                  <c:v>6.7280783582089554E-2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15-46F1-AAEC-911D6BD03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492160"/>
        <c:axId val="923492992"/>
      </c:lineChart>
      <c:catAx>
        <c:axId val="92349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492992"/>
        <c:crosses val="autoZero"/>
        <c:auto val="1"/>
        <c:lblAlgn val="ctr"/>
        <c:lblOffset val="100"/>
        <c:noMultiLvlLbl val="0"/>
      </c:catAx>
      <c:valAx>
        <c:axId val="9234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49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P/E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Porównanie!$A$2:$B$2</c:f>
              <c:strCache>
                <c:ptCount val="2"/>
                <c:pt idx="0">
                  <c:v>CSV</c:v>
                </c:pt>
                <c:pt idx="1">
                  <c:v>P/E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Porównanie!$C$2:$G$2</c:f>
              <c:numCache>
                <c:formatCode>0.00</c:formatCode>
                <c:ptCount val="5"/>
                <c:pt idx="0">
                  <c:v>10.311004784688997</c:v>
                </c:pt>
                <c:pt idx="1">
                  <c:v>39.307692307692307</c:v>
                </c:pt>
                <c:pt idx="2">
                  <c:v>38.465517241379303</c:v>
                </c:pt>
                <c:pt idx="3">
                  <c:v>28.95454545454546</c:v>
                </c:pt>
                <c:pt idx="4">
                  <c:v>11.32394366197183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2-4D9D-B4BD-9176EFED83BA}"/>
            </c:ext>
          </c:extLst>
        </c:ser>
        <c:ser>
          <c:idx val="1"/>
          <c:order val="1"/>
          <c:tx>
            <c:strRef>
              <c:f>Porównanie!$A$3:$B$3</c:f>
              <c:strCache>
                <c:ptCount val="2"/>
                <c:pt idx="0">
                  <c:v>PEP</c:v>
                </c:pt>
                <c:pt idx="1">
                  <c:v>P/E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Porównanie!$C$3:$G$3</c:f>
              <c:numCache>
                <c:formatCode>0.00</c:formatCode>
                <c:ptCount val="5"/>
                <c:pt idx="0">
                  <c:v>33.915887850467293</c:v>
                </c:pt>
                <c:pt idx="1">
                  <c:v>14.537694013303769</c:v>
                </c:pt>
                <c:pt idx="2">
                  <c:v>27.047034764826176</c:v>
                </c:pt>
                <c:pt idx="3">
                  <c:v>25.028716216216214</c:v>
                </c:pt>
                <c:pt idx="4">
                  <c:v>25.099397590361445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82-4D9D-B4BD-9176EFED83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P/E exc.</a:t>
            </a:r>
            <a:r>
              <a:rPr lang="pl-PL" baseline="0"/>
              <a:t> $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Porównanie!$A$4:$B$4</c:f>
              <c:strCache>
                <c:ptCount val="2"/>
                <c:pt idx="0">
                  <c:v>CSV</c:v>
                </c:pt>
                <c:pt idx="1">
                  <c:v>P/E exc.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Porównanie!$C$4:$G$4</c:f>
              <c:numCache>
                <c:formatCode>0.00</c:formatCode>
                <c:ptCount val="5"/>
                <c:pt idx="0">
                  <c:v>10.311004784688997</c:v>
                </c:pt>
                <c:pt idx="1">
                  <c:v>39.307692307692307</c:v>
                </c:pt>
                <c:pt idx="2">
                  <c:v>38.465517241379303</c:v>
                </c:pt>
                <c:pt idx="3">
                  <c:v>28.95454545454546</c:v>
                </c:pt>
                <c:pt idx="4">
                  <c:v>11.32394366197183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3F-4FDF-9FB8-978E6AA80535}"/>
            </c:ext>
          </c:extLst>
        </c:ser>
        <c:ser>
          <c:idx val="1"/>
          <c:order val="1"/>
          <c:tx>
            <c:strRef>
              <c:f>Porównanie!$A$5:$B$5</c:f>
              <c:strCache>
                <c:ptCount val="2"/>
                <c:pt idx="0">
                  <c:v>PEP</c:v>
                </c:pt>
                <c:pt idx="1">
                  <c:v>P/E exc. $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Porównanie!$C$5:$G$5</c:f>
              <c:numCache>
                <c:formatCode>0.00</c:formatCode>
                <c:ptCount val="5"/>
                <c:pt idx="0">
                  <c:v>33.915887850467293</c:v>
                </c:pt>
                <c:pt idx="1">
                  <c:v>14.537694013303769</c:v>
                </c:pt>
                <c:pt idx="2">
                  <c:v>27.047034764826176</c:v>
                </c:pt>
                <c:pt idx="3">
                  <c:v>25.028716216216214</c:v>
                </c:pt>
                <c:pt idx="4">
                  <c:v>25.099397590361445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3F-4FDF-9FB8-978E6AA80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Stopa dywidendy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Porównanie!$A$8:$B$8</c:f>
              <c:strCache>
                <c:ptCount val="2"/>
                <c:pt idx="0">
                  <c:v>CSV</c:v>
                </c:pt>
                <c:pt idx="1">
                  <c:v>Stopa dywidendy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Porównanie!$C$8:$G$8</c:f>
              <c:numCache>
                <c:formatCode>0.00%</c:formatCode>
                <c:ptCount val="5"/>
                <c:pt idx="0">
                  <c:v>1.4849187935034803E-2</c:v>
                </c:pt>
                <c:pt idx="1">
                  <c:v>1.5655577299412915E-2</c:v>
                </c:pt>
                <c:pt idx="2">
                  <c:v>1.4791573285522186E-2</c:v>
                </c:pt>
                <c:pt idx="3">
                  <c:v>8.9706212155191752E-3</c:v>
                </c:pt>
                <c:pt idx="4">
                  <c:v>1.3681592039800997E-2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1-4E69-A15E-7AA9EC622DAD}"/>
            </c:ext>
          </c:extLst>
        </c:ser>
        <c:ser>
          <c:idx val="1"/>
          <c:order val="1"/>
          <c:tx>
            <c:strRef>
              <c:f>Porównanie!$A$9:$B$9</c:f>
              <c:strCache>
                <c:ptCount val="2"/>
                <c:pt idx="0">
                  <c:v>PEP</c:v>
                </c:pt>
                <c:pt idx="1">
                  <c:v>Stopa dywidendy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Porównanie!$C$9:$G$9</c:f>
              <c:numCache>
                <c:formatCode>0.00%</c:formatCode>
                <c:ptCount val="5"/>
                <c:pt idx="0">
                  <c:v>3.0862496555524938E-2</c:v>
                </c:pt>
                <c:pt idx="1">
                  <c:v>2.8597574925646307E-2</c:v>
                </c:pt>
                <c:pt idx="2">
                  <c:v>2.9487373355511871E-2</c:v>
                </c:pt>
                <c:pt idx="3">
                  <c:v>2.7940878720388748E-2</c:v>
                </c:pt>
                <c:pt idx="4">
                  <c:v>2.634105364214569E-2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1-4E69-A15E-7AA9EC622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Dividend Payout</a:t>
            </a:r>
            <a:r>
              <a:rPr lang="pl-PL" baseline="0"/>
              <a:t> Ratio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Porównanie!$A$10:$B$10</c:f>
              <c:strCache>
                <c:ptCount val="2"/>
                <c:pt idx="0">
                  <c:v>CSV</c:v>
                </c:pt>
                <c:pt idx="1">
                  <c:v>% zysku wypłacony w formie dywidendy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Porównanie!$C$10:$G$10</c:f>
              <c:numCache>
                <c:formatCode>0.00%</c:formatCode>
                <c:ptCount val="5"/>
                <c:pt idx="0">
                  <c:v>0.15311004784688997</c:v>
                </c:pt>
                <c:pt idx="1">
                  <c:v>0.61538461538461542</c:v>
                </c:pt>
                <c:pt idx="2">
                  <c:v>0.56896551724137923</c:v>
                </c:pt>
                <c:pt idx="3">
                  <c:v>0.25974025974025977</c:v>
                </c:pt>
                <c:pt idx="4">
                  <c:v>0.15492957746478875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7-49F4-8E33-0668AB1431DC}"/>
            </c:ext>
          </c:extLst>
        </c:ser>
        <c:ser>
          <c:idx val="1"/>
          <c:order val="1"/>
          <c:tx>
            <c:strRef>
              <c:f>Porównanie!$A$11:$B$11</c:f>
              <c:strCache>
                <c:ptCount val="2"/>
                <c:pt idx="0">
                  <c:v>PEP</c:v>
                </c:pt>
                <c:pt idx="1">
                  <c:v>% zysku wypłacony w formie dywidendy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Porównanie!$C$11:$G$11</c:f>
              <c:numCache>
                <c:formatCode>0.00%</c:formatCode>
                <c:ptCount val="5"/>
                <c:pt idx="0">
                  <c:v>1.0467289719626169</c:v>
                </c:pt>
                <c:pt idx="1">
                  <c:v>0.41574279379157431</c:v>
                </c:pt>
                <c:pt idx="2">
                  <c:v>0.79754601226993871</c:v>
                </c:pt>
                <c:pt idx="3">
                  <c:v>0.69932432432432445</c:v>
                </c:pt>
                <c:pt idx="4">
                  <c:v>0.66114457831325313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F7-49F4-8E33-0668AB143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Marża zysku netto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Porównanie!$A$12:$B$12</c:f>
              <c:strCache>
                <c:ptCount val="2"/>
                <c:pt idx="0">
                  <c:v>CSV</c:v>
                </c:pt>
                <c:pt idx="1">
                  <c:v>Marża zysku netto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Porównanie!$C$12:$G$12</c:f>
              <c:numCache>
                <c:formatCode>0.00%</c:formatCode>
                <c:ptCount val="5"/>
                <c:pt idx="0">
                  <c:v>0.13869297719087634</c:v>
                </c:pt>
                <c:pt idx="1">
                  <c:v>3.4548018405818615E-2</c:v>
                </c:pt>
                <c:pt idx="2">
                  <c:v>3.3171234420791604E-2</c:v>
                </c:pt>
                <c:pt idx="3">
                  <c:v>7.6151871368733956E-2</c:v>
                </c:pt>
                <c:pt idx="4">
                  <c:v>0.1249630565033988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8-4D6C-9323-FB12491D3D3D}"/>
            </c:ext>
          </c:extLst>
        </c:ser>
        <c:ser>
          <c:idx val="1"/>
          <c:order val="1"/>
          <c:tx>
            <c:strRef>
              <c:f>Porównanie!$A$13:$B$13</c:f>
              <c:strCache>
                <c:ptCount val="2"/>
                <c:pt idx="0">
                  <c:v>PEP</c:v>
                </c:pt>
                <c:pt idx="1">
                  <c:v>Marża zysku netto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Porównanie!$C$13:$G$13</c:f>
              <c:numCache>
                <c:formatCode>0.00%</c:formatCode>
                <c:ptCount val="5"/>
                <c:pt idx="0">
                  <c:v>7.1362041665373036E-2</c:v>
                </c:pt>
                <c:pt idx="1">
                  <c:v>0.19589238162284595</c:v>
                </c:pt>
                <c:pt idx="2">
                  <c:v>0.10125048038549088</c:v>
                </c:pt>
                <c:pt idx="3">
                  <c:v>0.11005188850006034</c:v>
                </c:pt>
                <c:pt idx="4">
                  <c:v>0.11282402091324424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88-4D6C-9323-FB12491D3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ROA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Porównanie!$A$18:$B$18</c:f>
              <c:strCache>
                <c:ptCount val="2"/>
                <c:pt idx="0">
                  <c:v>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Porównanie!$D$1:$G$1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Porównanie!$D$18:$G$18</c:f>
              <c:numCache>
                <c:formatCode>0.00</c:formatCode>
                <c:ptCount val="4"/>
                <c:pt idx="0">
                  <c:v>9.7955146853809048E-3</c:v>
                </c:pt>
                <c:pt idx="1">
                  <c:v>9.9382477807796223E-3</c:v>
                </c:pt>
                <c:pt idx="2">
                  <c:v>2.4669310432369498E-2</c:v>
                </c:pt>
                <c:pt idx="3">
                  <c:v>4.0244704416447459E-2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08-44CC-9E2E-EA76ED77930E}"/>
            </c:ext>
          </c:extLst>
        </c:ser>
        <c:ser>
          <c:idx val="1"/>
          <c:order val="1"/>
          <c:tx>
            <c:strRef>
              <c:f>Porównanie!$A$19:$B$19</c:f>
              <c:strCache>
                <c:ptCount val="2"/>
                <c:pt idx="0">
                  <c:v>PEP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Porównanie!$D$1:$G$1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Porównanie!$D$19:$G$19</c:f>
              <c:numCache>
                <c:formatCode>0.00</c:formatCode>
                <c:ptCount val="4"/>
                <c:pt idx="0">
                  <c:v>0.16643370282482203</c:v>
                </c:pt>
                <c:pt idx="1">
                  <c:v>8.3227527048946287E-2</c:v>
                </c:pt>
                <c:pt idx="2">
                  <c:v>9.0242427574075093E-2</c:v>
                </c:pt>
                <c:pt idx="3">
                  <c:v>9.9585957043043224E-2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08-44CC-9E2E-EA76ED779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ROE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Porównanie!$A$20:$B$20</c:f>
              <c:strCache>
                <c:ptCount val="2"/>
                <c:pt idx="0">
                  <c:v>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Porównanie!$D$1:$G$1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Porównanie!$D$20:$G$20</c:f>
              <c:numCache>
                <c:formatCode>0.00</c:formatCode>
                <c:ptCount val="4"/>
                <c:pt idx="0">
                  <c:v>3.9927949564695288E-2</c:v>
                </c:pt>
                <c:pt idx="1">
                  <c:v>4.5046030045264703E-2</c:v>
                </c:pt>
                <c:pt idx="2">
                  <c:v>0.13252757071977803</c:v>
                </c:pt>
                <c:pt idx="3">
                  <c:v>0.2894302871900184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C-4B75-9AC5-5CF7D136B4FA}"/>
            </c:ext>
          </c:extLst>
        </c:ser>
        <c:ser>
          <c:idx val="1"/>
          <c:order val="1"/>
          <c:tx>
            <c:strRef>
              <c:f>Porównanie!$A$21:$B$21</c:f>
              <c:strCache>
                <c:ptCount val="2"/>
                <c:pt idx="0">
                  <c:v>PEP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Porównanie!$D$1:$G$1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Porównanie!$D$21:$G$21</c:f>
              <c:numCache>
                <c:formatCode>0.00</c:formatCode>
                <c:ptCount val="4"/>
                <c:pt idx="0">
                  <c:v>1.055321955643499</c:v>
                </c:pt>
                <c:pt idx="1">
                  <c:v>0.51457331730769229</c:v>
                </c:pt>
                <c:pt idx="2">
                  <c:v>0.58659996426657135</c:v>
                </c:pt>
                <c:pt idx="3">
                  <c:v>0.54214604367222352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C-4B75-9AC5-5CF7D136B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Dług / EBITDA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Porównanie!$A$24:$B$24</c:f>
              <c:strCache>
                <c:ptCount val="2"/>
                <c:pt idx="0">
                  <c:v>CSV</c:v>
                </c:pt>
                <c:pt idx="1">
                  <c:v>Debt/EBITDA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Porównanie!$C$24:$G$24</c:f>
              <c:numCache>
                <c:formatCode>0.00</c:formatCode>
                <c:ptCount val="5"/>
                <c:pt idx="0">
                  <c:v>5.401975456450165</c:v>
                </c:pt>
                <c:pt idx="1">
                  <c:v>6.333611203734578</c:v>
                </c:pt>
                <c:pt idx="2">
                  <c:v>7.0448300795372374</c:v>
                </c:pt>
                <c:pt idx="3">
                  <c:v>5.7514899359046439</c:v>
                </c:pt>
                <c:pt idx="4">
                  <c:v>5.5006040330824266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7-4D69-BA32-48F0D64F8A93}"/>
            </c:ext>
          </c:extLst>
        </c:ser>
        <c:ser>
          <c:idx val="1"/>
          <c:order val="1"/>
          <c:tx>
            <c:strRef>
              <c:f>Porównanie!$A$25:$B$25</c:f>
              <c:strCache>
                <c:ptCount val="2"/>
                <c:pt idx="0">
                  <c:v>PEP</c:v>
                </c:pt>
                <c:pt idx="1">
                  <c:v>Debt/EBITDA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Porównanie!$C$25:$G$25</c:f>
              <c:numCache>
                <c:formatCode>0.00</c:formatCode>
                <c:ptCount val="5"/>
                <c:pt idx="0">
                  <c:v>3.0502705139765554</c:v>
                </c:pt>
                <c:pt idx="1">
                  <c:v>2.495598591549296</c:v>
                </c:pt>
                <c:pt idx="2">
                  <c:v>3.5418536892668713</c:v>
                </c:pt>
                <c:pt idx="3">
                  <c:v>2.8546939326449348</c:v>
                </c:pt>
                <c:pt idx="4">
                  <c:v>2.355844778983986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7-4D69-BA32-48F0D64F8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Ogólne</a:t>
            </a:r>
            <a:r>
              <a:rPr lang="pl-PL" baseline="0"/>
              <a:t> zadłużenie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Porównanie!$A$26:$B$26</c:f>
              <c:strCache>
                <c:ptCount val="2"/>
                <c:pt idx="0">
                  <c:v>CSV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Porównanie!$D$1:$G$1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Porównanie!$D$26:$G$26</c:f>
              <c:numCache>
                <c:formatCode>0.00</c:formatCode>
                <c:ptCount val="4"/>
                <c:pt idx="0">
                  <c:v>0.7546702299473399</c:v>
                </c:pt>
                <c:pt idx="1">
                  <c:v>0.77937572365881891</c:v>
                </c:pt>
                <c:pt idx="2">
                  <c:v>0.81385963530040017</c:v>
                </c:pt>
                <c:pt idx="3">
                  <c:v>0.86095632008860579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5F-43B6-8B2E-A3FAF9E1EEC7}"/>
            </c:ext>
          </c:extLst>
        </c:ser>
        <c:ser>
          <c:idx val="1"/>
          <c:order val="1"/>
          <c:tx>
            <c:strRef>
              <c:f>Porównanie!$A$27:$B$27</c:f>
              <c:strCache>
                <c:ptCount val="2"/>
                <c:pt idx="0">
                  <c:v>PEP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Porównanie!$D$1:$G$1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Porównanie!$D$27:$G$27</c:f>
              <c:numCache>
                <c:formatCode>0.00</c:formatCode>
                <c:ptCount val="4"/>
                <c:pt idx="0">
                  <c:v>0.84229106394044795</c:v>
                </c:pt>
                <c:pt idx="1">
                  <c:v>0.83825914743422292</c:v>
                </c:pt>
                <c:pt idx="2">
                  <c:v>0.84616018910450219</c:v>
                </c:pt>
                <c:pt idx="3">
                  <c:v>0.81631156732511001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5F-43B6-8B2E-A3FAF9E1E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Dług / Kapitały własne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Porównanie!$A$30:$B$30</c:f>
              <c:strCache>
                <c:ptCount val="2"/>
                <c:pt idx="0">
                  <c:v>CSV</c:v>
                </c:pt>
                <c:pt idx="1">
                  <c:v>Debt/equity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Porównanie!$D$1:$G$1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Porównanie!$D$30:$G$30</c:f>
              <c:numCache>
                <c:formatCode>0.00</c:formatCode>
                <c:ptCount val="4"/>
                <c:pt idx="0">
                  <c:v>1.5886477677231201</c:v>
                </c:pt>
                <c:pt idx="1">
                  <c:v>1.8959567907983643</c:v>
                </c:pt>
                <c:pt idx="2">
                  <c:v>2.3482258330002117</c:v>
                </c:pt>
                <c:pt idx="3">
                  <c:v>3.4332119854382532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04-493E-8381-205941A7F074}"/>
            </c:ext>
          </c:extLst>
        </c:ser>
        <c:ser>
          <c:idx val="1"/>
          <c:order val="1"/>
          <c:tx>
            <c:strRef>
              <c:f>Porównanie!$A$31:$B$31</c:f>
              <c:strCache>
                <c:ptCount val="2"/>
                <c:pt idx="0">
                  <c:v>PEP</c:v>
                </c:pt>
                <c:pt idx="1">
                  <c:v>Debt/equity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Porównanie!$D$1:$G$1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Porównanie!$D$31:$G$31</c:f>
              <c:numCache>
                <c:formatCode>0.00</c:formatCode>
                <c:ptCount val="4"/>
                <c:pt idx="0">
                  <c:v>2.9589413801632451</c:v>
                </c:pt>
                <c:pt idx="1">
                  <c:v>2.8606896033653846</c:v>
                </c:pt>
                <c:pt idx="2">
                  <c:v>3.1186707164552439</c:v>
                </c:pt>
                <c:pt idx="3">
                  <c:v>2.3942533458558346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04-493E-8381-205941A7F0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Zadłużenie netto jako % kapitalizacji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Porównanie!$A$36:$B$36</c:f>
              <c:strCache>
                <c:ptCount val="2"/>
                <c:pt idx="0">
                  <c:v>CSV</c:v>
                </c:pt>
                <c:pt idx="1">
                  <c:v>Zadłużenie netto jako % kapitalizacji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Porównanie!$C$36:$G$36</c:f>
              <c:numCache>
                <c:formatCode>0.00%</c:formatCode>
                <c:ptCount val="5"/>
                <c:pt idx="0">
                  <c:v>0.85844425448772732</c:v>
                </c:pt>
                <c:pt idx="1">
                  <c:v>1.0167427701674276</c:v>
                </c:pt>
                <c:pt idx="2">
                  <c:v>1.2112655012699836</c:v>
                </c:pt>
                <c:pt idx="3">
                  <c:v>0.63590491141511551</c:v>
                </c:pt>
                <c:pt idx="4">
                  <c:v>1.1487484452736318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F7-4D86-B2B6-5587DCF08911}"/>
            </c:ext>
          </c:extLst>
        </c:ser>
        <c:ser>
          <c:idx val="1"/>
          <c:order val="1"/>
          <c:tx>
            <c:strRef>
              <c:f>Porównanie!$A$37:$B$37</c:f>
              <c:strCache>
                <c:ptCount val="2"/>
                <c:pt idx="0">
                  <c:v>PEP</c:v>
                </c:pt>
                <c:pt idx="1">
                  <c:v>Zadłużenie netto jako % kapitalizacji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Porównanie!$C$37:$G$37</c:f>
              <c:numCache>
                <c:formatCode>0.00%</c:formatCode>
                <c:ptCount val="5"/>
                <c:pt idx="0">
                  <c:v>0.14469693836892075</c:v>
                </c:pt>
                <c:pt idx="1">
                  <c:v>0.14938664121556919</c:v>
                </c:pt>
                <c:pt idx="2">
                  <c:v>0.19461221338595508</c:v>
                </c:pt>
                <c:pt idx="3">
                  <c:v>0.17757953468434012</c:v>
                </c:pt>
                <c:pt idx="4">
                  <c:v>0.1450900368628136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F7-4D86-B2B6-5587DCF08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P/CFO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Porównanie!$A$38:$B$38</c:f>
              <c:strCache>
                <c:ptCount val="2"/>
                <c:pt idx="0">
                  <c:v>CSV</c:v>
                </c:pt>
                <c:pt idx="1">
                  <c:v>P/CFO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Porównanie!$C$38:$G$38</c:f>
              <c:numCache>
                <c:formatCode>0.00</c:formatCode>
                <c:ptCount val="5"/>
                <c:pt idx="0">
                  <c:v>7.7065687935253155</c:v>
                </c:pt>
                <c:pt idx="1">
                  <c:v>7.9395770392749263</c:v>
                </c:pt>
                <c:pt idx="2">
                  <c:v>5.3551140152020267</c:v>
                </c:pt>
                <c:pt idx="3">
                  <c:v>9.4659747611746674</c:v>
                </c:pt>
                <c:pt idx="4">
                  <c:v>7.9653250773993793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A-4382-9D1E-C58AA3BC7E90}"/>
            </c:ext>
          </c:extLst>
        </c:ser>
        <c:ser>
          <c:idx val="1"/>
          <c:order val="1"/>
          <c:tx>
            <c:strRef>
              <c:f>Porównanie!$A$39:$B$39</c:f>
              <c:strCache>
                <c:ptCount val="2"/>
                <c:pt idx="0">
                  <c:v>PEP</c:v>
                </c:pt>
                <c:pt idx="1">
                  <c:v>P/CFO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Porównanie!$C$39:$G$39</c:f>
              <c:numCache>
                <c:formatCode>0.00</c:formatCode>
                <c:ptCount val="5"/>
                <c:pt idx="0">
                  <c:v>17.51055944055944</c:v>
                </c:pt>
                <c:pt idx="1">
                  <c:v>19.016279333058872</c:v>
                </c:pt>
                <c:pt idx="2">
                  <c:v>18.948696904247658</c:v>
                </c:pt>
                <c:pt idx="3">
                  <c:v>17.897481507266555</c:v>
                </c:pt>
                <c:pt idx="4">
                  <c:v>20.748475396611994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A-4382-9D1E-C58AA3BC7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P/CFO exc.</a:t>
            </a:r>
            <a:r>
              <a:rPr lang="pl-PL" baseline="0"/>
              <a:t> $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Porównanie!$A$40:$B$40</c:f>
              <c:strCache>
                <c:ptCount val="2"/>
                <c:pt idx="0">
                  <c:v>CSV</c:v>
                </c:pt>
                <c:pt idx="1">
                  <c:v>P/CFO ex.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Porównanie!$C$40:$G$40</c:f>
              <c:numCache>
                <c:formatCode>0.00</c:formatCode>
                <c:ptCount val="5"/>
                <c:pt idx="0">
                  <c:v>7.7065687935253155</c:v>
                </c:pt>
                <c:pt idx="1">
                  <c:v>7.9395770392749263</c:v>
                </c:pt>
                <c:pt idx="2">
                  <c:v>5.3551140152020267</c:v>
                </c:pt>
                <c:pt idx="3">
                  <c:v>9.4659747611746674</c:v>
                </c:pt>
                <c:pt idx="4">
                  <c:v>7.9653250773993793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1-480A-AA08-9A5E1FB011A1}"/>
            </c:ext>
          </c:extLst>
        </c:ser>
        <c:ser>
          <c:idx val="1"/>
          <c:order val="1"/>
          <c:tx>
            <c:strRef>
              <c:f>Porównanie!$A$41:$B$41</c:f>
              <c:strCache>
                <c:ptCount val="2"/>
                <c:pt idx="0">
                  <c:v>PEP</c:v>
                </c:pt>
                <c:pt idx="1">
                  <c:v>P/CFO ex. $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Porównanie!$C$41:$G$41</c:f>
              <c:numCache>
                <c:formatCode>0.00</c:formatCode>
                <c:ptCount val="5"/>
                <c:pt idx="0">
                  <c:v>17.51055944055944</c:v>
                </c:pt>
                <c:pt idx="1">
                  <c:v>19.016279333058872</c:v>
                </c:pt>
                <c:pt idx="2">
                  <c:v>18.948696904247658</c:v>
                </c:pt>
                <c:pt idx="3">
                  <c:v>17.897481507266555</c:v>
                </c:pt>
                <c:pt idx="4">
                  <c:v>20.748475396611994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1-480A-AA08-9A5E1FB01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P/EBITDA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Porównanie!$A$42:$B$42</c:f>
              <c:strCache>
                <c:ptCount val="2"/>
                <c:pt idx="0">
                  <c:v>CSV</c:v>
                </c:pt>
                <c:pt idx="1">
                  <c:v>P/EBITDA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Porównanie!$C$42:$G$42</c:f>
              <c:numCache>
                <c:formatCode>0.00</c:formatCode>
                <c:ptCount val="5"/>
                <c:pt idx="0">
                  <c:v>6.127656390302306</c:v>
                </c:pt>
                <c:pt idx="1">
                  <c:v>6.1340446815605194</c:v>
                </c:pt>
                <c:pt idx="2">
                  <c:v>5.8073752711496738</c:v>
                </c:pt>
                <c:pt idx="3">
                  <c:v>9.0253007983807478</c:v>
                </c:pt>
                <c:pt idx="4">
                  <c:v>4.7817117368274316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7F-4B81-9A38-DBF1A36194F1}"/>
            </c:ext>
          </c:extLst>
        </c:ser>
        <c:ser>
          <c:idx val="1"/>
          <c:order val="1"/>
          <c:tx>
            <c:strRef>
              <c:f>Porównanie!$A$43:$B$43</c:f>
              <c:strCache>
                <c:ptCount val="2"/>
                <c:pt idx="0">
                  <c:v>PEP</c:v>
                </c:pt>
                <c:pt idx="1">
                  <c:v>P/EBITDA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Porównanie!$C$43:$G$43</c:f>
              <c:numCache>
                <c:formatCode>0.00</c:formatCode>
                <c:ptCount val="5"/>
                <c:pt idx="0">
                  <c:v>11.665811541929667</c:v>
                </c:pt>
                <c:pt idx="1">
                  <c:v>14.785705025608195</c:v>
                </c:pt>
                <c:pt idx="2">
                  <c:v>14.508085676037483</c:v>
                </c:pt>
                <c:pt idx="3">
                  <c:v>13.88</c:v>
                </c:pt>
                <c:pt idx="4">
                  <c:v>13.88416841600192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7F-4B81-9A38-DBF1A3619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P/EBITDA exc.</a:t>
            </a:r>
            <a:r>
              <a:rPr lang="pl-PL" baseline="0"/>
              <a:t> $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Porównanie!$A$44:$B$44</c:f>
              <c:strCache>
                <c:ptCount val="2"/>
                <c:pt idx="0">
                  <c:v>CSV</c:v>
                </c:pt>
                <c:pt idx="1">
                  <c:v>P/EBITDA ex.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Porównanie!$C$44:$G$44</c:f>
              <c:numCache>
                <c:formatCode>0.00</c:formatCode>
                <c:ptCount val="5"/>
                <c:pt idx="0">
                  <c:v>6.127656390302306</c:v>
                </c:pt>
                <c:pt idx="1">
                  <c:v>6.1340446815605194</c:v>
                </c:pt>
                <c:pt idx="2">
                  <c:v>5.8073752711496738</c:v>
                </c:pt>
                <c:pt idx="3">
                  <c:v>9.0253007983807478</c:v>
                </c:pt>
                <c:pt idx="4">
                  <c:v>4.7817117368274316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F0-4FA8-B436-105B0F293330}"/>
            </c:ext>
          </c:extLst>
        </c:ser>
        <c:ser>
          <c:idx val="1"/>
          <c:order val="1"/>
          <c:tx>
            <c:strRef>
              <c:f>Porównanie!$A$45:$B$45</c:f>
              <c:strCache>
                <c:ptCount val="2"/>
                <c:pt idx="0">
                  <c:v>PEP</c:v>
                </c:pt>
                <c:pt idx="1">
                  <c:v>P/EBITDA ex. $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Porównanie!$C$45:$G$45</c:f>
              <c:numCache>
                <c:formatCode>0.00</c:formatCode>
                <c:ptCount val="5"/>
                <c:pt idx="0">
                  <c:v>11.665811541929667</c:v>
                </c:pt>
                <c:pt idx="1">
                  <c:v>14.785705025608195</c:v>
                </c:pt>
                <c:pt idx="2">
                  <c:v>14.508085676037483</c:v>
                </c:pt>
                <c:pt idx="3">
                  <c:v>13.88</c:v>
                </c:pt>
                <c:pt idx="4">
                  <c:v>13.88416841600192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F0-4FA8-B436-105B0F293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Porównanie!$A$6:$B$6</c:f>
              <c:strCache>
                <c:ptCount val="2"/>
                <c:pt idx="0">
                  <c:v>CSV</c:v>
                </c:pt>
                <c:pt idx="1">
                  <c:v>P/S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Porównanie!$C$6:$G$6</c:f>
              <c:numCache>
                <c:formatCode>0.00</c:formatCode>
                <c:ptCount val="5"/>
                <c:pt idx="0">
                  <c:v>1.5360519207683074</c:v>
                </c:pt>
                <c:pt idx="1">
                  <c:v>1.36529612587205</c:v>
                </c:pt>
                <c:pt idx="2">
                  <c:v>1.2932916814273292</c:v>
                </c:pt>
                <c:pt idx="3">
                  <c:v>2.1689501418727199</c:v>
                </c:pt>
                <c:pt idx="4">
                  <c:v>1.3825196808081892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E4-44A6-924F-4B6D5AC6BACC}"/>
            </c:ext>
          </c:extLst>
        </c:ser>
        <c:ser>
          <c:idx val="1"/>
          <c:order val="1"/>
          <c:tx>
            <c:strRef>
              <c:f>Porównanie!$A$7:$B$7</c:f>
              <c:strCache>
                <c:ptCount val="2"/>
                <c:pt idx="0">
                  <c:v>PEP</c:v>
                </c:pt>
                <c:pt idx="1">
                  <c:v>P/S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Porównanie!$C$1:$G$1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Porównanie!$C$7:$G$7</c:f>
              <c:numCache>
                <c:formatCode>0.00</c:formatCode>
                <c:ptCount val="5"/>
                <c:pt idx="0">
                  <c:v>2.4100192492781525</c:v>
                </c:pt>
                <c:pt idx="1">
                  <c:v>2.8276173058675891</c:v>
                </c:pt>
                <c:pt idx="2">
                  <c:v>2.7232414934815381</c:v>
                </c:pt>
                <c:pt idx="3">
                  <c:v>2.7574643015164311</c:v>
                </c:pt>
                <c:pt idx="4">
                  <c:v>2.8278168136620168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E4-44A6-924F-4B6D5AC6B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38512"/>
        <c:axId val="195938928"/>
      </c:line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Dynamika zysku netto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Porównanie!$A$49:$B$49</c:f>
              <c:strCache>
                <c:ptCount val="2"/>
                <c:pt idx="0">
                  <c:v>CSV</c:v>
                </c:pt>
                <c:pt idx="1">
                  <c:v>Dynamika zysku netto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Porównanie!$C$48:$F$48</c:f>
              <c:strCache>
                <c:ptCount val="4"/>
                <c:pt idx="0">
                  <c:v>2018 / 2019</c:v>
                </c:pt>
                <c:pt idx="1">
                  <c:v>2019 / 2020</c:v>
                </c:pt>
                <c:pt idx="2">
                  <c:v>2020 / 2021</c:v>
                </c:pt>
                <c:pt idx="3">
                  <c:v>2021 / 2022</c:v>
                </c:pt>
              </c:strCache>
            </c:strRef>
          </c:cat>
          <c:val>
            <c:numRef>
              <c:f>Porównanie!$C$49:$F$49</c:f>
              <c:numCache>
                <c:formatCode>0.00%</c:formatCode>
                <c:ptCount val="4"/>
                <c:pt idx="0" formatCode="0.00">
                  <c:v>-0.74817419529348117</c:v>
                </c:pt>
                <c:pt idx="1">
                  <c:v>0.10633727175080561</c:v>
                </c:pt>
                <c:pt idx="2">
                  <c:v>1.7359223300970872</c:v>
                </c:pt>
                <c:pt idx="3">
                  <c:v>0.65046132008516677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03-43AE-90C5-37EFB1345D4F}"/>
            </c:ext>
          </c:extLst>
        </c:ser>
        <c:ser>
          <c:idx val="1"/>
          <c:order val="1"/>
          <c:tx>
            <c:strRef>
              <c:f>Porównanie!$A$50:$B$50</c:f>
              <c:strCache>
                <c:ptCount val="2"/>
                <c:pt idx="0">
                  <c:v>PEP</c:v>
                </c:pt>
                <c:pt idx="1">
                  <c:v>Dynamika zysku netto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Porównanie!$C$48:$F$48</c:f>
              <c:strCache>
                <c:ptCount val="4"/>
                <c:pt idx="0">
                  <c:v>2018 / 2019</c:v>
                </c:pt>
                <c:pt idx="1">
                  <c:v>2019 / 2020</c:v>
                </c:pt>
                <c:pt idx="2">
                  <c:v>2020 / 2021</c:v>
                </c:pt>
                <c:pt idx="3">
                  <c:v>2021 / 2022</c:v>
                </c:pt>
              </c:strCache>
            </c:strRef>
          </c:cat>
          <c:val>
            <c:numRef>
              <c:f>Porównanie!$C$50:$F$50</c:f>
              <c:numCache>
                <c:formatCode>0.00%</c:formatCode>
                <c:ptCount val="4"/>
                <c:pt idx="0" formatCode="0.00">
                  <c:v>1.7844246247552751</c:v>
                </c:pt>
                <c:pt idx="1">
                  <c:v>-0.46484375</c:v>
                </c:pt>
                <c:pt idx="2">
                  <c:v>0.19824817518248175</c:v>
                </c:pt>
                <c:pt idx="3">
                  <c:v>0.12524366471734893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03-43AE-90C5-37EFB1345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938512"/>
        <c:axId val="195938928"/>
      </c:bar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Dynamika sprzedaży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Porównanie!$A$51:$B$51</c:f>
              <c:strCache>
                <c:ptCount val="2"/>
                <c:pt idx="0">
                  <c:v>CSV</c:v>
                </c:pt>
                <c:pt idx="1">
                  <c:v>Dynamika sprzedaży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Porównanie!$C$48:$F$48</c:f>
              <c:strCache>
                <c:ptCount val="4"/>
                <c:pt idx="0">
                  <c:v>2018 / 2019</c:v>
                </c:pt>
                <c:pt idx="1">
                  <c:v>2019 / 2020</c:v>
                </c:pt>
                <c:pt idx="2">
                  <c:v>2020 / 2021</c:v>
                </c:pt>
                <c:pt idx="3">
                  <c:v>2021 / 2022</c:v>
                </c:pt>
              </c:strCache>
            </c:strRef>
          </c:cat>
          <c:val>
            <c:numRef>
              <c:f>Porównanie!$C$51:$F$51</c:f>
              <c:numCache>
                <c:formatCode>0.00%</c:formatCode>
                <c:ptCount val="4"/>
                <c:pt idx="0" formatCode="0.00">
                  <c:v>1.095438175270114E-2</c:v>
                </c:pt>
                <c:pt idx="1">
                  <c:v>0.15225619712037988</c:v>
                </c:pt>
                <c:pt idx="2">
                  <c:v>0.1917490580013527</c:v>
                </c:pt>
                <c:pt idx="3">
                  <c:v>5.7830022969868567E-3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7D-4746-8BBD-E95BE9E329A0}"/>
            </c:ext>
          </c:extLst>
        </c:ser>
        <c:ser>
          <c:idx val="1"/>
          <c:order val="1"/>
          <c:tx>
            <c:strRef>
              <c:f>Porównanie!$A$52:$B$52</c:f>
              <c:strCache>
                <c:ptCount val="2"/>
                <c:pt idx="0">
                  <c:v>PEP</c:v>
                </c:pt>
                <c:pt idx="1">
                  <c:v>Dynamika sprzedaży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Porównanie!$C$48:$F$48</c:f>
              <c:strCache>
                <c:ptCount val="4"/>
                <c:pt idx="0">
                  <c:v>2018 / 2019</c:v>
                </c:pt>
                <c:pt idx="1">
                  <c:v>2019 / 2020</c:v>
                </c:pt>
                <c:pt idx="2">
                  <c:v>2020 / 2021</c:v>
                </c:pt>
                <c:pt idx="3">
                  <c:v>2021 / 2022</c:v>
                </c:pt>
              </c:strCache>
            </c:strRef>
          </c:cat>
          <c:val>
            <c:numRef>
              <c:f>Porównanie!$C$52:$F$52</c:f>
              <c:numCache>
                <c:formatCode>0.00%</c:formatCode>
                <c:ptCount val="4"/>
                <c:pt idx="0" formatCode="0.00">
                  <c:v>1.4343816945574218E-2</c:v>
                </c:pt>
                <c:pt idx="1">
                  <c:v>3.5383061430626549E-2</c:v>
                </c:pt>
                <c:pt idx="2">
                  <c:v>0.10241818665563011</c:v>
                </c:pt>
                <c:pt idx="3">
                  <c:v>9.759596690934931E-2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7D-4746-8BBD-E95BE9E32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938512"/>
        <c:axId val="195938928"/>
      </c:bar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Dynamika zysku na</a:t>
            </a:r>
            <a:r>
              <a:rPr lang="pl-PL" baseline="0"/>
              <a:t> akcję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Porównanie!$A$53:$B$53</c:f>
              <c:strCache>
                <c:ptCount val="2"/>
                <c:pt idx="0">
                  <c:v>CSV</c:v>
                </c:pt>
                <c:pt idx="1">
                  <c:v>Dynamika znorm. zysku na akcję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Porównanie!$C$48:$F$48</c:f>
              <c:strCache>
                <c:ptCount val="4"/>
                <c:pt idx="0">
                  <c:v>2018 / 2019</c:v>
                </c:pt>
                <c:pt idx="1">
                  <c:v>2019 / 2020</c:v>
                </c:pt>
                <c:pt idx="2">
                  <c:v>2020 / 2021</c:v>
                </c:pt>
                <c:pt idx="3">
                  <c:v>2021 / 2022</c:v>
                </c:pt>
              </c:strCache>
            </c:strRef>
          </c:cat>
          <c:val>
            <c:numRef>
              <c:f>Porównanie!$C$53:$F$53</c:f>
              <c:numCache>
                <c:formatCode>0.00%</c:formatCode>
                <c:ptCount val="4"/>
                <c:pt idx="0" formatCode="0.00">
                  <c:v>-0.75119617224880386</c:v>
                </c:pt>
                <c:pt idx="1">
                  <c:v>0.11538461538461542</c:v>
                </c:pt>
                <c:pt idx="2">
                  <c:v>1.6551724137931028</c:v>
                </c:pt>
                <c:pt idx="3">
                  <c:v>0.84415584415584433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8-4F4D-BB4D-45CC22875E6F}"/>
            </c:ext>
          </c:extLst>
        </c:ser>
        <c:ser>
          <c:idx val="1"/>
          <c:order val="1"/>
          <c:tx>
            <c:strRef>
              <c:f>Porównanie!$A$54:$B$54</c:f>
              <c:strCache>
                <c:ptCount val="2"/>
                <c:pt idx="0">
                  <c:v>PEP</c:v>
                </c:pt>
                <c:pt idx="1">
                  <c:v>Dynamika znorm. zysku na akcję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Porównanie!$C$48:$F$48</c:f>
              <c:strCache>
                <c:ptCount val="4"/>
                <c:pt idx="0">
                  <c:v>2018 / 2019</c:v>
                </c:pt>
                <c:pt idx="1">
                  <c:v>2019 / 2020</c:v>
                </c:pt>
                <c:pt idx="2">
                  <c:v>2020 / 2021</c:v>
                </c:pt>
                <c:pt idx="3">
                  <c:v>2021 / 2022</c:v>
                </c:pt>
              </c:strCache>
            </c:strRef>
          </c:cat>
          <c:val>
            <c:numRef>
              <c:f>Porównanie!$C$54:$F$54</c:f>
              <c:numCache>
                <c:formatCode>0.00%</c:formatCode>
                <c:ptCount val="4"/>
                <c:pt idx="0" formatCode="0.00">
                  <c:v>1.809968847352025</c:v>
                </c:pt>
                <c:pt idx="1">
                  <c:v>-0.45787139689578715</c:v>
                </c:pt>
                <c:pt idx="2">
                  <c:v>0.21063394683026582</c:v>
                </c:pt>
                <c:pt idx="3">
                  <c:v>0.12162162162162149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88-4F4D-BB4D-45CC22875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938512"/>
        <c:axId val="195938928"/>
      </c:bar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Dynamika dywidendy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Porównanie!$A$55:$B$55</c:f>
              <c:strCache>
                <c:ptCount val="2"/>
                <c:pt idx="0">
                  <c:v>CSV</c:v>
                </c:pt>
                <c:pt idx="1">
                  <c:v>Dynamika dywidendy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Porównanie!$C$48:$F$48</c:f>
              <c:strCache>
                <c:ptCount val="4"/>
                <c:pt idx="0">
                  <c:v>2018 / 2019</c:v>
                </c:pt>
                <c:pt idx="1">
                  <c:v>2019 / 2020</c:v>
                </c:pt>
                <c:pt idx="2">
                  <c:v>2020 / 2021</c:v>
                </c:pt>
                <c:pt idx="3">
                  <c:v>2021 / 2022</c:v>
                </c:pt>
              </c:strCache>
            </c:strRef>
          </c:cat>
          <c:val>
            <c:numRef>
              <c:f>Porównanie!$C$55:$F$55</c:f>
              <c:numCache>
                <c:formatCode>0.00%</c:formatCode>
                <c:ptCount val="4"/>
                <c:pt idx="0" formatCode="0.00">
                  <c:v>0</c:v>
                </c:pt>
                <c:pt idx="1">
                  <c:v>3.1249999999999778E-2</c:v>
                </c:pt>
                <c:pt idx="2">
                  <c:v>0.21212121212121238</c:v>
                </c:pt>
                <c:pt idx="3">
                  <c:v>9.9999999999999867E-2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2D-440E-9865-440F1CDE1D3F}"/>
            </c:ext>
          </c:extLst>
        </c:ser>
        <c:ser>
          <c:idx val="1"/>
          <c:order val="1"/>
          <c:tx>
            <c:strRef>
              <c:f>Porównanie!$A$56:$B$56</c:f>
              <c:strCache>
                <c:ptCount val="2"/>
                <c:pt idx="0">
                  <c:v>PEP</c:v>
                </c:pt>
                <c:pt idx="1">
                  <c:v>Dynamika dywidendy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Porównanie!$C$48:$F$48</c:f>
              <c:strCache>
                <c:ptCount val="4"/>
                <c:pt idx="0">
                  <c:v>2018 / 2019</c:v>
                </c:pt>
                <c:pt idx="1">
                  <c:v>2019 / 2020</c:v>
                </c:pt>
                <c:pt idx="2">
                  <c:v>2020 / 2021</c:v>
                </c:pt>
                <c:pt idx="3">
                  <c:v>2021 / 2022</c:v>
                </c:pt>
              </c:strCache>
            </c:strRef>
          </c:cat>
          <c:val>
            <c:numRef>
              <c:f>Porównanie!$C$56:$F$56</c:f>
              <c:numCache>
                <c:formatCode>0.00%</c:formatCode>
                <c:ptCount val="4"/>
                <c:pt idx="0" formatCode="0.00">
                  <c:v>0.11607142857142838</c:v>
                </c:pt>
                <c:pt idx="1">
                  <c:v>4.0000000000000036E-2</c:v>
                </c:pt>
                <c:pt idx="2">
                  <c:v>6.1538461538461764E-2</c:v>
                </c:pt>
                <c:pt idx="3">
                  <c:v>6.0386473429951737E-2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2D-440E-9865-440F1CDE1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938512"/>
        <c:axId val="195938928"/>
      </c:bar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Dynamika CFO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Porównanie!$A$57:$B$57</c:f>
              <c:strCache>
                <c:ptCount val="2"/>
                <c:pt idx="0">
                  <c:v>CSV</c:v>
                </c:pt>
                <c:pt idx="1">
                  <c:v>Dynamika $ z 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Porównanie!$C$48:$F$48</c:f>
              <c:strCache>
                <c:ptCount val="4"/>
                <c:pt idx="0">
                  <c:v>2018 / 2019</c:v>
                </c:pt>
                <c:pt idx="1">
                  <c:v>2019 / 2020</c:v>
                </c:pt>
                <c:pt idx="2">
                  <c:v>2020 / 2021</c:v>
                </c:pt>
                <c:pt idx="3">
                  <c:v>2021 / 2022</c:v>
                </c:pt>
              </c:strCache>
            </c:strRef>
          </c:cat>
          <c:val>
            <c:numRef>
              <c:f>Porównanie!$C$57:$F$57</c:f>
              <c:numCache>
                <c:formatCode>0.00%</c:formatCode>
                <c:ptCount val="4"/>
                <c:pt idx="0" formatCode="0.00">
                  <c:v>-0.12779973649538867</c:v>
                </c:pt>
                <c:pt idx="1">
                  <c:v>0.61825636599050537</c:v>
                </c:pt>
                <c:pt idx="2">
                  <c:v>0.13068409121216162</c:v>
                </c:pt>
                <c:pt idx="3">
                  <c:v>-0.23811770255926401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0-4695-8D66-0B06479BCFF9}"/>
            </c:ext>
          </c:extLst>
        </c:ser>
        <c:ser>
          <c:idx val="1"/>
          <c:order val="1"/>
          <c:tx>
            <c:strRef>
              <c:f>Porównanie!$A$58:$B$58</c:f>
              <c:strCache>
                <c:ptCount val="2"/>
                <c:pt idx="0">
                  <c:v>PEP</c:v>
                </c:pt>
                <c:pt idx="1">
                  <c:v>Dynamika $ z 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Porównanie!$C$48:$F$48</c:f>
              <c:strCache>
                <c:ptCount val="4"/>
                <c:pt idx="0">
                  <c:v>2018 / 2019</c:v>
                </c:pt>
                <c:pt idx="1">
                  <c:v>2019 / 2020</c:v>
                </c:pt>
                <c:pt idx="2">
                  <c:v>2020 / 2021</c:v>
                </c:pt>
                <c:pt idx="3">
                  <c:v>2021 / 2022</c:v>
                </c:pt>
              </c:strCache>
            </c:strRef>
          </c:cat>
          <c:val>
            <c:numRef>
              <c:f>Porównanie!$C$58:$F$58</c:f>
              <c:numCache>
                <c:formatCode>0.00%</c:formatCode>
                <c:ptCount val="4"/>
                <c:pt idx="0" formatCode="0.00">
                  <c:v>9.5871870065418419E-2</c:v>
                </c:pt>
                <c:pt idx="1">
                  <c:v>7.2046109510082168E-4</c:v>
                </c:pt>
                <c:pt idx="2">
                  <c:v>0.18183688162089884</c:v>
                </c:pt>
                <c:pt idx="3">
                  <c:v>-2.9066225741884999E-2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50-4695-8D66-0B06479BC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938512"/>
        <c:axId val="195938928"/>
      </c:bar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Dynamika EBITDA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Porównanie!$A$59:$B$59</c:f>
              <c:strCache>
                <c:ptCount val="2"/>
                <c:pt idx="0">
                  <c:v>CSV</c:v>
                </c:pt>
                <c:pt idx="1">
                  <c:v>Dynamika EBITDA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Porównanie!$C$48:$F$48</c:f>
              <c:strCache>
                <c:ptCount val="4"/>
                <c:pt idx="0">
                  <c:v>2018 / 2019</c:v>
                </c:pt>
                <c:pt idx="1">
                  <c:v>2019 / 2020</c:v>
                </c:pt>
                <c:pt idx="2">
                  <c:v>2020 / 2021</c:v>
                </c:pt>
                <c:pt idx="3">
                  <c:v>2021 / 2022</c:v>
                </c:pt>
              </c:strCache>
            </c:strRef>
          </c:cat>
          <c:val>
            <c:numRef>
              <c:f>Porównanie!$C$59:$F$59</c:f>
              <c:numCache>
                <c:formatCode>0.00%</c:formatCode>
                <c:ptCount val="4"/>
                <c:pt idx="0" formatCode="0.00">
                  <c:v>-0.10236456150853024</c:v>
                </c:pt>
                <c:pt idx="1">
                  <c:v>0.1528842947649216</c:v>
                </c:pt>
                <c:pt idx="2">
                  <c:v>0.28604483007953729</c:v>
                </c:pt>
                <c:pt idx="3">
                  <c:v>0.21005285055661749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D-4FBE-B0BB-677A694DBF7F}"/>
            </c:ext>
          </c:extLst>
        </c:ser>
        <c:ser>
          <c:idx val="1"/>
          <c:order val="1"/>
          <c:tx>
            <c:strRef>
              <c:f>Porównanie!$A$60:$B$60</c:f>
              <c:strCache>
                <c:ptCount val="2"/>
                <c:pt idx="0">
                  <c:v>PEP</c:v>
                </c:pt>
                <c:pt idx="1">
                  <c:v>Dynamika EBITDA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Porównanie!$C$48:$F$48</c:f>
              <c:strCache>
                <c:ptCount val="4"/>
                <c:pt idx="0">
                  <c:v>2018 / 2019</c:v>
                </c:pt>
                <c:pt idx="1">
                  <c:v>2019 / 2020</c:v>
                </c:pt>
                <c:pt idx="2">
                  <c:v>2020 / 2021</c:v>
                </c:pt>
                <c:pt idx="3">
                  <c:v>2021 / 2022</c:v>
                </c:pt>
              </c:strCache>
            </c:strRef>
          </c:cat>
          <c:val>
            <c:numRef>
              <c:f>Porównanie!$C$60:$F$60</c:f>
              <c:numCache>
                <c:formatCode>0.00%</c:formatCode>
                <c:ptCount val="4"/>
                <c:pt idx="0" formatCode="0.00">
                  <c:v>-6.1015930267508289E-2</c:v>
                </c:pt>
                <c:pt idx="1">
                  <c:v>1.6245198463508359E-2</c:v>
                </c:pt>
                <c:pt idx="2">
                  <c:v>0.16678478620363801</c:v>
                </c:pt>
                <c:pt idx="3">
                  <c:v>0.12526152392522105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2D-4FBE-B0BB-677A694DB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938512"/>
        <c:axId val="195938928"/>
      </c:barChart>
      <c:catAx>
        <c:axId val="19593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928"/>
        <c:crosses val="autoZero"/>
        <c:auto val="1"/>
        <c:lblAlgn val="ctr"/>
        <c:lblOffset val="100"/>
        <c:noMultiLvlLbl val="0"/>
      </c:catAx>
      <c:valAx>
        <c:axId val="19593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9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wskaźniki'!$L$41</c:f>
              <c:strCache>
                <c:ptCount val="1"/>
                <c:pt idx="0">
                  <c:v>P/CFO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wskaźniki'!$M$41:$Q$41</c:f>
              <c:numCache>
                <c:formatCode>0.00</c:formatCode>
                <c:ptCount val="5"/>
                <c:pt idx="0">
                  <c:v>7.7065687935253155</c:v>
                </c:pt>
                <c:pt idx="1">
                  <c:v>7.9395770392749263</c:v>
                </c:pt>
                <c:pt idx="2">
                  <c:v>5.3551140152020267</c:v>
                </c:pt>
                <c:pt idx="3">
                  <c:v>9.4659747611746674</c:v>
                </c:pt>
                <c:pt idx="4">
                  <c:v>7.9653250773993793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A-4F71-9FCE-18062D3D4207}"/>
            </c:ext>
          </c:extLst>
        </c:ser>
        <c:ser>
          <c:idx val="1"/>
          <c:order val="1"/>
          <c:tx>
            <c:strRef>
              <c:f>'Wybrane dane i wskaźniki'!$L$42</c:f>
              <c:strCache>
                <c:ptCount val="1"/>
                <c:pt idx="0">
                  <c:v>P/CFO ex. $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'Wybrane dane i wskaźniki'!$M$42:$Q$42</c:f>
              <c:numCache>
                <c:formatCode>0.00</c:formatCode>
                <c:ptCount val="5"/>
                <c:pt idx="0">
                  <c:v>7.7065687935253155</c:v>
                </c:pt>
                <c:pt idx="1">
                  <c:v>7.9395770392749263</c:v>
                </c:pt>
                <c:pt idx="2">
                  <c:v>5.3551140152020267</c:v>
                </c:pt>
                <c:pt idx="3">
                  <c:v>9.4659747611746674</c:v>
                </c:pt>
                <c:pt idx="4">
                  <c:v>7.9653250773993793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A-4F71-9FCE-18062D3D42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748528432"/>
        <c:axId val="-1748543120"/>
      </c:barChart>
      <c:catAx>
        <c:axId val="-174852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pl-PL"/>
          </a:p>
        </c:txPr>
        <c:crossAx val="-1748543120"/>
        <c:crosses val="autoZero"/>
        <c:auto val="1"/>
        <c:lblAlgn val="ctr"/>
        <c:lblOffset val="100"/>
        <c:noMultiLvlLbl val="0"/>
      </c:catAx>
      <c:valAx>
        <c:axId val="-17485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pl-PL"/>
          </a:p>
        </c:txPr>
        <c:crossAx val="-174852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'Mnożniki ceny'!$O$9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'Mnożniki ceny'!$Q$1:$U$1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'Mnożniki ceny'!$Q$9:$U$9</c:f>
              <c:numCache>
                <c:formatCode>0.00</c:formatCode>
                <c:ptCount val="5"/>
                <c:pt idx="0">
                  <c:v>6.127656390302306</c:v>
                </c:pt>
                <c:pt idx="1">
                  <c:v>6.1340446815605194</c:v>
                </c:pt>
                <c:pt idx="2">
                  <c:v>5.8073752711496738</c:v>
                </c:pt>
                <c:pt idx="3">
                  <c:v>9.0253007983807478</c:v>
                </c:pt>
                <c:pt idx="4">
                  <c:v>4.7817117368274316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47-4AD8-9E20-85E6865FE2A7}"/>
            </c:ext>
          </c:extLst>
        </c:ser>
        <c:ser>
          <c:idx val="1"/>
          <c:order val="1"/>
          <c:tx>
            <c:strRef>
              <c:f>'Mnożniki ceny'!$P$10</c:f>
              <c:strCache>
                <c:ptCount val="1"/>
                <c:pt idx="0">
                  <c:v>P/CFO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'Mnożniki ceny'!$Q$1:$U$1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'Mnożniki ceny'!$Q$10:$U$10</c:f>
              <c:numCache>
                <c:formatCode>0.00</c:formatCode>
                <c:ptCount val="5"/>
                <c:pt idx="0">
                  <c:v>7.7065687935253155</c:v>
                </c:pt>
                <c:pt idx="1">
                  <c:v>7.9395770392749263</c:v>
                </c:pt>
                <c:pt idx="2">
                  <c:v>5.3551140152020267</c:v>
                </c:pt>
                <c:pt idx="3">
                  <c:v>9.4659747611746674</c:v>
                </c:pt>
                <c:pt idx="4">
                  <c:v>7.9653250773993793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47-4AD8-9E20-85E6865FE2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748551280"/>
        <c:axId val="-1748554000"/>
      </c:barChart>
      <c:catAx>
        <c:axId val="-17485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54000"/>
        <c:crosses val="autoZero"/>
        <c:auto val="1"/>
        <c:lblAlgn val="ctr"/>
        <c:lblOffset val="100"/>
        <c:noMultiLvlLbl val="0"/>
      </c:catAx>
      <c:valAx>
        <c:axId val="-174855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5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'Wybrane dane i wskaźniki'!$L$44</c:f>
              <c:strCache>
                <c:ptCount val="1"/>
                <c:pt idx="0">
                  <c:v>P/EBITDA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'Wybrane dane i wskaźniki'!$D$2:$H$2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'Wybrane dane i wskaźniki'!$M$44:$Q$44</c:f>
              <c:numCache>
                <c:formatCode>0.00</c:formatCode>
                <c:ptCount val="5"/>
                <c:pt idx="0">
                  <c:v>6.127656390302306</c:v>
                </c:pt>
                <c:pt idx="1">
                  <c:v>6.1340446815605194</c:v>
                </c:pt>
                <c:pt idx="2">
                  <c:v>5.8073752711496738</c:v>
                </c:pt>
                <c:pt idx="3">
                  <c:v>9.0253007983807478</c:v>
                </c:pt>
                <c:pt idx="4">
                  <c:v>4.7817117368274316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B9-4470-B17F-538F5D860DE0}"/>
            </c:ext>
          </c:extLst>
        </c:ser>
        <c:ser>
          <c:idx val="1"/>
          <c:order val="1"/>
          <c:tx>
            <c:strRef>
              <c:f>'Wybrane dane i wskaźniki'!$L$45</c:f>
              <c:strCache>
                <c:ptCount val="1"/>
                <c:pt idx="0">
                  <c:v>P/EBITDA ex. $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'Wybrane dane i wskaźniki'!$M$45:$Q$45</c:f>
              <c:numCache>
                <c:formatCode>0.00</c:formatCode>
                <c:ptCount val="5"/>
                <c:pt idx="0">
                  <c:v>6.127656390302306</c:v>
                </c:pt>
                <c:pt idx="1">
                  <c:v>6.1340446815605194</c:v>
                </c:pt>
                <c:pt idx="2">
                  <c:v>5.8073752711496738</c:v>
                </c:pt>
                <c:pt idx="3">
                  <c:v>9.0253007983807478</c:v>
                </c:pt>
                <c:pt idx="4">
                  <c:v>4.7817117368274316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B9-4470-B17F-538F5D860D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748527344"/>
        <c:axId val="-1748540944"/>
      </c:barChart>
      <c:catAx>
        <c:axId val="-174852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40944"/>
        <c:crosses val="autoZero"/>
        <c:auto val="1"/>
        <c:lblAlgn val="ctr"/>
        <c:lblOffset val="100"/>
        <c:noMultiLvlLbl val="0"/>
      </c:catAx>
      <c:valAx>
        <c:axId val="-174854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-174852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'Mnożniki ceny'!$V$1</c:f>
              <c:strCache>
                <c:ptCount val="1"/>
                <c:pt idx="0">
                  <c:v>Źle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ceny'!$P$7</c:f>
              <c:strCache>
                <c:ptCount val="1"/>
                <c:pt idx="0">
                  <c:v>P/EBITDA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ceny'!$V$2:$V$7</c15:sqref>
                  </c15:fullRef>
                </c:ext>
              </c:extLst>
              <c:f>'Mnożniki ceny'!$V$7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EE-4D71-9E29-0025F7D4296B}"/>
            </c:ext>
          </c:extLst>
        </c:ser>
        <c:ser>
          <c:idx val="2"/>
          <c:order val="2"/>
          <c:tx>
            <c:strRef>
              <c:f>'Mnożniki ceny'!$W$1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ceny'!$P$7</c:f>
              <c:strCache>
                <c:ptCount val="1"/>
                <c:pt idx="0">
                  <c:v>P/EBITDA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ceny'!$W$2:$W$7</c15:sqref>
                  </c15:fullRef>
                </c:ext>
              </c:extLst>
              <c:f>'Mnożniki ceny'!$W$7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EE-4D71-9E29-0025F7D4296B}"/>
            </c:ext>
          </c:extLst>
        </c:ser>
        <c:ser>
          <c:idx val="3"/>
          <c:order val="3"/>
          <c:tx>
            <c:strRef>
              <c:f>'Mnożniki ceny'!$X$1</c:f>
              <c:strCache>
                <c:ptCount val="1"/>
                <c:pt idx="0">
                  <c:v>Dobrze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ceny'!$P$7</c:f>
              <c:strCache>
                <c:ptCount val="1"/>
                <c:pt idx="0">
                  <c:v>P/EBITDA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ceny'!$X$2:$X$7</c15:sqref>
                  </c15:fullRef>
                </c:ext>
              </c:extLst>
              <c:f>'Mnożniki ceny'!$X$7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EE-4D71-9E29-0025F7D4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"/>
        <c:overlap val="100"/>
        <c:axId val="849787488"/>
        <c:axId val="84978790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'Mnożniki ceny'!$P$4</c15:sqref>
                        </c15:formulaRef>
                      </c:ext>
                    </c:extLst>
                    <c:strCache>
                      <c:ptCount val="1"/>
                      <c:pt idx="0">
                        <c:v>P/CFO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'Mnożniki ceny'!$P$2:$P$7</c15:sqref>
                        </c15:fullRef>
                        <c15:formulaRef>
                          <c15:sqref>'Mnożniki ceny'!$P$7</c15:sqref>
                        </c15:formulaRef>
                      </c:ext>
                    </c:extLst>
                    <c:strCache>
                      <c:ptCount val="1"/>
                      <c:pt idx="0">
                        <c:v>P/E exc. $</c:v>
                      </c:pt>
                      <c:pt idx="1">
                        <c:v>P/CFO</c:v>
                      </c:pt>
                      <c:pt idx="2">
                        <c:v>P/CFO ex. $</c:v>
                      </c:pt>
                      <c:pt idx="3">
                        <c:v>P/EBITDA</c:v>
                      </c:pt>
                      <c:pt idx="4">
                        <c:v>P/EBITDA ex. $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'Mnożniki ceny'!$P$5:$P$5</c15:sqref>
                        </c15:fullRef>
                        <c15:formulaRef>
                          <c15:sqref/>
                        </c15:formulaRef>
                      </c:ext>
                    </c:extLst>
                    <c:numCache>
                      <c:formatCode>General</c:formatCode>
                      <c:ptCount val="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66EE-4D71-9E29-0025F7D4296B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ser>
          <c:idx val="0"/>
          <c:order val="0"/>
          <c:tx>
            <c:strRef>
              <c:f>'Mnożniki ceny'!$U$1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ceny'!$P$7</c:f>
              <c:strCache>
                <c:ptCount val="1"/>
                <c:pt idx="0">
                  <c:v>P/EBITDA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ceny'!$U$2:$U$7</c15:sqref>
                  </c15:fullRef>
                </c:ext>
              </c:extLst>
              <c:f>'Mnożniki ceny'!$U$7</c:f>
              <c:numCache>
                <c:formatCode>0.00</c:formatCode>
                <c:ptCount val="1"/>
                <c:pt idx="0">
                  <c:v>4.7817117368274316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EE-4D71-9E29-0025F7D4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4"/>
        <c:overlap val="100"/>
        <c:axId val="828004048"/>
        <c:axId val="827998224"/>
      </c:barChart>
      <c:lineChart>
        <c:grouping val="standard"/>
        <c:varyColors val="0"/>
        <c:ser>
          <c:idx val="4"/>
          <c:order val="4"/>
          <c:tx>
            <c:strRef>
              <c:f>'Mnożniki ceny'!$Y$1</c:f>
              <c:strCache>
                <c:ptCount val="1"/>
                <c:pt idx="0">
                  <c:v>Cel</c:v>
                </c:pt>
              </c:strCache>
            </c:strRef>
          </c:tx>
          <c:spPr>
            <a:ln w="28575" cap="rnd">
              <a:noFill/>
              <a:round/>
            </a:ln>
            <a:effectLst>
              <a:glow>
                <a:schemeClr val="accent3">
                  <a:satMod val="175000"/>
                  <a:alpha val="40000"/>
                </a:schemeClr>
              </a:glow>
            </a:effectLst>
          </c:spPr>
          <c:marker>
            <c:symbol val="dash"/>
            <c:size val="20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>
                <a:glow>
                  <a:schemeClr val="accent3">
                    <a:satMod val="175000"/>
                    <a:alpha val="40000"/>
                  </a:schemeClr>
                </a:glow>
              </a:effectLst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ceny'!$P$7</c:f>
              <c:strCache>
                <c:ptCount val="1"/>
                <c:pt idx="0">
                  <c:v>P/EBITDA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ceny'!$Y$2:$Y$7</c15:sqref>
                  </c15:fullRef>
                </c:ext>
              </c:extLst>
              <c:f>'Mnożniki ceny'!$Y$7</c:f>
              <c:numCache>
                <c:formatCode>0.00</c:formatCode>
                <c:ptCount val="1"/>
                <c:pt idx="0">
                  <c:v>4.7817117368274316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EE-4D71-9E29-0025F7D4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787488"/>
        <c:axId val="849787904"/>
      </c:lineChart>
      <c:catAx>
        <c:axId val="8497874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9787904"/>
        <c:crosses val="autoZero"/>
        <c:auto val="1"/>
        <c:lblAlgn val="ctr"/>
        <c:lblOffset val="100"/>
        <c:noMultiLvlLbl val="0"/>
      </c:catAx>
      <c:valAx>
        <c:axId val="8497879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ln w="6350">
                  <a:solidFill>
                    <a:schemeClr val="bg1"/>
                  </a:solidFill>
                </a:ln>
                <a:noFill/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9787488"/>
        <c:crosses val="autoZero"/>
        <c:crossBetween val="between"/>
      </c:valAx>
      <c:valAx>
        <c:axId val="827998224"/>
        <c:scaling>
          <c:orientation val="minMax"/>
        </c:scaling>
        <c:delete val="1"/>
        <c:axPos val="r"/>
        <c:numFmt formatCode="0.00" sourceLinked="1"/>
        <c:majorTickMark val="out"/>
        <c:minorTickMark val="none"/>
        <c:tickLblPos val="nextTo"/>
        <c:crossAx val="828004048"/>
        <c:crosses val="max"/>
        <c:crossBetween val="between"/>
      </c:valAx>
      <c:catAx>
        <c:axId val="828004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7998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'Mnożniki ceny'!$P$13:$P$18</c:f>
              <c:strCache>
                <c:ptCount val="6"/>
                <c:pt idx="0">
                  <c:v>P/E</c:v>
                </c:pt>
                <c:pt idx="1">
                  <c:v>P/E exc. $</c:v>
                </c:pt>
                <c:pt idx="2">
                  <c:v>P/CFO</c:v>
                </c:pt>
                <c:pt idx="3">
                  <c:v>P/CFO ex. $</c:v>
                </c:pt>
                <c:pt idx="4">
                  <c:v>P/EBITDA</c:v>
                </c:pt>
                <c:pt idx="5">
                  <c:v>P/EBITDA ex. $</c:v>
                </c:pt>
              </c:strCache>
            </c:strRef>
          </c:cat>
          <c:val>
            <c:numRef>
              <c:f>'Mnożniki ceny'!$Y$13:$Y$18</c:f>
              <c:numCache>
                <c:formatCode>0.00%</c:formatCode>
                <c:ptCount val="6"/>
                <c:pt idx="0">
                  <c:v>0.87720557357934981</c:v>
                </c:pt>
                <c:pt idx="1">
                  <c:v>0.87720557357934981</c:v>
                </c:pt>
                <c:pt idx="2">
                  <c:v>0.45753894992742167</c:v>
                </c:pt>
                <c:pt idx="3">
                  <c:v>0.45753894992742167</c:v>
                </c:pt>
                <c:pt idx="4">
                  <c:v>0.87998627079080349</c:v>
                </c:pt>
                <c:pt idx="5">
                  <c:v>0.87998627079080349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75-432C-A56F-0202EE3984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401731632"/>
        <c:axId val="1401724976"/>
      </c:radarChart>
      <c:catAx>
        <c:axId val="140173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1724976"/>
        <c:crosses val="autoZero"/>
        <c:auto val="1"/>
        <c:lblAlgn val="ctr"/>
        <c:lblOffset val="100"/>
        <c:noMultiLvlLbl val="0"/>
      </c:catAx>
      <c:valAx>
        <c:axId val="1401724976"/>
        <c:scaling>
          <c:orientation val="minMax"/>
          <c:max val="0.75000000000000011"/>
          <c:min val="0"/>
        </c:scaling>
        <c:delete val="0"/>
        <c:axPos val="l"/>
        <c:numFmt formatCode="0.00" sourceLinked="0"/>
        <c:majorTickMark val="in"/>
        <c:minorTickMark val="none"/>
        <c:tickLblPos val="none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173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'Mnożniki ceny'!$V$1</c:f>
              <c:strCache>
                <c:ptCount val="1"/>
                <c:pt idx="0">
                  <c:v>Źle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ceny'!$P$5</c:f>
              <c:strCache>
                <c:ptCount val="1"/>
                <c:pt idx="0">
                  <c:v>P/CFO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ceny'!$V$2:$V$7</c15:sqref>
                  </c15:fullRef>
                </c:ext>
              </c:extLst>
              <c:f>'Mnożniki ceny'!$V$5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79-41A8-87CA-D99FBA6AA73E}"/>
            </c:ext>
          </c:extLst>
        </c:ser>
        <c:ser>
          <c:idx val="2"/>
          <c:order val="2"/>
          <c:tx>
            <c:strRef>
              <c:f>'Mnożniki ceny'!$W$1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ceny'!$P$5</c:f>
              <c:strCache>
                <c:ptCount val="1"/>
                <c:pt idx="0">
                  <c:v>P/CFO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ceny'!$W$2:$W$7</c15:sqref>
                  </c15:fullRef>
                </c:ext>
              </c:extLst>
              <c:f>'Mnożniki ceny'!$W$5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79-41A8-87CA-D99FBA6AA73E}"/>
            </c:ext>
          </c:extLst>
        </c:ser>
        <c:ser>
          <c:idx val="3"/>
          <c:order val="3"/>
          <c:tx>
            <c:strRef>
              <c:f>'Mnożniki ceny'!$X$1</c:f>
              <c:strCache>
                <c:ptCount val="1"/>
                <c:pt idx="0">
                  <c:v>Dobrze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ceny'!$P$5</c:f>
              <c:strCache>
                <c:ptCount val="1"/>
                <c:pt idx="0">
                  <c:v>P/CFO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ceny'!$X$2:$X$7</c15:sqref>
                  </c15:fullRef>
                </c:ext>
              </c:extLst>
              <c:f>'Mnożniki ceny'!$X$5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79-41A8-87CA-D99FBA6AA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"/>
        <c:overlap val="100"/>
        <c:axId val="849787488"/>
        <c:axId val="84978790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'Mnożniki ceny'!$P$4</c15:sqref>
                        </c15:formulaRef>
                      </c:ext>
                    </c:extLst>
                    <c:strCache>
                      <c:ptCount val="1"/>
                      <c:pt idx="0">
                        <c:v>P/CFO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'Mnożniki ceny'!$P$2:$P$7</c15:sqref>
                        </c15:fullRef>
                        <c15:formulaRef>
                          <c15:sqref>'Mnożniki ceny'!$P$5</c15:sqref>
                        </c15:formulaRef>
                      </c:ext>
                    </c:extLst>
                    <c:strCache>
                      <c:ptCount val="1"/>
                      <c:pt idx="0">
                        <c:v>P/E exc. $</c:v>
                      </c:pt>
                      <c:pt idx="1">
                        <c:v>P/CFO</c:v>
                      </c:pt>
                      <c:pt idx="2">
                        <c:v>P/CFO ex. $</c:v>
                      </c:pt>
                      <c:pt idx="3">
                        <c:v>P/EBITDA</c:v>
                      </c:pt>
                      <c:pt idx="4">
                        <c:v>P/EBITDA ex. $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'Mnożniki ceny'!$P$5</c15:sqref>
                        </c15:fullRef>
                        <c15:formulaRef>
                          <c15:sqref/>
                        </c15:formulaRef>
                      </c:ext>
                    </c:extLst>
                    <c:numCache>
                      <c:formatCode>General</c:formatCode>
                      <c:ptCount val="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C979-41A8-87CA-D99FBA6AA73E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ser>
          <c:idx val="0"/>
          <c:order val="0"/>
          <c:tx>
            <c:strRef>
              <c:f>'Mnożniki ceny'!$U$1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ceny'!$P$5</c:f>
              <c:strCache>
                <c:ptCount val="1"/>
                <c:pt idx="0">
                  <c:v>P/CFO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ceny'!$U$2:$U$7</c15:sqref>
                  </c15:fullRef>
                </c:ext>
              </c:extLst>
              <c:f>'Mnożniki ceny'!$U$5</c:f>
              <c:numCache>
                <c:formatCode>0.00</c:formatCode>
                <c:ptCount val="1"/>
                <c:pt idx="0">
                  <c:v>7.9653250773993793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79-41A8-87CA-D99FBA6AA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4"/>
        <c:overlap val="100"/>
        <c:axId val="828004048"/>
        <c:axId val="827998224"/>
      </c:barChart>
      <c:lineChart>
        <c:grouping val="standard"/>
        <c:varyColors val="0"/>
        <c:ser>
          <c:idx val="4"/>
          <c:order val="4"/>
          <c:tx>
            <c:strRef>
              <c:f>'Mnożniki ceny'!$Y$1</c:f>
              <c:strCache>
                <c:ptCount val="1"/>
                <c:pt idx="0">
                  <c:v>Cel</c:v>
                </c:pt>
              </c:strCache>
            </c:strRef>
          </c:tx>
          <c:spPr>
            <a:ln w="28575" cap="rnd">
              <a:noFill/>
              <a:round/>
            </a:ln>
            <a:effectLst>
              <a:glow>
                <a:schemeClr val="accent3">
                  <a:satMod val="175000"/>
                  <a:alpha val="40000"/>
                </a:schemeClr>
              </a:glow>
            </a:effectLst>
          </c:spPr>
          <c:marker>
            <c:symbol val="dash"/>
            <c:size val="20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>
                <a:glow>
                  <a:schemeClr val="accent3">
                    <a:satMod val="175000"/>
                    <a:alpha val="40000"/>
                  </a:schemeClr>
                </a:glow>
              </a:effectLst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ceny'!$P$5</c:f>
              <c:strCache>
                <c:ptCount val="1"/>
                <c:pt idx="0">
                  <c:v>P/CFO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ceny'!$Y$2:$Y$7</c15:sqref>
                  </c15:fullRef>
                </c:ext>
              </c:extLst>
              <c:f>'Mnożniki ceny'!$Y$5</c:f>
              <c:numCache>
                <c:formatCode>0.00</c:formatCode>
                <c:ptCount val="1"/>
                <c:pt idx="0">
                  <c:v>5.3551140152020267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979-41A8-87CA-D99FBA6AA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787488"/>
        <c:axId val="849787904"/>
      </c:lineChart>
      <c:catAx>
        <c:axId val="8497874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9787904"/>
        <c:crosses val="autoZero"/>
        <c:auto val="1"/>
        <c:lblAlgn val="ctr"/>
        <c:lblOffset val="100"/>
        <c:noMultiLvlLbl val="0"/>
      </c:catAx>
      <c:valAx>
        <c:axId val="8497879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ln w="6350"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9787488"/>
        <c:crosses val="autoZero"/>
        <c:crossBetween val="between"/>
      </c:valAx>
      <c:valAx>
        <c:axId val="827998224"/>
        <c:scaling>
          <c:orientation val="minMax"/>
        </c:scaling>
        <c:delete val="1"/>
        <c:axPos val="r"/>
        <c:numFmt formatCode="0.00" sourceLinked="1"/>
        <c:majorTickMark val="out"/>
        <c:minorTickMark val="none"/>
        <c:tickLblPos val="nextTo"/>
        <c:crossAx val="828004048"/>
        <c:crosses val="max"/>
        <c:crossBetween val="between"/>
      </c:valAx>
      <c:catAx>
        <c:axId val="828004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7998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'Mnożniki ceny'!$V$1</c:f>
              <c:strCache>
                <c:ptCount val="1"/>
                <c:pt idx="0">
                  <c:v>Źle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ceny'!$P$3</c:f>
              <c:strCache>
                <c:ptCount val="1"/>
                <c:pt idx="0">
                  <c:v>P/E exc.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ceny'!$V$2:$V$7</c15:sqref>
                  </c15:fullRef>
                </c:ext>
              </c:extLst>
              <c:f>'Mnożniki ceny'!$V$3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E-4CD8-A049-E7973B9736FD}"/>
            </c:ext>
          </c:extLst>
        </c:ser>
        <c:ser>
          <c:idx val="2"/>
          <c:order val="2"/>
          <c:tx>
            <c:strRef>
              <c:f>'Mnożniki ceny'!$W$1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ceny'!$P$3</c:f>
              <c:strCache>
                <c:ptCount val="1"/>
                <c:pt idx="0">
                  <c:v>P/E exc.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ceny'!$W$2:$W$7</c15:sqref>
                  </c15:fullRef>
                </c:ext>
              </c:extLst>
              <c:f>'Mnożniki ceny'!$W$3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7E-4CD8-A049-E7973B9736FD}"/>
            </c:ext>
          </c:extLst>
        </c:ser>
        <c:ser>
          <c:idx val="3"/>
          <c:order val="3"/>
          <c:tx>
            <c:strRef>
              <c:f>'Mnożniki ceny'!$X$1</c:f>
              <c:strCache>
                <c:ptCount val="1"/>
                <c:pt idx="0">
                  <c:v>Dobrze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ceny'!$P$3</c:f>
              <c:strCache>
                <c:ptCount val="1"/>
                <c:pt idx="0">
                  <c:v>P/E exc.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ceny'!$X$2:$X$7</c15:sqref>
                  </c15:fullRef>
                </c:ext>
              </c:extLst>
              <c:f>'Mnożniki ceny'!$X$3</c:f>
              <c:numCache>
                <c:formatCode>General</c:formatCode>
                <c:ptCount val="1"/>
                <c:pt idx="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07E-4CD8-A049-E7973B973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"/>
        <c:overlap val="100"/>
        <c:axId val="849787488"/>
        <c:axId val="849787904"/>
        <c:extLst>
          <c:ext xmlns:c15="http://schemas.microsoft.com/office/drawing/2012/chart" uri="{02D57815-91ED-43cb-92C2-25804820EDAC}">
            <c15:filteredBarSeries>
              <c15:ser>
                <c:idx val="5"/>
                <c:order val="5"/>
                <c:tx>
                  <c:strRef>
                    <c:extLst>
                      <c:ext uri="{02D57815-91ED-43cb-92C2-25804820EDAC}">
                        <c15:formulaRef>
                          <c15:sqref>'Mnożniki ceny'!$P$4</c15:sqref>
                        </c15:formulaRef>
                      </c:ext>
                    </c:extLst>
                    <c:strCache>
                      <c:ptCount val="1"/>
                      <c:pt idx="0">
                        <c:v>P/CFO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'Mnożniki ceny'!$P$2:$P$7</c15:sqref>
                        </c15:fullRef>
                        <c15:formulaRef>
                          <c15:sqref>'Mnożniki ceny'!$P$3</c15:sqref>
                        </c15:formulaRef>
                      </c:ext>
                    </c:extLst>
                    <c:strCache>
                      <c:ptCount val="1"/>
                      <c:pt idx="0">
                        <c:v>P/E exc. $</c:v>
                      </c:pt>
                      <c:pt idx="1">
                        <c:v>P/CFO</c:v>
                      </c:pt>
                      <c:pt idx="2">
                        <c:v>P/CFO ex. $</c:v>
                      </c:pt>
                      <c:pt idx="3">
                        <c:v>P/EBITDA</c:v>
                      </c:pt>
                      <c:pt idx="4">
                        <c:v>P/EBITDA ex. $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'Mnożniki ceny'!$P$5</c15:sqref>
                        </c15:fullRef>
                        <c15:formulaRef>
                          <c15:sqref/>
                        </c15:formulaRef>
                      </c:ext>
                    </c:extLst>
                    <c:numCache>
                      <c:formatCode>General</c:formatCode>
                      <c:ptCount val="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007E-4CD8-A049-E7973B9736FD}"/>
                  </c:ext>
                </c:extLst>
              </c15:ser>
            </c15:filteredBarSeries>
          </c:ext>
        </c:extLst>
      </c:barChart>
      <c:barChart>
        <c:barDir val="col"/>
        <c:grouping val="stacked"/>
        <c:varyColors val="0"/>
        <c:ser>
          <c:idx val="0"/>
          <c:order val="0"/>
          <c:tx>
            <c:strRef>
              <c:f>'Mnożniki ceny'!$U$1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ceny'!$P$3</c:f>
              <c:strCache>
                <c:ptCount val="1"/>
                <c:pt idx="0">
                  <c:v>P/E exc.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ceny'!$U$2:$U$7</c15:sqref>
                  </c15:fullRef>
                </c:ext>
              </c:extLst>
              <c:f>'Mnożniki ceny'!$U$3</c:f>
              <c:numCache>
                <c:formatCode>0.00</c:formatCode>
                <c:ptCount val="1"/>
                <c:pt idx="0">
                  <c:v>11.32394366197183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07E-4CD8-A049-E7973B973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4"/>
        <c:overlap val="100"/>
        <c:axId val="828004048"/>
        <c:axId val="827998224"/>
      </c:barChart>
      <c:lineChart>
        <c:grouping val="standard"/>
        <c:varyColors val="0"/>
        <c:ser>
          <c:idx val="4"/>
          <c:order val="4"/>
          <c:tx>
            <c:strRef>
              <c:f>'Mnożniki ceny'!$Y$1</c:f>
              <c:strCache>
                <c:ptCount val="1"/>
                <c:pt idx="0">
                  <c:v>Cel</c:v>
                </c:pt>
              </c:strCache>
            </c:strRef>
          </c:tx>
          <c:spPr>
            <a:ln w="28575" cap="rnd">
              <a:noFill/>
              <a:round/>
            </a:ln>
            <a:effectLst>
              <a:glow>
                <a:schemeClr val="accent3">
                  <a:satMod val="175000"/>
                  <a:alpha val="40000"/>
                </a:schemeClr>
              </a:glow>
            </a:effectLst>
          </c:spPr>
          <c:marker>
            <c:symbol val="dash"/>
            <c:size val="20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>
                <a:glow>
                  <a:schemeClr val="accent3">
                    <a:satMod val="175000"/>
                    <a:alpha val="40000"/>
                  </a:schemeClr>
                </a:glow>
              </a:effectLst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'Mnożniki ceny'!$P$3</c:f>
              <c:strCache>
                <c:ptCount val="1"/>
                <c:pt idx="0">
                  <c:v>P/E exc.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'Mnożniki ceny'!$Y$2:$Y$7</c15:sqref>
                  </c15:fullRef>
                </c:ext>
              </c:extLst>
              <c:f>'Mnożniki ceny'!$Y$3</c:f>
              <c:numCache>
                <c:formatCode>0.00</c:formatCode>
                <c:ptCount val="1"/>
                <c:pt idx="0">
                  <c:v>10.311004784688997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7E-4CD8-A049-E7973B973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787488"/>
        <c:axId val="849787904"/>
      </c:lineChart>
      <c:catAx>
        <c:axId val="8497874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9787904"/>
        <c:crosses val="autoZero"/>
        <c:auto val="1"/>
        <c:lblAlgn val="ctr"/>
        <c:lblOffset val="100"/>
        <c:noMultiLvlLbl val="0"/>
      </c:catAx>
      <c:valAx>
        <c:axId val="8497879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ln w="6350">
                  <a:solidFill>
                    <a:schemeClr val="bg1"/>
                  </a:solidFill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9787488"/>
        <c:crosses val="autoZero"/>
        <c:crossBetween val="between"/>
      </c:valAx>
      <c:valAx>
        <c:axId val="827998224"/>
        <c:scaling>
          <c:orientation val="minMax"/>
        </c:scaling>
        <c:delete val="1"/>
        <c:axPos val="r"/>
        <c:numFmt formatCode="0.00" sourceLinked="1"/>
        <c:majorTickMark val="out"/>
        <c:minorTickMark val="none"/>
        <c:tickLblPos val="nextTo"/>
        <c:crossAx val="828004048"/>
        <c:crosses val="max"/>
        <c:crossBetween val="between"/>
      </c:valAx>
      <c:catAx>
        <c:axId val="828004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7998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24887816907501947"/>
          <c:y val="0.10785812957590828"/>
          <c:w val="0.51872717833347759"/>
          <c:h val="0.82814338997099046"/>
        </c:manualLayout>
      </c:layout>
      <c:radarChart>
        <c:radarStyle val="marker"/>
        <c:varyColors val="0"/>
        <c:ser>
          <c:idx val="0"/>
          <c:order val="0"/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Dywidenda!$I$3:$I$5</c:f>
              <c:strCache>
                <c:ptCount val="3"/>
                <c:pt idx="0">
                  <c:v>CAGR 5y</c:v>
                </c:pt>
                <c:pt idx="1">
                  <c:v>CAGR 3y</c:v>
                </c:pt>
                <c:pt idx="2">
                  <c:v>Dividend Payout Ratio</c:v>
                </c:pt>
              </c:strCache>
            </c:strRef>
          </c:cat>
          <c:val>
            <c:numRef>
              <c:f>Dywidenda!$N$3:$N$5</c:f>
              <c:numCache>
                <c:formatCode>0.00%</c:formatCode>
                <c:ptCount val="3"/>
                <c:pt idx="0">
                  <c:v>8.2868385333996875E-2</c:v>
                </c:pt>
                <c:pt idx="1">
                  <c:v>0.15470053837925168</c:v>
                </c:pt>
                <c:pt idx="2" formatCode="#,##0.00">
                  <c:v>0.15492957746478875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F2-4960-8870-35D147F97D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401731632"/>
        <c:axId val="1401724976"/>
      </c:radarChart>
      <c:catAx>
        <c:axId val="140173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1724976"/>
        <c:crosses val="autoZero"/>
        <c:auto val="1"/>
        <c:lblAlgn val="ctr"/>
        <c:lblOffset val="100"/>
        <c:noMultiLvlLbl val="0"/>
      </c:catAx>
      <c:valAx>
        <c:axId val="1401724976"/>
        <c:scaling>
          <c:orientation val="minMax"/>
          <c:max val="0.75000000000000011"/>
          <c:min val="0"/>
        </c:scaling>
        <c:delete val="0"/>
        <c:axPos val="l"/>
        <c:numFmt formatCode="0.00" sourceLinked="0"/>
        <c:majorTickMark val="in"/>
        <c:minorTickMark val="none"/>
        <c:tickLblPos val="none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0173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Wzrost!$H$1:$K$1</c:f>
              <c:strCach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strCache>
            </c:strRef>
          </c:cat>
          <c:val>
            <c:numRef>
              <c:f>Wzrost!$H$10:$K$10</c:f>
              <c:numCache>
                <c:formatCode>0.00%</c:formatCode>
                <c:ptCount val="4"/>
                <c:pt idx="0">
                  <c:v>0</c:v>
                </c:pt>
                <c:pt idx="1">
                  <c:v>3.1249999999999778E-2</c:v>
                </c:pt>
                <c:pt idx="2">
                  <c:v>0.21212121212121238</c:v>
                </c:pt>
                <c:pt idx="3">
                  <c:v>9.9999999999999867E-2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31-4A5E-A74E-258459B10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1082319"/>
        <c:axId val="2131082735"/>
      </c:lineChart>
      <c:catAx>
        <c:axId val="21310823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131082735"/>
        <c:crosses val="autoZero"/>
        <c:auto val="1"/>
        <c:lblAlgn val="ctr"/>
        <c:lblOffset val="100"/>
        <c:noMultiLvlLbl val="0"/>
      </c:catAx>
      <c:valAx>
        <c:axId val="2131082735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213108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tx1"/>
            </a:solidFill>
          </c:spPr>
          <c:dPt>
            <c:idx val="0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CC7-4190-8981-029AB3F08FC8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08D-4662-B17F-A267356BF602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CC7-4190-8981-029AB3F08FC8}"/>
              </c:ext>
            </c:extLst>
          </c:dPt>
          <c:val>
            <c:numRef>
              <c:f>Wzrost!$L$2:$N$2</c:f>
              <c:numCache>
                <c:formatCode>0.00%</c:formatCode>
                <c:ptCount val="3"/>
                <c:pt idx="0">
                  <c:v>6.9039972234838043E-2</c:v>
                </c:pt>
                <c:pt idx="1">
                  <c:v>6.9039972234838043E-2</c:v>
                </c:pt>
                <c:pt idx="2">
                  <c:v>0.28096002776516193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8D-4662-B17F-A267356BF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212198647977582"/>
          <c:y val="5.8876811594202896E-2"/>
          <c:w val="0.79922813567258333"/>
          <c:h val="0.93079710144927541"/>
        </c:manualLayout>
      </c:layout>
      <c:barChart>
        <c:barDir val="col"/>
        <c:grouping val="stacked"/>
        <c:varyColors val="0"/>
        <c:ser>
          <c:idx val="1"/>
          <c:order val="1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Jakość!$N$7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A4-4ED9-8CB6-CD0FA6DE3717}"/>
            </c:ext>
          </c:extLst>
        </c:ser>
        <c:ser>
          <c:idx val="2"/>
          <c:order val="2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Jakość!$O$7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A4-4ED9-8CB6-CD0FA6DE3717}"/>
            </c:ext>
          </c:extLst>
        </c:ser>
        <c:ser>
          <c:idx val="3"/>
          <c:order val="3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Jakość!$P$7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A4-4ED9-8CB6-CD0FA6DE3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067842015"/>
        <c:axId val="1067859071"/>
      </c:barChart>
      <c:barChart>
        <c:barDir val="col"/>
        <c:grouping val="stacked"/>
        <c:varyColors val="0"/>
        <c:ser>
          <c:idx val="0"/>
          <c:order val="0"/>
          <c:spPr>
            <a:solidFill>
              <a:srgbClr val="7030A0"/>
            </a:solidFill>
            <a:ln>
              <a:noFill/>
            </a:ln>
            <a:effectLst/>
          </c:spPr>
          <c:invertIfNegative val="0"/>
          <c:val>
            <c:numRef>
              <c:f>Jakość!$M$7</c:f>
              <c:numCache>
                <c:formatCode>0.00</c:formatCode>
                <c:ptCount val="1"/>
                <c:pt idx="0">
                  <c:v>5.5006040330824266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4-4ED9-8CB6-CD0FA6DE3717}"/>
            </c:ext>
          </c:extLst>
        </c:ser>
        <c:ser>
          <c:idx val="5"/>
          <c:order val="5"/>
          <c:spPr>
            <a:noFill/>
            <a:ln>
              <a:noFill/>
            </a:ln>
            <a:effectLst/>
          </c:spPr>
          <c:invertIfNegative val="0"/>
          <c:val>
            <c:numRef>
              <c:f>Jakość!$R$7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A4-4ED9-8CB6-CD0FA6DE3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2048703471"/>
        <c:axId val="2048702639"/>
      </c:barChart>
      <c:lineChart>
        <c:grouping val="standard"/>
        <c:varyColors val="0"/>
        <c:ser>
          <c:idx val="4"/>
          <c:order val="4"/>
          <c:spPr>
            <a:ln w="28575" cap="rnd">
              <a:noFill/>
              <a:round/>
            </a:ln>
            <a:effectLst/>
          </c:spPr>
          <c:marker>
            <c:symbol val="dash"/>
            <c:size val="24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Jakość!$Q$7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A4-4ED9-8CB6-CD0FA6DE3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7842015"/>
        <c:axId val="1067859071"/>
      </c:lineChart>
      <c:catAx>
        <c:axId val="1067842015"/>
        <c:scaling>
          <c:orientation val="minMax"/>
        </c:scaling>
        <c:delete val="1"/>
        <c:axPos val="b"/>
        <c:majorTickMark val="none"/>
        <c:minorTickMark val="none"/>
        <c:tickLblPos val="nextTo"/>
        <c:crossAx val="1067859071"/>
        <c:crosses val="autoZero"/>
        <c:auto val="1"/>
        <c:lblAlgn val="ctr"/>
        <c:lblOffset val="100"/>
        <c:noMultiLvlLbl val="0"/>
      </c:catAx>
      <c:valAx>
        <c:axId val="106785907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67842015"/>
        <c:crosses val="autoZero"/>
        <c:crossBetween val="between"/>
        <c:minorUnit val="1"/>
      </c:valAx>
      <c:valAx>
        <c:axId val="2048702639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48703471"/>
        <c:crosses val="max"/>
        <c:crossBetween val="between"/>
      </c:valAx>
      <c:catAx>
        <c:axId val="2048703471"/>
        <c:scaling>
          <c:orientation val="minMax"/>
        </c:scaling>
        <c:delete val="1"/>
        <c:axPos val="t"/>
        <c:majorTickMark val="out"/>
        <c:minorTickMark val="none"/>
        <c:tickLblPos val="nextTo"/>
        <c:crossAx val="2048702639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Jakość!$N$6</c:f>
              <c:strCache>
                <c:ptCount val="1"/>
                <c:pt idx="0">
                  <c:v>Źle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('Mnożniki ceny'!$P$2,'Mnożniki ceny'!$P$7)</c:f>
              <c:strCache>
                <c:ptCount val="2"/>
                <c:pt idx="0">
                  <c:v>P/E</c:v>
                </c:pt>
                <c:pt idx="1">
                  <c:v>P/E exc. $</c:v>
                </c:pt>
                <c:pt idx="2">
                  <c:v>P/CFO</c:v>
                </c:pt>
                <c:pt idx="3">
                  <c:v>P/CFO ex. $</c:v>
                </c:pt>
                <c:pt idx="4">
                  <c:v>P/EBITDA</c:v>
                </c:pt>
                <c:pt idx="5">
                  <c:v>P/EBITDA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Jakość!$O$7</c15:sqref>
                  </c15:fullRef>
                </c:ext>
              </c:extLst>
              <c:f>Jakość!$O$7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68-4ADA-8D0A-FE18BC42AF24}"/>
            </c:ext>
          </c:extLst>
        </c:ser>
        <c:ser>
          <c:idx val="2"/>
          <c:order val="2"/>
          <c:tx>
            <c:strRef>
              <c:f>Jakość!$O$6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('Mnożniki ceny'!$P$2,'Mnożniki ceny'!$P$7)</c:f>
              <c:strCache>
                <c:ptCount val="2"/>
                <c:pt idx="0">
                  <c:v>P/E</c:v>
                </c:pt>
                <c:pt idx="1">
                  <c:v>P/E exc. $</c:v>
                </c:pt>
                <c:pt idx="2">
                  <c:v>P/CFO</c:v>
                </c:pt>
                <c:pt idx="3">
                  <c:v>P/CFO ex. $</c:v>
                </c:pt>
                <c:pt idx="4">
                  <c:v>P/EBITDA</c:v>
                </c:pt>
                <c:pt idx="5">
                  <c:v>P/EBITDA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Jakość!$O$7</c15:sqref>
                  </c15:fullRef>
                </c:ext>
              </c:extLst>
              <c:f>Jakość!$O$7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8-4ADA-8D0A-FE18BC42AF24}"/>
            </c:ext>
          </c:extLst>
        </c:ser>
        <c:ser>
          <c:idx val="3"/>
          <c:order val="3"/>
          <c:tx>
            <c:strRef>
              <c:f>Jakość!$P$6</c:f>
              <c:strCache>
                <c:ptCount val="1"/>
                <c:pt idx="0">
                  <c:v>Dobrze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('Mnożniki ceny'!$P$2,'Mnożniki ceny'!$P$7)</c:f>
              <c:strCache>
                <c:ptCount val="2"/>
                <c:pt idx="0">
                  <c:v>P/E</c:v>
                </c:pt>
                <c:pt idx="1">
                  <c:v>P/E exc. $</c:v>
                </c:pt>
                <c:pt idx="2">
                  <c:v>P/CFO</c:v>
                </c:pt>
                <c:pt idx="3">
                  <c:v>P/CFO ex. $</c:v>
                </c:pt>
                <c:pt idx="4">
                  <c:v>P/EBITDA</c:v>
                </c:pt>
                <c:pt idx="5">
                  <c:v>P/EBITDA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Jakość!$P$7</c15:sqref>
                  </c15:fullRef>
                </c:ext>
              </c:extLst>
              <c:f>Jakość!$P$7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68-4ADA-8D0A-FE18BC42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6"/>
        <c:overlap val="100"/>
        <c:axId val="849787488"/>
        <c:axId val="849787904"/>
        <c:extLst/>
      </c:barChart>
      <c:barChart>
        <c:barDir val="col"/>
        <c:grouping val="stacked"/>
        <c:varyColors val="0"/>
        <c:ser>
          <c:idx val="0"/>
          <c:order val="0"/>
          <c:tx>
            <c:strRef>
              <c:f>Jakość!$M$6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Jakość!$H$7</c15:sqref>
                  </c15:fullRef>
                </c:ext>
              </c:extLst>
              <c:f>Jakość!$H$7</c:f>
              <c:strCache>
                <c:ptCount val="1"/>
                <c:pt idx="0">
                  <c:v>Debt/EBITDA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Jakość!$M$7</c15:sqref>
                  </c15:fullRef>
                </c:ext>
              </c:extLst>
              <c:f>Jakość!$M$7</c:f>
              <c:numCache>
                <c:formatCode>0.00</c:formatCode>
                <c:ptCount val="1"/>
                <c:pt idx="0">
                  <c:v>5.5006040330824266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68-4ADA-8D0A-FE18BC42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4"/>
        <c:overlap val="100"/>
        <c:axId val="828004048"/>
        <c:axId val="827998224"/>
      </c:barChart>
      <c:lineChart>
        <c:grouping val="standard"/>
        <c:varyColors val="0"/>
        <c:ser>
          <c:idx val="4"/>
          <c:order val="4"/>
          <c:tx>
            <c:strRef>
              <c:f>Jakość!$Q$6</c:f>
              <c:strCache>
                <c:ptCount val="1"/>
                <c:pt idx="0">
                  <c:v>Cel</c:v>
                </c:pt>
              </c:strCache>
            </c:strRef>
          </c:tx>
          <c:spPr>
            <a:ln w="28575" cap="rnd">
              <a:noFill/>
              <a:round/>
            </a:ln>
            <a:effectLst>
              <a:glow>
                <a:schemeClr val="accent3">
                  <a:satMod val="175000"/>
                  <a:alpha val="40000"/>
                </a:schemeClr>
              </a:glow>
            </a:effectLst>
          </c:spPr>
          <c:marker>
            <c:symbol val="dash"/>
            <c:size val="20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>
                <a:glow>
                  <a:schemeClr val="accent3">
                    <a:satMod val="175000"/>
                    <a:alpha val="40000"/>
                  </a:schemeClr>
                </a:glow>
              </a:effectLst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'Mnożniki ceny'!$P$2:$P$7</c15:sqref>
                  </c15:fullRef>
                </c:ext>
              </c:extLst>
              <c:f>('Mnożniki ceny'!$P$2,'Mnożniki ceny'!$P$7)</c:f>
              <c:strCache>
                <c:ptCount val="2"/>
                <c:pt idx="0">
                  <c:v>P/E</c:v>
                </c:pt>
                <c:pt idx="1">
                  <c:v>P/E exc. $</c:v>
                </c:pt>
                <c:pt idx="2">
                  <c:v>P/CFO</c:v>
                </c:pt>
                <c:pt idx="3">
                  <c:v>P/CFO ex. $</c:v>
                </c:pt>
                <c:pt idx="4">
                  <c:v>P/EBITDA</c:v>
                </c:pt>
                <c:pt idx="5">
                  <c:v>P/EBITDA ex. $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Jakość!$Q$7</c15:sqref>
                  </c15:fullRef>
                </c:ext>
              </c:extLst>
              <c:f>Jakość!$Q$7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68-4ADA-8D0A-FE18BC42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787488"/>
        <c:axId val="849787904"/>
      </c:lineChart>
      <c:catAx>
        <c:axId val="8497874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49787904"/>
        <c:crosses val="autoZero"/>
        <c:auto val="1"/>
        <c:lblAlgn val="ctr"/>
        <c:lblOffset val="100"/>
        <c:noMultiLvlLbl val="0"/>
      </c:catAx>
      <c:valAx>
        <c:axId val="8497879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ln w="6350"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49787488"/>
        <c:crosses val="autoZero"/>
        <c:crossBetween val="between"/>
      </c:valAx>
      <c:valAx>
        <c:axId val="827998224"/>
        <c:scaling>
          <c:orientation val="minMax"/>
        </c:scaling>
        <c:delete val="1"/>
        <c:axPos val="r"/>
        <c:numFmt formatCode="0.00" sourceLinked="1"/>
        <c:majorTickMark val="out"/>
        <c:minorTickMark val="none"/>
        <c:tickLblPos val="nextTo"/>
        <c:crossAx val="828004048"/>
        <c:crosses val="max"/>
        <c:crossBetween val="between"/>
      </c:valAx>
      <c:catAx>
        <c:axId val="828004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7998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Wycena!$H$1" horiz="1" max="50" min="1" page="10" val="12"/>
</file>

<file path=xl/ctrlProps/ctrlProp2.xml><?xml version="1.0" encoding="utf-8"?>
<formControlPr xmlns="http://schemas.microsoft.com/office/spreadsheetml/2009/9/main" objectType="Scroll" dx="22" fmlaLink="Wycena!$G$43" horiz="1" max="100" page="10" val="15"/>
</file>

<file path=xl/ctrlProps/ctrlProp3.xml><?xml version="1.0" encoding="utf-8"?>
<formControlPr xmlns="http://schemas.microsoft.com/office/spreadsheetml/2009/9/main" objectType="Drop" dropStyle="combo" dx="22" fmlaLink="'Mnożniki ceny'!$O$9" fmlaRange="'Mnożniki ceny'!$P$2:$P$7" noThreeD="1" sel="5" val="0"/>
</file>

<file path=xl/ctrlProps/ctrlProp4.xml><?xml version="1.0" encoding="utf-8"?>
<formControlPr xmlns="http://schemas.microsoft.com/office/spreadsheetml/2009/9/main" objectType="Drop" dropStyle="combo" dx="22" fmlaLink="'Mnożniki ceny'!$O$10" fmlaRange="'Mnożniki ceny'!$P$2:$P$7" noThreeD="1" sel="3" val="0"/>
</file>

<file path=xl/ctrlProps/ctrlProp5.xml><?xml version="1.0" encoding="utf-8"?>
<formControlPr xmlns="http://schemas.microsoft.com/office/spreadsheetml/2009/9/main" objectType="Drop" dropStyle="combo" dx="22" fmlaLink="'Mnożniki ceny'!$AB$12" fmlaRange="'Mnożniki ceny'!$Y$9:$Y$10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.xml"/><Relationship Id="rId13" Type="http://schemas.openxmlformats.org/officeDocument/2006/relationships/image" Target="../media/image6.png"/><Relationship Id="rId18" Type="http://schemas.openxmlformats.org/officeDocument/2006/relationships/image" Target="../media/image8.png"/><Relationship Id="rId26" Type="http://schemas.openxmlformats.org/officeDocument/2006/relationships/image" Target="../media/image15.emf"/><Relationship Id="rId3" Type="http://schemas.openxmlformats.org/officeDocument/2006/relationships/image" Target="../media/image1.png"/><Relationship Id="rId21" Type="http://schemas.openxmlformats.org/officeDocument/2006/relationships/image" Target="../media/image11.svg"/><Relationship Id="rId7" Type="http://schemas.openxmlformats.org/officeDocument/2006/relationships/image" Target="../media/image3.svg"/><Relationship Id="rId12" Type="http://schemas.openxmlformats.org/officeDocument/2006/relationships/image" Target="../media/image5.svg"/><Relationship Id="rId17" Type="http://schemas.openxmlformats.org/officeDocument/2006/relationships/chart" Target="../charts/chart9.xml"/><Relationship Id="rId25" Type="http://schemas.openxmlformats.org/officeDocument/2006/relationships/image" Target="../media/image14.emf"/><Relationship Id="rId2" Type="http://schemas.openxmlformats.org/officeDocument/2006/relationships/hyperlink" Target="https://usstocks.pl" TargetMode="External"/><Relationship Id="rId16" Type="http://schemas.openxmlformats.org/officeDocument/2006/relationships/chart" Target="../charts/chart8.xml"/><Relationship Id="rId20" Type="http://schemas.openxmlformats.org/officeDocument/2006/relationships/image" Target="../media/image10.png"/><Relationship Id="rId1" Type="http://schemas.openxmlformats.org/officeDocument/2006/relationships/chart" Target="../charts/chart1.xml"/><Relationship Id="rId6" Type="http://schemas.openxmlformats.org/officeDocument/2006/relationships/image" Target="../media/image2.png"/><Relationship Id="rId11" Type="http://schemas.openxmlformats.org/officeDocument/2006/relationships/image" Target="../media/image4.png"/><Relationship Id="rId24" Type="http://schemas.openxmlformats.org/officeDocument/2006/relationships/image" Target="../media/image13.emf"/><Relationship Id="rId5" Type="http://schemas.openxmlformats.org/officeDocument/2006/relationships/chart" Target="../charts/chart3.xml"/><Relationship Id="rId15" Type="http://schemas.openxmlformats.org/officeDocument/2006/relationships/chart" Target="../charts/chart7.xml"/><Relationship Id="rId23" Type="http://schemas.openxmlformats.org/officeDocument/2006/relationships/image" Target="../media/image12.emf"/><Relationship Id="rId28" Type="http://schemas.openxmlformats.org/officeDocument/2006/relationships/chart" Target="../charts/chart11.xml"/><Relationship Id="rId10" Type="http://schemas.openxmlformats.org/officeDocument/2006/relationships/chart" Target="../charts/chart6.xml"/><Relationship Id="rId19" Type="http://schemas.openxmlformats.org/officeDocument/2006/relationships/image" Target="../media/image9.svg"/><Relationship Id="rId4" Type="http://schemas.openxmlformats.org/officeDocument/2006/relationships/chart" Target="../charts/chart2.xml"/><Relationship Id="rId9" Type="http://schemas.openxmlformats.org/officeDocument/2006/relationships/chart" Target="../charts/chart5.xml"/><Relationship Id="rId14" Type="http://schemas.openxmlformats.org/officeDocument/2006/relationships/image" Target="../media/image7.svg"/><Relationship Id="rId22" Type="http://schemas.openxmlformats.org/officeDocument/2006/relationships/chart" Target="../charts/chart10.xml"/><Relationship Id="rId27" Type="http://schemas.openxmlformats.org/officeDocument/2006/relationships/image" Target="../media/image16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PNG"/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13" Type="http://schemas.openxmlformats.org/officeDocument/2006/relationships/chart" Target="../charts/chart24.xml"/><Relationship Id="rId18" Type="http://schemas.openxmlformats.org/officeDocument/2006/relationships/chart" Target="../charts/chart29.xml"/><Relationship Id="rId26" Type="http://schemas.openxmlformats.org/officeDocument/2006/relationships/chart" Target="../charts/chart37.xml"/><Relationship Id="rId3" Type="http://schemas.openxmlformats.org/officeDocument/2006/relationships/chart" Target="../charts/chart14.xml"/><Relationship Id="rId21" Type="http://schemas.openxmlformats.org/officeDocument/2006/relationships/chart" Target="../charts/chart32.xml"/><Relationship Id="rId7" Type="http://schemas.openxmlformats.org/officeDocument/2006/relationships/chart" Target="../charts/chart18.xml"/><Relationship Id="rId12" Type="http://schemas.openxmlformats.org/officeDocument/2006/relationships/chart" Target="../charts/chart23.xml"/><Relationship Id="rId17" Type="http://schemas.openxmlformats.org/officeDocument/2006/relationships/chart" Target="../charts/chart28.xml"/><Relationship Id="rId25" Type="http://schemas.openxmlformats.org/officeDocument/2006/relationships/chart" Target="../charts/chart36.xml"/><Relationship Id="rId2" Type="http://schemas.openxmlformats.org/officeDocument/2006/relationships/chart" Target="../charts/chart13.xml"/><Relationship Id="rId16" Type="http://schemas.openxmlformats.org/officeDocument/2006/relationships/chart" Target="../charts/chart27.xml"/><Relationship Id="rId20" Type="http://schemas.openxmlformats.org/officeDocument/2006/relationships/chart" Target="../charts/chart31.xml"/><Relationship Id="rId29" Type="http://schemas.openxmlformats.org/officeDocument/2006/relationships/chart" Target="../charts/chart40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24" Type="http://schemas.openxmlformats.org/officeDocument/2006/relationships/chart" Target="../charts/chart35.xml"/><Relationship Id="rId5" Type="http://schemas.openxmlformats.org/officeDocument/2006/relationships/chart" Target="../charts/chart16.xml"/><Relationship Id="rId15" Type="http://schemas.openxmlformats.org/officeDocument/2006/relationships/chart" Target="../charts/chart26.xml"/><Relationship Id="rId23" Type="http://schemas.openxmlformats.org/officeDocument/2006/relationships/chart" Target="../charts/chart34.xml"/><Relationship Id="rId28" Type="http://schemas.openxmlformats.org/officeDocument/2006/relationships/chart" Target="../charts/chart39.xml"/><Relationship Id="rId10" Type="http://schemas.openxmlformats.org/officeDocument/2006/relationships/chart" Target="../charts/chart21.xml"/><Relationship Id="rId19" Type="http://schemas.openxmlformats.org/officeDocument/2006/relationships/chart" Target="../charts/chart30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Relationship Id="rId14" Type="http://schemas.openxmlformats.org/officeDocument/2006/relationships/chart" Target="../charts/chart25.xml"/><Relationship Id="rId22" Type="http://schemas.openxmlformats.org/officeDocument/2006/relationships/chart" Target="../charts/chart33.xml"/><Relationship Id="rId27" Type="http://schemas.openxmlformats.org/officeDocument/2006/relationships/chart" Target="../charts/chart3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0.xml"/><Relationship Id="rId13" Type="http://schemas.openxmlformats.org/officeDocument/2006/relationships/chart" Target="../charts/chart55.xml"/><Relationship Id="rId18" Type="http://schemas.openxmlformats.org/officeDocument/2006/relationships/chart" Target="../charts/chart60.xml"/><Relationship Id="rId3" Type="http://schemas.openxmlformats.org/officeDocument/2006/relationships/chart" Target="../charts/chart45.xml"/><Relationship Id="rId21" Type="http://schemas.openxmlformats.org/officeDocument/2006/relationships/chart" Target="../charts/chart63.xml"/><Relationship Id="rId7" Type="http://schemas.openxmlformats.org/officeDocument/2006/relationships/chart" Target="../charts/chart49.xml"/><Relationship Id="rId12" Type="http://schemas.openxmlformats.org/officeDocument/2006/relationships/chart" Target="../charts/chart54.xml"/><Relationship Id="rId17" Type="http://schemas.openxmlformats.org/officeDocument/2006/relationships/chart" Target="../charts/chart59.xml"/><Relationship Id="rId2" Type="http://schemas.openxmlformats.org/officeDocument/2006/relationships/chart" Target="../charts/chart44.xml"/><Relationship Id="rId16" Type="http://schemas.openxmlformats.org/officeDocument/2006/relationships/chart" Target="../charts/chart58.xml"/><Relationship Id="rId20" Type="http://schemas.openxmlformats.org/officeDocument/2006/relationships/chart" Target="../charts/chart62.xml"/><Relationship Id="rId1" Type="http://schemas.openxmlformats.org/officeDocument/2006/relationships/chart" Target="../charts/chart43.xml"/><Relationship Id="rId6" Type="http://schemas.openxmlformats.org/officeDocument/2006/relationships/chart" Target="../charts/chart48.xml"/><Relationship Id="rId11" Type="http://schemas.openxmlformats.org/officeDocument/2006/relationships/chart" Target="../charts/chart53.xml"/><Relationship Id="rId5" Type="http://schemas.openxmlformats.org/officeDocument/2006/relationships/chart" Target="../charts/chart47.xml"/><Relationship Id="rId15" Type="http://schemas.openxmlformats.org/officeDocument/2006/relationships/chart" Target="../charts/chart57.xml"/><Relationship Id="rId10" Type="http://schemas.openxmlformats.org/officeDocument/2006/relationships/chart" Target="../charts/chart52.xml"/><Relationship Id="rId19" Type="http://schemas.openxmlformats.org/officeDocument/2006/relationships/chart" Target="../charts/chart61.xml"/><Relationship Id="rId4" Type="http://schemas.openxmlformats.org/officeDocument/2006/relationships/chart" Target="../charts/chart46.xml"/><Relationship Id="rId9" Type="http://schemas.openxmlformats.org/officeDocument/2006/relationships/chart" Target="../charts/chart51.xml"/><Relationship Id="rId14" Type="http://schemas.openxmlformats.org/officeDocument/2006/relationships/chart" Target="../charts/chart56.xml"/><Relationship Id="rId22" Type="http://schemas.openxmlformats.org/officeDocument/2006/relationships/chart" Target="../charts/chart6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7.xml"/><Relationship Id="rId7" Type="http://schemas.openxmlformats.org/officeDocument/2006/relationships/chart" Target="../charts/chart71.xml"/><Relationship Id="rId2" Type="http://schemas.openxmlformats.org/officeDocument/2006/relationships/chart" Target="../charts/chart66.xml"/><Relationship Id="rId1" Type="http://schemas.openxmlformats.org/officeDocument/2006/relationships/chart" Target="../charts/chart65.xml"/><Relationship Id="rId6" Type="http://schemas.openxmlformats.org/officeDocument/2006/relationships/chart" Target="../charts/chart70.xml"/><Relationship Id="rId5" Type="http://schemas.openxmlformats.org/officeDocument/2006/relationships/chart" Target="../charts/chart69.xml"/><Relationship Id="rId4" Type="http://schemas.openxmlformats.org/officeDocument/2006/relationships/chart" Target="../charts/chart6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4.xml"/><Relationship Id="rId1" Type="http://schemas.openxmlformats.org/officeDocument/2006/relationships/chart" Target="../charts/chart73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6.xml"/><Relationship Id="rId2" Type="http://schemas.openxmlformats.org/officeDocument/2006/relationships/image" Target="../media/image30.emf"/><Relationship Id="rId1" Type="http://schemas.openxmlformats.org/officeDocument/2006/relationships/chart" Target="../charts/chart75.xml"/><Relationship Id="rId4" Type="http://schemas.openxmlformats.org/officeDocument/2006/relationships/image" Target="../media/image3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18.emf"/><Relationship Id="rId1" Type="http://schemas.openxmlformats.org/officeDocument/2006/relationships/image" Target="../media/image17.emf"/><Relationship Id="rId5" Type="http://schemas.openxmlformats.org/officeDocument/2006/relationships/image" Target="../media/image21.emf"/><Relationship Id="rId4" Type="http://schemas.openxmlformats.org/officeDocument/2006/relationships/image" Target="../media/image20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33.emf"/><Relationship Id="rId1" Type="http://schemas.openxmlformats.org/officeDocument/2006/relationships/image" Target="../media/image3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201089</xdr:colOff>
      <xdr:row>9</xdr:row>
      <xdr:rowOff>20108</xdr:rowOff>
    </xdr:from>
    <xdr:to>
      <xdr:col>19</xdr:col>
      <xdr:colOff>550333</xdr:colOff>
      <xdr:row>20</xdr:row>
      <xdr:rowOff>12608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1089" y="1744133"/>
          <a:ext cx="12036419" cy="2088000"/>
        </a:xfrm>
        <a:prstGeom prst="rect">
          <a:avLst/>
        </a:prstGeom>
        <a:solidFill>
          <a:schemeClr val="dk1">
            <a:alpha val="9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  <a:p>
          <a:pPr algn="l"/>
          <a:endParaRPr lang="pl-PL" sz="1100"/>
        </a:p>
      </xdr:txBody>
    </xdr:sp>
    <xdr:clientData/>
  </xdr:twoCellAnchor>
  <xdr:twoCellAnchor>
    <xdr:from>
      <xdr:col>0</xdr:col>
      <xdr:colOff>259022</xdr:colOff>
      <xdr:row>9</xdr:row>
      <xdr:rowOff>76201</xdr:rowOff>
    </xdr:from>
    <xdr:to>
      <xdr:col>20</xdr:col>
      <xdr:colOff>30686</xdr:colOff>
      <xdr:row>20</xdr:row>
      <xdr:rowOff>76201</xdr:rowOff>
    </xdr:to>
    <xdr:grpSp>
      <xdr:nvGrpSpPr>
        <xdr:cNvPr id="60" name="Grupa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GrpSpPr/>
      </xdr:nvGrpSpPr>
      <xdr:grpSpPr>
        <a:xfrm>
          <a:off x="259022" y="1600201"/>
          <a:ext cx="12068439" cy="2095500"/>
          <a:chOff x="93676" y="2058459"/>
          <a:chExt cx="12151239" cy="2174007"/>
        </a:xfrm>
      </xdr:grpSpPr>
      <xdr:graphicFrame macro="">
        <xdr:nvGraphicFramePr>
          <xdr:cNvPr id="10" name="Wykres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aphicFramePr>
            <a:graphicFrameLocks/>
          </xdr:cNvGraphicFramePr>
        </xdr:nvGraphicFramePr>
        <xdr:xfrm>
          <a:off x="4264023" y="2058459"/>
          <a:ext cx="7980892" cy="21740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17" name="Łącznik prosty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4206875" y="2248958"/>
            <a:ext cx="0" cy="1885950"/>
          </a:xfrm>
          <a:prstGeom prst="line">
            <a:avLst/>
          </a:prstGeom>
          <a:ln w="3175">
            <a:solidFill>
              <a:schemeClr val="bg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" name="pole tekstow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122381" y="2416730"/>
            <a:ext cx="410537" cy="2907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l-PL" sz="1200" b="1">
                <a:solidFill>
                  <a:schemeClr val="bg1">
                    <a:lumMod val="85000"/>
                  </a:schemeClr>
                </a:solidFill>
              </a:rPr>
              <a:t>P/E</a:t>
            </a:r>
            <a:endParaRPr lang="pl-PL" sz="1100" b="1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16" name="pole tekstowe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103266" y="3040137"/>
            <a:ext cx="592856" cy="2907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l-PL" sz="1200" b="1">
                <a:solidFill>
                  <a:schemeClr val="bg1">
                    <a:lumMod val="85000"/>
                  </a:schemeClr>
                </a:solidFill>
              </a:rPr>
              <a:t>P/CFO</a:t>
            </a:r>
            <a:endParaRPr lang="pl-PL" sz="1100" b="1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">
        <xdr:nvSpPr>
          <xdr:cNvPr id="18" name="pole tekstowe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93676" y="3743313"/>
            <a:ext cx="806937" cy="2907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pl-PL" sz="1200" b="1" i="0" u="none" strike="noStrike" kern="0" cap="none" spc="0" normalizeH="0" baseline="0" noProof="0">
                <a:ln>
                  <a:noFill/>
                </a:ln>
                <a:solidFill>
                  <a:schemeClr val="bg1">
                    <a:lumMod val="85000"/>
                  </a:schemeClr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P/EBITDA</a:t>
            </a:r>
            <a:endParaRPr kumimoji="0" lang="pl-PL" sz="1100" b="1" i="0" u="none" strike="noStrike" kern="0" cap="none" spc="0" normalizeH="0" baseline="0" noProof="0">
              <a:ln>
                <a:noFill/>
              </a:ln>
              <a:solidFill>
                <a:schemeClr val="bg1">
                  <a:lumMod val="8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oneCell">
    <xdr:from>
      <xdr:col>1</xdr:col>
      <xdr:colOff>66253</xdr:colOff>
      <xdr:row>2</xdr:row>
      <xdr:rowOff>107861</xdr:rowOff>
    </xdr:from>
    <xdr:to>
      <xdr:col>5</xdr:col>
      <xdr:colOff>231987</xdr:colOff>
      <xdr:row>5</xdr:row>
      <xdr:rowOff>110085</xdr:rowOff>
    </xdr:to>
    <xdr:pic>
      <xdr:nvPicPr>
        <xdr:cNvPr id="2" name="Obraz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853" y="488861"/>
          <a:ext cx="2606039" cy="571819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glow rad="63500">
            <a:schemeClr val="accent5">
              <a:satMod val="175000"/>
              <a:alpha val="85000"/>
            </a:schemeClr>
          </a:glow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14</xdr:col>
      <xdr:colOff>205741</xdr:colOff>
      <xdr:row>31</xdr:row>
      <xdr:rowOff>68580</xdr:rowOff>
    </xdr:from>
    <xdr:to>
      <xdr:col>29</xdr:col>
      <xdr:colOff>38100</xdr:colOff>
      <xdr:row>38</xdr:row>
      <xdr:rowOff>142875</xdr:rowOff>
    </xdr:to>
    <xdr:sp macro="" textlink="">
      <xdr:nvSpPr>
        <xdr:cNvPr id="7" name="Prostoką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844916" y="5783580"/>
          <a:ext cx="8976359" cy="1407795"/>
        </a:xfrm>
        <a:prstGeom prst="rect">
          <a:avLst/>
        </a:prstGeom>
        <a:solidFill>
          <a:schemeClr val="dk1">
            <a:alpha val="9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19</xdr:col>
      <xdr:colOff>600076</xdr:colOff>
      <xdr:row>9</xdr:row>
      <xdr:rowOff>19050</xdr:rowOff>
    </xdr:from>
    <xdr:to>
      <xdr:col>29</xdr:col>
      <xdr:colOff>38102</xdr:colOff>
      <xdr:row>31</xdr:row>
      <xdr:rowOff>20827</xdr:rowOff>
    </xdr:to>
    <xdr:sp macro="" textlink="">
      <xdr:nvSpPr>
        <xdr:cNvPr id="8" name="Prostoką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287251" y="1543050"/>
          <a:ext cx="5534026" cy="4192777"/>
        </a:xfrm>
        <a:prstGeom prst="rect">
          <a:avLst/>
        </a:prstGeom>
        <a:solidFill>
          <a:schemeClr val="dk1">
            <a:alpha val="9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19</xdr:col>
      <xdr:colOff>470394</xdr:colOff>
      <xdr:row>9</xdr:row>
      <xdr:rowOff>19051</xdr:rowOff>
    </xdr:from>
    <xdr:to>
      <xdr:col>29</xdr:col>
      <xdr:colOff>38100</xdr:colOff>
      <xdr:row>30</xdr:row>
      <xdr:rowOff>124025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9519</xdr:colOff>
      <xdr:row>20</xdr:row>
      <xdr:rowOff>16064</xdr:rowOff>
    </xdr:from>
    <xdr:to>
      <xdr:col>19</xdr:col>
      <xdr:colOff>552451</xdr:colOff>
      <xdr:row>31</xdr:row>
      <xdr:rowOff>73561</xdr:rowOff>
    </xdr:to>
    <xdr:grpSp>
      <xdr:nvGrpSpPr>
        <xdr:cNvPr id="77" name="Grupa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GrpSpPr/>
      </xdr:nvGrpSpPr>
      <xdr:grpSpPr>
        <a:xfrm>
          <a:off x="9519" y="3635564"/>
          <a:ext cx="12230107" cy="2152997"/>
          <a:chOff x="20392" y="4360962"/>
          <a:chExt cx="8729568" cy="2104804"/>
        </a:xfrm>
      </xdr:grpSpPr>
      <xdr:grpSp>
        <xdr:nvGrpSpPr>
          <xdr:cNvPr id="76" name="Grupa 7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GrpSpPr/>
        </xdr:nvGrpSpPr>
        <xdr:grpSpPr>
          <a:xfrm>
            <a:off x="20392" y="4360962"/>
            <a:ext cx="8729568" cy="2104804"/>
            <a:chOff x="20649" y="4360333"/>
            <a:chExt cx="8839796" cy="2104801"/>
          </a:xfrm>
        </xdr:grpSpPr>
        <xdr:sp macro="" textlink="">
          <xdr:nvSpPr>
            <xdr:cNvPr id="6" name="Prostokąt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>
            <a:xfrm>
              <a:off x="158346" y="4401181"/>
              <a:ext cx="8702099" cy="2006065"/>
            </a:xfrm>
            <a:prstGeom prst="rect">
              <a:avLst/>
            </a:prstGeom>
            <a:solidFill>
              <a:schemeClr val="dk1">
                <a:alpha val="90000"/>
              </a:schemeClr>
            </a:solidFill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>
                <a:solidFill>
                  <a:schemeClr val="bg1">
                    <a:lumMod val="85000"/>
                  </a:schemeClr>
                </a:solidFill>
              </a:endParaRPr>
            </a:p>
          </xdr:txBody>
        </xdr:sp>
        <xdr:grpSp>
          <xdr:nvGrpSpPr>
            <xdr:cNvPr id="11" name="Grupa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GrpSpPr/>
          </xdr:nvGrpSpPr>
          <xdr:grpSpPr>
            <a:xfrm>
              <a:off x="20649" y="4403500"/>
              <a:ext cx="1977553" cy="2061634"/>
              <a:chOff x="19549" y="4336294"/>
              <a:chExt cx="1871875" cy="1913466"/>
            </a:xfrm>
          </xdr:grpSpPr>
          <xdr:graphicFrame macro="">
            <xdr:nvGraphicFramePr>
              <xdr:cNvPr id="43" name="Wykres 42">
                <a:extLst>
                  <a:ext uri="{FF2B5EF4-FFF2-40B4-BE49-F238E27FC236}">
                    <a16:creationId xmlns:a16="http://schemas.microsoft.com/office/drawing/2014/main" id="{00000000-0008-0000-0000-00002B0000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9549" y="4336294"/>
              <a:ext cx="1871875" cy="191346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sp macro="" textlink="Wzrost!A2">
            <xdr:nvSpPr>
              <xdr:cNvPr id="44" name="Dowolny kształt: kształt 43">
                <a:extLst>
                  <a:ext uri="{FF2B5EF4-FFF2-40B4-BE49-F238E27FC236}">
                    <a16:creationId xmlns:a16="http://schemas.microsoft.com/office/drawing/2014/main" id="{00000000-0008-0000-0000-00002C000000}"/>
                  </a:ext>
                </a:extLst>
              </xdr:cNvPr>
              <xdr:cNvSpPr/>
            </xdr:nvSpPr>
            <xdr:spPr>
              <a:xfrm>
                <a:off x="279507" y="4895327"/>
                <a:ext cx="981075" cy="368904"/>
              </a:xfrm>
              <a:custGeom>
                <a:avLst/>
                <a:gdLst>
                  <a:gd name="connsiteX0" fmla="*/ 0 w 4572000"/>
                  <a:gd name="connsiteY0" fmla="*/ 102962 h 617760"/>
                  <a:gd name="connsiteX1" fmla="*/ 102962 w 4572000"/>
                  <a:gd name="connsiteY1" fmla="*/ 0 h 617760"/>
                  <a:gd name="connsiteX2" fmla="*/ 4469038 w 4572000"/>
                  <a:gd name="connsiteY2" fmla="*/ 0 h 617760"/>
                  <a:gd name="connsiteX3" fmla="*/ 4572000 w 4572000"/>
                  <a:gd name="connsiteY3" fmla="*/ 102962 h 617760"/>
                  <a:gd name="connsiteX4" fmla="*/ 4572000 w 4572000"/>
                  <a:gd name="connsiteY4" fmla="*/ 514798 h 617760"/>
                  <a:gd name="connsiteX5" fmla="*/ 4469038 w 4572000"/>
                  <a:gd name="connsiteY5" fmla="*/ 617760 h 617760"/>
                  <a:gd name="connsiteX6" fmla="*/ 102962 w 4572000"/>
                  <a:gd name="connsiteY6" fmla="*/ 617760 h 617760"/>
                  <a:gd name="connsiteX7" fmla="*/ 0 w 4572000"/>
                  <a:gd name="connsiteY7" fmla="*/ 514798 h 617760"/>
                  <a:gd name="connsiteX8" fmla="*/ 0 w 4572000"/>
                  <a:gd name="connsiteY8" fmla="*/ 102962 h 61776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</a:cxnLst>
                <a:rect l="l" t="t" r="r" b="b"/>
                <a:pathLst>
                  <a:path w="4572000" h="617760">
                    <a:moveTo>
                      <a:pt x="0" y="102962"/>
                    </a:moveTo>
                    <a:cubicBezTo>
                      <a:pt x="0" y="46098"/>
                      <a:pt x="46098" y="0"/>
                      <a:pt x="102962" y="0"/>
                    </a:cubicBezTo>
                    <a:lnTo>
                      <a:pt x="4469038" y="0"/>
                    </a:lnTo>
                    <a:cubicBezTo>
                      <a:pt x="4525902" y="0"/>
                      <a:pt x="4572000" y="46098"/>
                      <a:pt x="4572000" y="102962"/>
                    </a:cubicBezTo>
                    <a:lnTo>
                      <a:pt x="4572000" y="514798"/>
                    </a:lnTo>
                    <a:cubicBezTo>
                      <a:pt x="4572000" y="571662"/>
                      <a:pt x="4525902" y="617760"/>
                      <a:pt x="4469038" y="617760"/>
                    </a:cubicBezTo>
                    <a:lnTo>
                      <a:pt x="102962" y="617760"/>
                    </a:lnTo>
                    <a:cubicBezTo>
                      <a:pt x="46098" y="617760"/>
                      <a:pt x="0" y="571662"/>
                      <a:pt x="0" y="514798"/>
                    </a:cubicBezTo>
                    <a:lnTo>
                      <a:pt x="0" y="102962"/>
                    </a:lnTo>
                    <a:close/>
                  </a:path>
                </a:pathLst>
              </a:custGeom>
              <a:noFill/>
              <a:ln>
                <a:noFill/>
              </a:ln>
            </xdr:spPr>
            <xdr:style>
              <a:lnRef idx="2">
                <a:schemeClr val="lt2">
                  <a:hueOff val="0"/>
                  <a:satOff val="0"/>
                  <a:lumOff val="0"/>
                  <a:alphaOff val="0"/>
                </a:schemeClr>
              </a:lnRef>
              <a:fillRef idx="1">
                <a:schemeClr val="dk2">
                  <a:hueOff val="0"/>
                  <a:satOff val="0"/>
                  <a:lumOff val="0"/>
                  <a:alphaOff val="0"/>
                </a:schemeClr>
              </a:fillRef>
              <a:effectRef idx="0">
                <a:schemeClr val="dk2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 spcFirstLastPara="0" vert="horz" wrap="square" lIns="125407" tIns="125407" rIns="125407" bIns="125407" numCol="1" spcCol="1270" anchor="ctr" anchorCtr="0">
                <a:noAutofit/>
              </a:bodyPr>
              <a:lstStyle/>
              <a:p>
                <a:pPr marL="0" lvl="0" indent="0" algn="ctr" defTabSz="11112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fld id="{BE579C84-59F9-4518-9F52-7BA712C6504F}" type="TxLink">
                  <a:rPr lang="en-US" sz="1600" b="1" i="0" u="none" strike="noStrike" kern="1200">
                    <a:solidFill>
                      <a:schemeClr val="bg1">
                        <a:lumMod val="85000"/>
                      </a:schemeClr>
                    </a:solidFill>
                    <a:latin typeface="Calibri"/>
                    <a:cs typeface="Calibri"/>
                  </a:rPr>
                  <a:pPr marL="0" lvl="0" indent="0" algn="ctr" defTabSz="1111250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  <a:buNone/>
                  </a:pPr>
                  <a:t>Revenue</a:t>
                </a:fld>
                <a:endParaRPr lang="pl-PL" sz="4800" kern="1200">
                  <a:solidFill>
                    <a:schemeClr val="bg1">
                      <a:lumMod val="85000"/>
                    </a:schemeClr>
                  </a:solidFill>
                </a:endParaRPr>
              </a:p>
            </xdr:txBody>
          </xdr:sp>
          <xdr:sp macro="" textlink="Wzrost!L2">
            <xdr:nvSpPr>
              <xdr:cNvPr id="45" name="Dowolny kształt: kształt 44">
                <a:extLst>
                  <a:ext uri="{FF2B5EF4-FFF2-40B4-BE49-F238E27FC236}">
                    <a16:creationId xmlns:a16="http://schemas.microsoft.com/office/drawing/2014/main" id="{00000000-0008-0000-0000-00002D000000}"/>
                  </a:ext>
                </a:extLst>
              </xdr:cNvPr>
              <xdr:cNvSpPr/>
            </xdr:nvSpPr>
            <xdr:spPr>
              <a:xfrm>
                <a:off x="293752" y="5205073"/>
                <a:ext cx="981075" cy="368904"/>
              </a:xfrm>
              <a:custGeom>
                <a:avLst/>
                <a:gdLst>
                  <a:gd name="connsiteX0" fmla="*/ 0 w 4572000"/>
                  <a:gd name="connsiteY0" fmla="*/ 102962 h 617760"/>
                  <a:gd name="connsiteX1" fmla="*/ 102962 w 4572000"/>
                  <a:gd name="connsiteY1" fmla="*/ 0 h 617760"/>
                  <a:gd name="connsiteX2" fmla="*/ 4469038 w 4572000"/>
                  <a:gd name="connsiteY2" fmla="*/ 0 h 617760"/>
                  <a:gd name="connsiteX3" fmla="*/ 4572000 w 4572000"/>
                  <a:gd name="connsiteY3" fmla="*/ 102962 h 617760"/>
                  <a:gd name="connsiteX4" fmla="*/ 4572000 w 4572000"/>
                  <a:gd name="connsiteY4" fmla="*/ 514798 h 617760"/>
                  <a:gd name="connsiteX5" fmla="*/ 4469038 w 4572000"/>
                  <a:gd name="connsiteY5" fmla="*/ 617760 h 617760"/>
                  <a:gd name="connsiteX6" fmla="*/ 102962 w 4572000"/>
                  <a:gd name="connsiteY6" fmla="*/ 617760 h 617760"/>
                  <a:gd name="connsiteX7" fmla="*/ 0 w 4572000"/>
                  <a:gd name="connsiteY7" fmla="*/ 514798 h 617760"/>
                  <a:gd name="connsiteX8" fmla="*/ 0 w 4572000"/>
                  <a:gd name="connsiteY8" fmla="*/ 102962 h 61776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</a:cxnLst>
                <a:rect l="l" t="t" r="r" b="b"/>
                <a:pathLst>
                  <a:path w="4572000" h="617760">
                    <a:moveTo>
                      <a:pt x="0" y="102962"/>
                    </a:moveTo>
                    <a:cubicBezTo>
                      <a:pt x="0" y="46098"/>
                      <a:pt x="46098" y="0"/>
                      <a:pt x="102962" y="0"/>
                    </a:cubicBezTo>
                    <a:lnTo>
                      <a:pt x="4469038" y="0"/>
                    </a:lnTo>
                    <a:cubicBezTo>
                      <a:pt x="4525902" y="0"/>
                      <a:pt x="4572000" y="46098"/>
                      <a:pt x="4572000" y="102962"/>
                    </a:cubicBezTo>
                    <a:lnTo>
                      <a:pt x="4572000" y="514798"/>
                    </a:lnTo>
                    <a:cubicBezTo>
                      <a:pt x="4572000" y="571662"/>
                      <a:pt x="4525902" y="617760"/>
                      <a:pt x="4469038" y="617760"/>
                    </a:cubicBezTo>
                    <a:lnTo>
                      <a:pt x="102962" y="617760"/>
                    </a:lnTo>
                    <a:cubicBezTo>
                      <a:pt x="46098" y="617760"/>
                      <a:pt x="0" y="571662"/>
                      <a:pt x="0" y="514798"/>
                    </a:cubicBezTo>
                    <a:lnTo>
                      <a:pt x="0" y="102962"/>
                    </a:lnTo>
                    <a:close/>
                  </a:path>
                </a:pathLst>
              </a:custGeom>
              <a:noFill/>
              <a:ln>
                <a:noFill/>
              </a:ln>
            </xdr:spPr>
            <xdr:style>
              <a:lnRef idx="2">
                <a:schemeClr val="lt2">
                  <a:hueOff val="0"/>
                  <a:satOff val="0"/>
                  <a:lumOff val="0"/>
                  <a:alphaOff val="0"/>
                </a:schemeClr>
              </a:lnRef>
              <a:fillRef idx="1">
                <a:schemeClr val="dk2">
                  <a:hueOff val="0"/>
                  <a:satOff val="0"/>
                  <a:lumOff val="0"/>
                  <a:alphaOff val="0"/>
                </a:schemeClr>
              </a:fillRef>
              <a:effectRef idx="0">
                <a:schemeClr val="dk2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 spcFirstLastPara="0" vert="horz" wrap="square" lIns="125407" tIns="125407" rIns="125407" bIns="125407" numCol="1" spcCol="1270" anchor="ctr" anchorCtr="0">
                <a:noAutofit/>
              </a:bodyPr>
              <a:lstStyle/>
              <a:p>
                <a:pPr marL="0" lvl="0" indent="0" algn="ctr" defTabSz="11112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fld id="{E9634A74-BEA6-4A48-88E7-82AD438E4C74}" type="TxLink">
                  <a:rPr lang="en-US" sz="1600" b="1" i="0" u="none" strike="noStrike" kern="1200">
                    <a:solidFill>
                      <a:schemeClr val="bg1">
                        <a:lumMod val="85000"/>
                      </a:schemeClr>
                    </a:solidFill>
                    <a:latin typeface="Calibri"/>
                    <a:cs typeface="Calibri"/>
                  </a:rPr>
                  <a:pPr marL="0" lvl="0" indent="0" algn="ctr" defTabSz="1111250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  <a:buNone/>
                  </a:pPr>
                  <a:t>6.90%</a:t>
                </a:fld>
                <a:endParaRPr lang="pl-PL" sz="6600" b="1" kern="1200">
                  <a:solidFill>
                    <a:schemeClr val="bg1">
                      <a:lumMod val="85000"/>
                    </a:schemeClr>
                  </a:solidFill>
                </a:endParaRPr>
              </a:p>
            </xdr:txBody>
          </xdr:sp>
        </xdr:grpSp>
        <xdr:pic>
          <xdr:nvPicPr>
            <xdr:cNvPr id="13" name="Grafika 12" descr="Wykres wykładniczy z wypełnieniem pełnym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142312" y="4360333"/>
              <a:ext cx="260204" cy="351941"/>
            </a:xfrm>
            <a:prstGeom prst="rect">
              <a:avLst/>
            </a:prstGeom>
          </xdr:spPr>
        </xdr:pic>
        <xdr:graphicFrame macro="">
          <xdr:nvGraphicFramePr>
            <xdr:cNvPr id="65" name="Wykres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GraphicFramePr>
              <a:graphicFrameLocks/>
            </xdr:cNvGraphicFramePr>
          </xdr:nvGraphicFramePr>
          <xdr:xfrm>
            <a:off x="1377388" y="4377261"/>
            <a:ext cx="2003573" cy="206163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  <xdr:grpSp>
          <xdr:nvGrpSpPr>
            <xdr:cNvPr id="67" name="Grupa 66">
              <a:extLst>
                <a:ext uri="{FF2B5EF4-FFF2-40B4-BE49-F238E27FC236}">
                  <a16:creationId xmlns:a16="http://schemas.microsoft.com/office/drawing/2014/main" id="{00000000-0008-0000-0000-000043000000}"/>
                </a:ext>
              </a:extLst>
            </xdr:cNvPr>
            <xdr:cNvGrpSpPr/>
          </xdr:nvGrpSpPr>
          <xdr:grpSpPr>
            <a:xfrm>
              <a:off x="2824236" y="4378111"/>
              <a:ext cx="2003574" cy="2061635"/>
              <a:chOff x="-993181" y="4295047"/>
              <a:chExt cx="1896513" cy="1913467"/>
            </a:xfrm>
          </xdr:grpSpPr>
          <xdr:graphicFrame macro="">
            <xdr:nvGraphicFramePr>
              <xdr:cNvPr id="68" name="Wykres 67">
                <a:extLst>
                  <a:ext uri="{FF2B5EF4-FFF2-40B4-BE49-F238E27FC236}">
                    <a16:creationId xmlns:a16="http://schemas.microsoft.com/office/drawing/2014/main" id="{00000000-0008-0000-0000-0000440000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-993181" y="4295047"/>
              <a:ext cx="1896513" cy="1913467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9"/>
              </a:graphicData>
            </a:graphic>
          </xdr:graphicFrame>
          <xdr:sp macro="" textlink="Wzrost!A9">
            <xdr:nvSpPr>
              <xdr:cNvPr id="69" name="Dowolny kształt: kształt 68">
                <a:extLst>
                  <a:ext uri="{FF2B5EF4-FFF2-40B4-BE49-F238E27FC236}">
                    <a16:creationId xmlns:a16="http://schemas.microsoft.com/office/drawing/2014/main" id="{00000000-0008-0000-0000-000045000000}"/>
                  </a:ext>
                </a:extLst>
              </xdr:cNvPr>
              <xdr:cNvSpPr/>
            </xdr:nvSpPr>
            <xdr:spPr>
              <a:xfrm>
                <a:off x="-661541" y="4889041"/>
                <a:ext cx="1053048" cy="368904"/>
              </a:xfrm>
              <a:custGeom>
                <a:avLst/>
                <a:gdLst>
                  <a:gd name="connsiteX0" fmla="*/ 0 w 4572000"/>
                  <a:gd name="connsiteY0" fmla="*/ 102962 h 617760"/>
                  <a:gd name="connsiteX1" fmla="*/ 102962 w 4572000"/>
                  <a:gd name="connsiteY1" fmla="*/ 0 h 617760"/>
                  <a:gd name="connsiteX2" fmla="*/ 4469038 w 4572000"/>
                  <a:gd name="connsiteY2" fmla="*/ 0 h 617760"/>
                  <a:gd name="connsiteX3" fmla="*/ 4572000 w 4572000"/>
                  <a:gd name="connsiteY3" fmla="*/ 102962 h 617760"/>
                  <a:gd name="connsiteX4" fmla="*/ 4572000 w 4572000"/>
                  <a:gd name="connsiteY4" fmla="*/ 514798 h 617760"/>
                  <a:gd name="connsiteX5" fmla="*/ 4469038 w 4572000"/>
                  <a:gd name="connsiteY5" fmla="*/ 617760 h 617760"/>
                  <a:gd name="connsiteX6" fmla="*/ 102962 w 4572000"/>
                  <a:gd name="connsiteY6" fmla="*/ 617760 h 617760"/>
                  <a:gd name="connsiteX7" fmla="*/ 0 w 4572000"/>
                  <a:gd name="connsiteY7" fmla="*/ 514798 h 617760"/>
                  <a:gd name="connsiteX8" fmla="*/ 0 w 4572000"/>
                  <a:gd name="connsiteY8" fmla="*/ 102962 h 61776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</a:cxnLst>
                <a:rect l="l" t="t" r="r" b="b"/>
                <a:pathLst>
                  <a:path w="4572000" h="617760">
                    <a:moveTo>
                      <a:pt x="0" y="102962"/>
                    </a:moveTo>
                    <a:cubicBezTo>
                      <a:pt x="0" y="46098"/>
                      <a:pt x="46098" y="0"/>
                      <a:pt x="102962" y="0"/>
                    </a:cubicBezTo>
                    <a:lnTo>
                      <a:pt x="4469038" y="0"/>
                    </a:lnTo>
                    <a:cubicBezTo>
                      <a:pt x="4525902" y="0"/>
                      <a:pt x="4572000" y="46098"/>
                      <a:pt x="4572000" y="102962"/>
                    </a:cubicBezTo>
                    <a:lnTo>
                      <a:pt x="4572000" y="514798"/>
                    </a:lnTo>
                    <a:cubicBezTo>
                      <a:pt x="4572000" y="571662"/>
                      <a:pt x="4525902" y="617760"/>
                      <a:pt x="4469038" y="617760"/>
                    </a:cubicBezTo>
                    <a:lnTo>
                      <a:pt x="102962" y="617760"/>
                    </a:lnTo>
                    <a:cubicBezTo>
                      <a:pt x="46098" y="617760"/>
                      <a:pt x="0" y="571662"/>
                      <a:pt x="0" y="514798"/>
                    </a:cubicBezTo>
                    <a:lnTo>
                      <a:pt x="0" y="102962"/>
                    </a:lnTo>
                    <a:close/>
                  </a:path>
                </a:pathLst>
              </a:custGeom>
              <a:noFill/>
              <a:ln>
                <a:noFill/>
              </a:ln>
            </xdr:spPr>
            <xdr:style>
              <a:lnRef idx="2">
                <a:schemeClr val="lt2">
                  <a:hueOff val="0"/>
                  <a:satOff val="0"/>
                  <a:lumOff val="0"/>
                  <a:alphaOff val="0"/>
                </a:schemeClr>
              </a:lnRef>
              <a:fillRef idx="1">
                <a:schemeClr val="dk2">
                  <a:hueOff val="0"/>
                  <a:satOff val="0"/>
                  <a:lumOff val="0"/>
                  <a:alphaOff val="0"/>
                </a:schemeClr>
              </a:fillRef>
              <a:effectRef idx="0">
                <a:schemeClr val="dk2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 spcFirstLastPara="0" vert="horz" wrap="square" lIns="125407" tIns="125407" rIns="125407" bIns="125407" numCol="1" spcCol="1270" anchor="ctr" anchorCtr="0">
                <a:noAutofit/>
              </a:bodyPr>
              <a:lstStyle/>
              <a:p>
                <a:pPr marL="0" lvl="0" indent="0" algn="ctr" defTabSz="11112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fld id="{35AA3A03-5C8C-4245-9FE8-BE44FF6388CB}" type="TxLink">
                  <a:rPr lang="en-US" sz="1600" b="1" i="0" u="none" strike="noStrike" kern="1200">
                    <a:solidFill>
                      <a:schemeClr val="bg1">
                        <a:lumMod val="85000"/>
                      </a:schemeClr>
                    </a:solidFill>
                    <a:latin typeface="Calibri"/>
                    <a:cs typeface="Calibri"/>
                  </a:rPr>
                  <a:pPr marL="0" lvl="0" indent="0" algn="ctr" defTabSz="1111250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  <a:buNone/>
                  </a:pPr>
                  <a:t>EPS. N. D.</a:t>
                </a:fld>
                <a:endParaRPr lang="pl-PL" sz="6600" b="1" kern="1200">
                  <a:solidFill>
                    <a:schemeClr val="bg1">
                      <a:lumMod val="85000"/>
                    </a:schemeClr>
                  </a:solidFill>
                </a:endParaRPr>
              </a:p>
            </xdr:txBody>
          </xdr:sp>
          <xdr:sp macro="" textlink="Wzrost!L9">
            <xdr:nvSpPr>
              <xdr:cNvPr id="70" name="Dowolny kształt: kształt 69">
                <a:extLst>
                  <a:ext uri="{FF2B5EF4-FFF2-40B4-BE49-F238E27FC236}">
                    <a16:creationId xmlns:a16="http://schemas.microsoft.com/office/drawing/2014/main" id="{00000000-0008-0000-0000-000046000000}"/>
                  </a:ext>
                </a:extLst>
              </xdr:cNvPr>
              <xdr:cNvSpPr/>
            </xdr:nvSpPr>
            <xdr:spPr>
              <a:xfrm>
                <a:off x="-640778" y="5198789"/>
                <a:ext cx="981075" cy="368904"/>
              </a:xfrm>
              <a:custGeom>
                <a:avLst/>
                <a:gdLst>
                  <a:gd name="connsiteX0" fmla="*/ 0 w 4572000"/>
                  <a:gd name="connsiteY0" fmla="*/ 102962 h 617760"/>
                  <a:gd name="connsiteX1" fmla="*/ 102962 w 4572000"/>
                  <a:gd name="connsiteY1" fmla="*/ 0 h 617760"/>
                  <a:gd name="connsiteX2" fmla="*/ 4469038 w 4572000"/>
                  <a:gd name="connsiteY2" fmla="*/ 0 h 617760"/>
                  <a:gd name="connsiteX3" fmla="*/ 4572000 w 4572000"/>
                  <a:gd name="connsiteY3" fmla="*/ 102962 h 617760"/>
                  <a:gd name="connsiteX4" fmla="*/ 4572000 w 4572000"/>
                  <a:gd name="connsiteY4" fmla="*/ 514798 h 617760"/>
                  <a:gd name="connsiteX5" fmla="*/ 4469038 w 4572000"/>
                  <a:gd name="connsiteY5" fmla="*/ 617760 h 617760"/>
                  <a:gd name="connsiteX6" fmla="*/ 102962 w 4572000"/>
                  <a:gd name="connsiteY6" fmla="*/ 617760 h 617760"/>
                  <a:gd name="connsiteX7" fmla="*/ 0 w 4572000"/>
                  <a:gd name="connsiteY7" fmla="*/ 514798 h 617760"/>
                  <a:gd name="connsiteX8" fmla="*/ 0 w 4572000"/>
                  <a:gd name="connsiteY8" fmla="*/ 102962 h 61776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</a:cxnLst>
                <a:rect l="l" t="t" r="r" b="b"/>
                <a:pathLst>
                  <a:path w="4572000" h="617760">
                    <a:moveTo>
                      <a:pt x="0" y="102962"/>
                    </a:moveTo>
                    <a:cubicBezTo>
                      <a:pt x="0" y="46098"/>
                      <a:pt x="46098" y="0"/>
                      <a:pt x="102962" y="0"/>
                    </a:cubicBezTo>
                    <a:lnTo>
                      <a:pt x="4469038" y="0"/>
                    </a:lnTo>
                    <a:cubicBezTo>
                      <a:pt x="4525902" y="0"/>
                      <a:pt x="4572000" y="46098"/>
                      <a:pt x="4572000" y="102962"/>
                    </a:cubicBezTo>
                    <a:lnTo>
                      <a:pt x="4572000" y="514798"/>
                    </a:lnTo>
                    <a:cubicBezTo>
                      <a:pt x="4572000" y="571662"/>
                      <a:pt x="4525902" y="617760"/>
                      <a:pt x="4469038" y="617760"/>
                    </a:cubicBezTo>
                    <a:lnTo>
                      <a:pt x="102962" y="617760"/>
                    </a:lnTo>
                    <a:cubicBezTo>
                      <a:pt x="46098" y="617760"/>
                      <a:pt x="0" y="571662"/>
                      <a:pt x="0" y="514798"/>
                    </a:cubicBezTo>
                    <a:lnTo>
                      <a:pt x="0" y="102962"/>
                    </a:lnTo>
                    <a:close/>
                  </a:path>
                </a:pathLst>
              </a:custGeom>
              <a:noFill/>
              <a:ln>
                <a:noFill/>
              </a:ln>
            </xdr:spPr>
            <xdr:style>
              <a:lnRef idx="2">
                <a:schemeClr val="lt2">
                  <a:hueOff val="0"/>
                  <a:satOff val="0"/>
                  <a:lumOff val="0"/>
                  <a:alphaOff val="0"/>
                </a:schemeClr>
              </a:lnRef>
              <a:fillRef idx="1">
                <a:schemeClr val="dk2">
                  <a:hueOff val="0"/>
                  <a:satOff val="0"/>
                  <a:lumOff val="0"/>
                  <a:alphaOff val="0"/>
                </a:schemeClr>
              </a:fillRef>
              <a:effectRef idx="0">
                <a:schemeClr val="dk2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 spcFirstLastPara="0" vert="horz" wrap="square" lIns="125407" tIns="125407" rIns="125407" bIns="125407" numCol="1" spcCol="1270" anchor="ctr" anchorCtr="0">
                <a:noAutofit/>
              </a:bodyPr>
              <a:lstStyle/>
              <a:p>
                <a:pPr marL="0" lvl="0" indent="0" algn="ctr" defTabSz="11112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fld id="{DE3C0B83-8FAE-4620-B538-8792392D8E2D}" type="TxLink">
                  <a:rPr lang="en-US" sz="1600" b="1" i="0" u="none" strike="noStrike" kern="1200">
                    <a:solidFill>
                      <a:schemeClr val="bg1">
                        <a:lumMod val="85000"/>
                      </a:schemeClr>
                    </a:solidFill>
                    <a:latin typeface="Calibri"/>
                    <a:cs typeface="Calibri"/>
                  </a:rPr>
                  <a:pPr marL="0" lvl="0" indent="0" algn="ctr" defTabSz="1111250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  <a:buNone/>
                  </a:pPr>
                  <a:t>6.32%</a:t>
                </a:fld>
                <a:endParaRPr lang="pl-PL" sz="8800" b="1" kern="1200">
                  <a:solidFill>
                    <a:schemeClr val="bg1">
                      <a:lumMod val="85000"/>
                    </a:schemeClr>
                  </a:solidFill>
                </a:endParaRPr>
              </a:p>
            </xdr:txBody>
          </xdr:sp>
        </xdr:grpSp>
        <xdr:grpSp>
          <xdr:nvGrpSpPr>
            <xdr:cNvPr id="71" name="Grupa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GrpSpPr/>
          </xdr:nvGrpSpPr>
          <xdr:grpSpPr>
            <a:xfrm>
              <a:off x="4279071" y="4378535"/>
              <a:ext cx="2003574" cy="2061634"/>
              <a:chOff x="-1453351" y="4281688"/>
              <a:chExt cx="1896513" cy="1913466"/>
            </a:xfrm>
          </xdr:grpSpPr>
          <xdr:graphicFrame macro="">
            <xdr:nvGraphicFramePr>
              <xdr:cNvPr id="72" name="Wykres 71">
                <a:extLst>
                  <a:ext uri="{FF2B5EF4-FFF2-40B4-BE49-F238E27FC236}">
                    <a16:creationId xmlns:a16="http://schemas.microsoft.com/office/drawing/2014/main" id="{00000000-0008-0000-0000-000048000000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-1453351" y="4281688"/>
              <a:ext cx="1896513" cy="1913466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0"/>
              </a:graphicData>
            </a:graphic>
          </xdr:graphicFrame>
          <xdr:sp macro="" textlink="Wzrost!A11">
            <xdr:nvSpPr>
              <xdr:cNvPr id="73" name="Dowolny kształt: kształt 72">
                <a:extLst>
                  <a:ext uri="{FF2B5EF4-FFF2-40B4-BE49-F238E27FC236}">
                    <a16:creationId xmlns:a16="http://schemas.microsoft.com/office/drawing/2014/main" id="{00000000-0008-0000-0000-000049000000}"/>
                  </a:ext>
                </a:extLst>
              </xdr:cNvPr>
              <xdr:cNvSpPr/>
            </xdr:nvSpPr>
            <xdr:spPr>
              <a:xfrm>
                <a:off x="-1126831" y="4849758"/>
                <a:ext cx="1053048" cy="368904"/>
              </a:xfrm>
              <a:custGeom>
                <a:avLst/>
                <a:gdLst>
                  <a:gd name="connsiteX0" fmla="*/ 0 w 4572000"/>
                  <a:gd name="connsiteY0" fmla="*/ 102962 h 617760"/>
                  <a:gd name="connsiteX1" fmla="*/ 102962 w 4572000"/>
                  <a:gd name="connsiteY1" fmla="*/ 0 h 617760"/>
                  <a:gd name="connsiteX2" fmla="*/ 4469038 w 4572000"/>
                  <a:gd name="connsiteY2" fmla="*/ 0 h 617760"/>
                  <a:gd name="connsiteX3" fmla="*/ 4572000 w 4572000"/>
                  <a:gd name="connsiteY3" fmla="*/ 102962 h 617760"/>
                  <a:gd name="connsiteX4" fmla="*/ 4572000 w 4572000"/>
                  <a:gd name="connsiteY4" fmla="*/ 514798 h 617760"/>
                  <a:gd name="connsiteX5" fmla="*/ 4469038 w 4572000"/>
                  <a:gd name="connsiteY5" fmla="*/ 617760 h 617760"/>
                  <a:gd name="connsiteX6" fmla="*/ 102962 w 4572000"/>
                  <a:gd name="connsiteY6" fmla="*/ 617760 h 617760"/>
                  <a:gd name="connsiteX7" fmla="*/ 0 w 4572000"/>
                  <a:gd name="connsiteY7" fmla="*/ 514798 h 617760"/>
                  <a:gd name="connsiteX8" fmla="*/ 0 w 4572000"/>
                  <a:gd name="connsiteY8" fmla="*/ 102962 h 61776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</a:cxnLst>
                <a:rect l="l" t="t" r="r" b="b"/>
                <a:pathLst>
                  <a:path w="4572000" h="617760">
                    <a:moveTo>
                      <a:pt x="0" y="102962"/>
                    </a:moveTo>
                    <a:cubicBezTo>
                      <a:pt x="0" y="46098"/>
                      <a:pt x="46098" y="0"/>
                      <a:pt x="102962" y="0"/>
                    </a:cubicBezTo>
                    <a:lnTo>
                      <a:pt x="4469038" y="0"/>
                    </a:lnTo>
                    <a:cubicBezTo>
                      <a:pt x="4525902" y="0"/>
                      <a:pt x="4572000" y="46098"/>
                      <a:pt x="4572000" y="102962"/>
                    </a:cubicBezTo>
                    <a:lnTo>
                      <a:pt x="4572000" y="514798"/>
                    </a:lnTo>
                    <a:cubicBezTo>
                      <a:pt x="4572000" y="571662"/>
                      <a:pt x="4525902" y="617760"/>
                      <a:pt x="4469038" y="617760"/>
                    </a:cubicBezTo>
                    <a:lnTo>
                      <a:pt x="102962" y="617760"/>
                    </a:lnTo>
                    <a:cubicBezTo>
                      <a:pt x="46098" y="617760"/>
                      <a:pt x="0" y="571662"/>
                      <a:pt x="0" y="514798"/>
                    </a:cubicBezTo>
                    <a:lnTo>
                      <a:pt x="0" y="102962"/>
                    </a:lnTo>
                    <a:close/>
                  </a:path>
                </a:pathLst>
              </a:custGeom>
              <a:noFill/>
              <a:ln>
                <a:noFill/>
              </a:ln>
            </xdr:spPr>
            <xdr:style>
              <a:lnRef idx="2">
                <a:schemeClr val="lt2">
                  <a:hueOff val="0"/>
                  <a:satOff val="0"/>
                  <a:lumOff val="0"/>
                  <a:alphaOff val="0"/>
                </a:schemeClr>
              </a:lnRef>
              <a:fillRef idx="1">
                <a:schemeClr val="dk2">
                  <a:hueOff val="0"/>
                  <a:satOff val="0"/>
                  <a:lumOff val="0"/>
                  <a:alphaOff val="0"/>
                </a:schemeClr>
              </a:fillRef>
              <a:effectRef idx="0">
                <a:schemeClr val="dk2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 spcFirstLastPara="0" vert="horz" wrap="square" lIns="125407" tIns="125407" rIns="125407" bIns="125407" numCol="1" spcCol="1270" anchor="ctr" anchorCtr="0">
                <a:noAutofit/>
              </a:bodyPr>
              <a:lstStyle/>
              <a:p>
                <a:pPr marL="0" lvl="0" indent="0" algn="ctr" defTabSz="11112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fld id="{FCF4DC40-C020-4B16-BE90-B33961E77ABB}" type="TxLink">
                  <a:rPr lang="en-US" sz="1600" b="1" i="0" u="none" strike="noStrike" kern="1200">
                    <a:solidFill>
                      <a:schemeClr val="bg1">
                        <a:lumMod val="85000"/>
                      </a:schemeClr>
                    </a:solidFill>
                    <a:latin typeface="Calibri"/>
                    <a:cs typeface="Calibri"/>
                  </a:rPr>
                  <a:pPr marL="0" lvl="0" indent="0" algn="ctr" defTabSz="1111250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  <a:buNone/>
                  </a:pPr>
                  <a:t>CFO</a:t>
                </a:fld>
                <a:endParaRPr lang="pl-PL" sz="8800" b="1" kern="1200">
                  <a:solidFill>
                    <a:schemeClr val="bg1">
                      <a:lumMod val="85000"/>
                    </a:schemeClr>
                  </a:solidFill>
                </a:endParaRPr>
              </a:p>
            </xdr:txBody>
          </xdr:sp>
          <xdr:sp macro="" textlink="Wzrost!L11">
            <xdr:nvSpPr>
              <xdr:cNvPr id="74" name="Dowolny kształt: kształt 73">
                <a:extLst>
                  <a:ext uri="{FF2B5EF4-FFF2-40B4-BE49-F238E27FC236}">
                    <a16:creationId xmlns:a16="http://schemas.microsoft.com/office/drawing/2014/main" id="{00000000-0008-0000-0000-00004A000000}"/>
                  </a:ext>
                </a:extLst>
              </xdr:cNvPr>
              <xdr:cNvSpPr/>
            </xdr:nvSpPr>
            <xdr:spPr>
              <a:xfrm>
                <a:off x="-1086031" y="5133579"/>
                <a:ext cx="981075" cy="368904"/>
              </a:xfrm>
              <a:custGeom>
                <a:avLst/>
                <a:gdLst>
                  <a:gd name="connsiteX0" fmla="*/ 0 w 4572000"/>
                  <a:gd name="connsiteY0" fmla="*/ 102962 h 617760"/>
                  <a:gd name="connsiteX1" fmla="*/ 102962 w 4572000"/>
                  <a:gd name="connsiteY1" fmla="*/ 0 h 617760"/>
                  <a:gd name="connsiteX2" fmla="*/ 4469038 w 4572000"/>
                  <a:gd name="connsiteY2" fmla="*/ 0 h 617760"/>
                  <a:gd name="connsiteX3" fmla="*/ 4572000 w 4572000"/>
                  <a:gd name="connsiteY3" fmla="*/ 102962 h 617760"/>
                  <a:gd name="connsiteX4" fmla="*/ 4572000 w 4572000"/>
                  <a:gd name="connsiteY4" fmla="*/ 514798 h 617760"/>
                  <a:gd name="connsiteX5" fmla="*/ 4469038 w 4572000"/>
                  <a:gd name="connsiteY5" fmla="*/ 617760 h 617760"/>
                  <a:gd name="connsiteX6" fmla="*/ 102962 w 4572000"/>
                  <a:gd name="connsiteY6" fmla="*/ 617760 h 617760"/>
                  <a:gd name="connsiteX7" fmla="*/ 0 w 4572000"/>
                  <a:gd name="connsiteY7" fmla="*/ 514798 h 617760"/>
                  <a:gd name="connsiteX8" fmla="*/ 0 w 4572000"/>
                  <a:gd name="connsiteY8" fmla="*/ 102962 h 61776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</a:cxnLst>
                <a:rect l="l" t="t" r="r" b="b"/>
                <a:pathLst>
                  <a:path w="4572000" h="617760">
                    <a:moveTo>
                      <a:pt x="0" y="102962"/>
                    </a:moveTo>
                    <a:cubicBezTo>
                      <a:pt x="0" y="46098"/>
                      <a:pt x="46098" y="0"/>
                      <a:pt x="102962" y="0"/>
                    </a:cubicBezTo>
                    <a:lnTo>
                      <a:pt x="4469038" y="0"/>
                    </a:lnTo>
                    <a:cubicBezTo>
                      <a:pt x="4525902" y="0"/>
                      <a:pt x="4572000" y="46098"/>
                      <a:pt x="4572000" y="102962"/>
                    </a:cubicBezTo>
                    <a:lnTo>
                      <a:pt x="4572000" y="514798"/>
                    </a:lnTo>
                    <a:cubicBezTo>
                      <a:pt x="4572000" y="571662"/>
                      <a:pt x="4525902" y="617760"/>
                      <a:pt x="4469038" y="617760"/>
                    </a:cubicBezTo>
                    <a:lnTo>
                      <a:pt x="102962" y="617760"/>
                    </a:lnTo>
                    <a:cubicBezTo>
                      <a:pt x="46098" y="617760"/>
                      <a:pt x="0" y="571662"/>
                      <a:pt x="0" y="514798"/>
                    </a:cubicBezTo>
                    <a:lnTo>
                      <a:pt x="0" y="102962"/>
                    </a:lnTo>
                    <a:close/>
                  </a:path>
                </a:pathLst>
              </a:custGeom>
              <a:noFill/>
              <a:ln>
                <a:noFill/>
              </a:ln>
            </xdr:spPr>
            <xdr:style>
              <a:lnRef idx="2">
                <a:schemeClr val="lt2">
                  <a:hueOff val="0"/>
                  <a:satOff val="0"/>
                  <a:lumOff val="0"/>
                  <a:alphaOff val="0"/>
                </a:schemeClr>
              </a:lnRef>
              <a:fillRef idx="1">
                <a:schemeClr val="dk2">
                  <a:hueOff val="0"/>
                  <a:satOff val="0"/>
                  <a:lumOff val="0"/>
                  <a:alphaOff val="0"/>
                </a:schemeClr>
              </a:fillRef>
              <a:effectRef idx="0">
                <a:schemeClr val="dk2">
                  <a:hueOff val="0"/>
                  <a:satOff val="0"/>
                  <a:lumOff val="0"/>
                  <a:alphaOff val="0"/>
                </a:schemeClr>
              </a:effectRef>
              <a:fontRef idx="minor">
                <a:schemeClr val="lt1"/>
              </a:fontRef>
            </xdr:style>
            <xdr:txBody>
              <a:bodyPr spcFirstLastPara="0" vert="horz" wrap="square" lIns="125407" tIns="125407" rIns="125407" bIns="125407" numCol="1" spcCol="1270" anchor="ctr" anchorCtr="0">
                <a:noAutofit/>
              </a:bodyPr>
              <a:lstStyle/>
              <a:p>
                <a:pPr marL="0" lvl="0" indent="0" algn="ctr" defTabSz="1111250">
                  <a:lnSpc>
                    <a:spcPct val="90000"/>
                  </a:lnSpc>
                  <a:spcBef>
                    <a:spcPct val="0"/>
                  </a:spcBef>
                  <a:spcAft>
                    <a:spcPct val="35000"/>
                  </a:spcAft>
                  <a:buNone/>
                </a:pPr>
                <a:fld id="{B6040663-84F1-41B8-80CA-94582D543ED3}" type="TxLink">
                  <a:rPr lang="en-US" sz="1600" b="1" i="0" u="none" strike="noStrike" kern="1200">
                    <a:solidFill>
                      <a:schemeClr val="bg1">
                        <a:lumMod val="85000"/>
                      </a:schemeClr>
                    </a:solidFill>
                    <a:latin typeface="Calibri"/>
                    <a:ea typeface="+mn-ea"/>
                    <a:cs typeface="Calibri"/>
                  </a:rPr>
                  <a:pPr marL="0" lvl="0" indent="0" algn="ctr" defTabSz="1111250">
                    <a:lnSpc>
                      <a:spcPct val="90000"/>
                    </a:lnSpc>
                    <a:spcBef>
                      <a:spcPct val="0"/>
                    </a:spcBef>
                    <a:spcAft>
                      <a:spcPct val="35000"/>
                    </a:spcAft>
                    <a:buNone/>
                  </a:pPr>
                  <a:t>3.99%</a:t>
                </a:fld>
                <a:endParaRPr lang="pl-PL" sz="1600" b="1" i="0" u="none" strike="noStrike" kern="1200">
                  <a:solidFill>
                    <a:schemeClr val="bg1">
                      <a:lumMod val="85000"/>
                    </a:schemeClr>
                  </a:solidFill>
                  <a:latin typeface="Calibri"/>
                  <a:ea typeface="+mn-ea"/>
                  <a:cs typeface="Calibri"/>
                </a:endParaRPr>
              </a:p>
            </xdr:txBody>
          </xdr:sp>
        </xdr:grpSp>
      </xdr:grpSp>
      <xdr:sp macro="" textlink="Wzrost!A3">
        <xdr:nvSpPr>
          <xdr:cNvPr id="48" name="Dowolny kształt: kształt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1732714" y="4993329"/>
            <a:ext cx="1030893" cy="397470"/>
          </a:xfrm>
          <a:custGeom>
            <a:avLst/>
            <a:gdLst>
              <a:gd name="connsiteX0" fmla="*/ 0 w 4572000"/>
              <a:gd name="connsiteY0" fmla="*/ 102962 h 617760"/>
              <a:gd name="connsiteX1" fmla="*/ 102962 w 4572000"/>
              <a:gd name="connsiteY1" fmla="*/ 0 h 617760"/>
              <a:gd name="connsiteX2" fmla="*/ 4469038 w 4572000"/>
              <a:gd name="connsiteY2" fmla="*/ 0 h 617760"/>
              <a:gd name="connsiteX3" fmla="*/ 4572000 w 4572000"/>
              <a:gd name="connsiteY3" fmla="*/ 102962 h 617760"/>
              <a:gd name="connsiteX4" fmla="*/ 4572000 w 4572000"/>
              <a:gd name="connsiteY4" fmla="*/ 514798 h 617760"/>
              <a:gd name="connsiteX5" fmla="*/ 4469038 w 4572000"/>
              <a:gd name="connsiteY5" fmla="*/ 617760 h 617760"/>
              <a:gd name="connsiteX6" fmla="*/ 102962 w 4572000"/>
              <a:gd name="connsiteY6" fmla="*/ 617760 h 617760"/>
              <a:gd name="connsiteX7" fmla="*/ 0 w 4572000"/>
              <a:gd name="connsiteY7" fmla="*/ 514798 h 617760"/>
              <a:gd name="connsiteX8" fmla="*/ 0 w 4572000"/>
              <a:gd name="connsiteY8" fmla="*/ 102962 h 6177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572000" h="617760">
                <a:moveTo>
                  <a:pt x="0" y="102962"/>
                </a:moveTo>
                <a:cubicBezTo>
                  <a:pt x="0" y="46098"/>
                  <a:pt x="46098" y="0"/>
                  <a:pt x="102962" y="0"/>
                </a:cubicBezTo>
                <a:lnTo>
                  <a:pt x="4469038" y="0"/>
                </a:lnTo>
                <a:cubicBezTo>
                  <a:pt x="4525902" y="0"/>
                  <a:pt x="4572000" y="46098"/>
                  <a:pt x="4572000" y="102962"/>
                </a:cubicBezTo>
                <a:lnTo>
                  <a:pt x="4572000" y="514798"/>
                </a:lnTo>
                <a:cubicBezTo>
                  <a:pt x="4572000" y="571662"/>
                  <a:pt x="4525902" y="617760"/>
                  <a:pt x="4469038" y="617760"/>
                </a:cubicBezTo>
                <a:lnTo>
                  <a:pt x="102962" y="617760"/>
                </a:lnTo>
                <a:cubicBezTo>
                  <a:pt x="46098" y="617760"/>
                  <a:pt x="0" y="571662"/>
                  <a:pt x="0" y="514798"/>
                </a:cubicBezTo>
                <a:lnTo>
                  <a:pt x="0" y="102962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hemeClr val="lt2">
              <a:hueOff val="0"/>
              <a:satOff val="0"/>
              <a:lumOff val="0"/>
              <a:alphaOff val="0"/>
            </a:schemeClr>
          </a:lnRef>
          <a:fillRef idx="1">
            <a:schemeClr val="dk2">
              <a:hueOff val="0"/>
              <a:satOff val="0"/>
              <a:lumOff val="0"/>
              <a:alphaOff val="0"/>
            </a:schemeClr>
          </a:fillRef>
          <a:effectRef idx="0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125407" tIns="125407" rIns="125407" bIns="125407" numCol="1" spcCol="1270" anchor="ctr" anchorCtr="0">
            <a:noAutofit/>
          </a:bodyPr>
          <a:lstStyle/>
          <a:p>
            <a:pPr marL="0" lvl="0" indent="0" algn="ctr" defTabSz="1111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fld id="{3B93A9E8-BD23-412E-9AD1-382D78DDB640}" type="TxLink">
              <a:rPr lang="en-US" sz="1600" b="1" i="0" u="none" strike="noStrike" kern="1200">
                <a:solidFill>
                  <a:schemeClr val="bg1">
                    <a:lumMod val="85000"/>
                  </a:schemeClr>
                </a:solidFill>
                <a:latin typeface="Calibri"/>
                <a:cs typeface="Calibri"/>
              </a:rPr>
              <a:pPr marL="0" lvl="0" indent="0" algn="ctr" defTabSz="11112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t>EBITDA:</a:t>
            </a:fld>
            <a:endParaRPr lang="pl-PL" sz="6600" b="1" kern="1200">
              <a:solidFill>
                <a:schemeClr val="bg1">
                  <a:lumMod val="85000"/>
                </a:schemeClr>
              </a:solidFill>
            </a:endParaRPr>
          </a:p>
        </xdr:txBody>
      </xdr:sp>
      <xdr:sp macro="" textlink="Wzrost!L3">
        <xdr:nvSpPr>
          <xdr:cNvPr id="49" name="Dowolny kształt: kształt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1737246" y="5327057"/>
            <a:ext cx="1030893" cy="397470"/>
          </a:xfrm>
          <a:custGeom>
            <a:avLst/>
            <a:gdLst>
              <a:gd name="connsiteX0" fmla="*/ 0 w 4572000"/>
              <a:gd name="connsiteY0" fmla="*/ 102962 h 617760"/>
              <a:gd name="connsiteX1" fmla="*/ 102962 w 4572000"/>
              <a:gd name="connsiteY1" fmla="*/ 0 h 617760"/>
              <a:gd name="connsiteX2" fmla="*/ 4469038 w 4572000"/>
              <a:gd name="connsiteY2" fmla="*/ 0 h 617760"/>
              <a:gd name="connsiteX3" fmla="*/ 4572000 w 4572000"/>
              <a:gd name="connsiteY3" fmla="*/ 102962 h 617760"/>
              <a:gd name="connsiteX4" fmla="*/ 4572000 w 4572000"/>
              <a:gd name="connsiteY4" fmla="*/ 514798 h 617760"/>
              <a:gd name="connsiteX5" fmla="*/ 4469038 w 4572000"/>
              <a:gd name="connsiteY5" fmla="*/ 617760 h 617760"/>
              <a:gd name="connsiteX6" fmla="*/ 102962 w 4572000"/>
              <a:gd name="connsiteY6" fmla="*/ 617760 h 617760"/>
              <a:gd name="connsiteX7" fmla="*/ 0 w 4572000"/>
              <a:gd name="connsiteY7" fmla="*/ 514798 h 617760"/>
              <a:gd name="connsiteX8" fmla="*/ 0 w 4572000"/>
              <a:gd name="connsiteY8" fmla="*/ 102962 h 61776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4572000" h="617760">
                <a:moveTo>
                  <a:pt x="0" y="102962"/>
                </a:moveTo>
                <a:cubicBezTo>
                  <a:pt x="0" y="46098"/>
                  <a:pt x="46098" y="0"/>
                  <a:pt x="102962" y="0"/>
                </a:cubicBezTo>
                <a:lnTo>
                  <a:pt x="4469038" y="0"/>
                </a:lnTo>
                <a:cubicBezTo>
                  <a:pt x="4525902" y="0"/>
                  <a:pt x="4572000" y="46098"/>
                  <a:pt x="4572000" y="102962"/>
                </a:cubicBezTo>
                <a:lnTo>
                  <a:pt x="4572000" y="514798"/>
                </a:lnTo>
                <a:cubicBezTo>
                  <a:pt x="4572000" y="571662"/>
                  <a:pt x="4525902" y="617760"/>
                  <a:pt x="4469038" y="617760"/>
                </a:cubicBezTo>
                <a:lnTo>
                  <a:pt x="102962" y="617760"/>
                </a:lnTo>
                <a:cubicBezTo>
                  <a:pt x="46098" y="617760"/>
                  <a:pt x="0" y="571662"/>
                  <a:pt x="0" y="514798"/>
                </a:cubicBezTo>
                <a:lnTo>
                  <a:pt x="0" y="102962"/>
                </a:lnTo>
                <a:close/>
              </a:path>
            </a:pathLst>
          </a:custGeom>
          <a:noFill/>
          <a:ln>
            <a:noFill/>
          </a:ln>
        </xdr:spPr>
        <xdr:style>
          <a:lnRef idx="2">
            <a:schemeClr val="lt2">
              <a:hueOff val="0"/>
              <a:satOff val="0"/>
              <a:lumOff val="0"/>
              <a:alphaOff val="0"/>
            </a:schemeClr>
          </a:lnRef>
          <a:fillRef idx="1">
            <a:schemeClr val="dk2">
              <a:hueOff val="0"/>
              <a:satOff val="0"/>
              <a:lumOff val="0"/>
              <a:alphaOff val="0"/>
            </a:schemeClr>
          </a:fillRef>
          <a:effectRef idx="0">
            <a:schemeClr val="dk2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  <xdr:txBody>
          <a:bodyPr spcFirstLastPara="0" vert="horz" wrap="square" lIns="125407" tIns="125407" rIns="125407" bIns="125407" numCol="1" spcCol="1270" anchor="ctr" anchorCtr="0">
            <a:noAutofit/>
          </a:bodyPr>
          <a:lstStyle/>
          <a:p>
            <a:pPr marL="0" lvl="0" indent="0" algn="ctr" defTabSz="1111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fld id="{C14C72FC-BC2D-482D-9D3C-6540D1CDD288}" type="TxLink">
              <a:rPr lang="en-US" sz="1600" b="1" i="0" u="none" strike="noStrike" kern="1200">
                <a:solidFill>
                  <a:schemeClr val="bg1">
                    <a:lumMod val="85000"/>
                  </a:schemeClr>
                </a:solidFill>
                <a:latin typeface="Calibri"/>
                <a:cs typeface="Calibri"/>
              </a:rPr>
              <a:pPr marL="0" lvl="0" indent="0" algn="ctr" defTabSz="11112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t>10.00%</a:t>
            </a:fld>
            <a:endParaRPr lang="pl-PL" sz="8800" b="1" kern="1200">
              <a:solidFill>
                <a:schemeClr val="bg1">
                  <a:lumMod val="85000"/>
                </a:schemeClr>
              </a:solidFill>
            </a:endParaRPr>
          </a:p>
        </xdr:txBody>
      </xdr:sp>
    </xdr:grpSp>
    <xdr:clientData/>
  </xdr:twoCellAnchor>
  <xdr:twoCellAnchor editAs="oneCell">
    <xdr:from>
      <xdr:col>0</xdr:col>
      <xdr:colOff>194358</xdr:colOff>
      <xdr:row>8</xdr:row>
      <xdr:rowOff>683</xdr:rowOff>
    </xdr:from>
    <xdr:to>
      <xdr:col>0</xdr:col>
      <xdr:colOff>558419</xdr:colOff>
      <xdr:row>10</xdr:row>
      <xdr:rowOff>173993</xdr:rowOff>
    </xdr:to>
    <xdr:pic>
      <xdr:nvPicPr>
        <xdr:cNvPr id="59" name="Grafika 58" descr="Romb z wypełnieniem pełnym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94358" y="1524683"/>
          <a:ext cx="364061" cy="363810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31</xdr:row>
      <xdr:rowOff>68791</xdr:rowOff>
    </xdr:from>
    <xdr:to>
      <xdr:col>14</xdr:col>
      <xdr:colOff>142875</xdr:colOff>
      <xdr:row>38</xdr:row>
      <xdr:rowOff>142874</xdr:rowOff>
    </xdr:to>
    <xdr:sp macro="" textlink="">
      <xdr:nvSpPr>
        <xdr:cNvPr id="62" name="Prostokąt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200025" y="5783791"/>
          <a:ext cx="8582025" cy="1407583"/>
        </a:xfrm>
        <a:prstGeom prst="rect">
          <a:avLst/>
        </a:prstGeom>
        <a:solidFill>
          <a:schemeClr val="dk1">
            <a:alpha val="90000"/>
          </a:schemeClr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oneCell">
    <xdr:from>
      <xdr:col>0</xdr:col>
      <xdr:colOff>190500</xdr:colOff>
      <xdr:row>31</xdr:row>
      <xdr:rowOff>9525</xdr:rowOff>
    </xdr:from>
    <xdr:to>
      <xdr:col>0</xdr:col>
      <xdr:colOff>560025</xdr:colOff>
      <xdr:row>32</xdr:row>
      <xdr:rowOff>184740</xdr:rowOff>
    </xdr:to>
    <xdr:pic>
      <xdr:nvPicPr>
        <xdr:cNvPr id="79" name="Grafika 78" descr="Metka z wypełnieniem pełnym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90500" y="5924550"/>
          <a:ext cx="360000" cy="360000"/>
        </a:xfrm>
        <a:prstGeom prst="rect">
          <a:avLst/>
        </a:prstGeom>
      </xdr:spPr>
    </xdr:pic>
    <xdr:clientData/>
  </xdr:twoCellAnchor>
  <xdr:oneCellAnchor>
    <xdr:from>
      <xdr:col>7</xdr:col>
      <xdr:colOff>152401</xdr:colOff>
      <xdr:row>0</xdr:row>
      <xdr:rowOff>115588</xdr:rowOff>
    </xdr:from>
    <xdr:ext cx="5210314" cy="468013"/>
    <xdr:sp macro="" textlink="">
      <xdr:nvSpPr>
        <xdr:cNvPr id="80" name="pole tekstow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/>
      </xdr:nvSpPr>
      <xdr:spPr>
        <a:xfrm>
          <a:off x="4524376" y="115588"/>
          <a:ext cx="5210314" cy="468013"/>
        </a:xfrm>
        <a:prstGeom prst="rect">
          <a:avLst/>
        </a:prstGeom>
        <a:solidFill>
          <a:schemeClr val="tx1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pl-PL" sz="2400" b="1">
              <a:solidFill>
                <a:schemeClr val="bg1"/>
              </a:solidFill>
            </a:rPr>
            <a:t>Analiza wskaźnikowa:</a:t>
          </a:r>
        </a:p>
      </xdr:txBody>
    </xdr:sp>
    <xdr:clientData/>
  </xdr:oneCellAnchor>
  <xdr:oneCellAnchor>
    <xdr:from>
      <xdr:col>14</xdr:col>
      <xdr:colOff>15010</xdr:colOff>
      <xdr:row>0</xdr:row>
      <xdr:rowOff>115588</xdr:rowOff>
    </xdr:from>
    <xdr:ext cx="2023339" cy="468013"/>
    <xdr:sp macro="" textlink="'Wybrane dane i wskaźniki'!B1:H1">
      <xdr:nvSpPr>
        <xdr:cNvPr id="81" name="pole tekstow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/>
      </xdr:nvSpPr>
      <xdr:spPr>
        <a:xfrm>
          <a:off x="8654185" y="115588"/>
          <a:ext cx="2023339" cy="468013"/>
        </a:xfrm>
        <a:prstGeom prst="rect">
          <a:avLst/>
        </a:prstGeom>
        <a:solidFill>
          <a:schemeClr val="tx1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fld id="{71A1CD66-8E80-42E8-881B-166E5ADD4B6D}" type="TxLink">
            <a:rPr lang="en-US" sz="2400" b="1" i="0" u="none" strike="noStrike">
              <a:solidFill>
                <a:schemeClr val="bg1"/>
              </a:solidFill>
              <a:latin typeface="Calibri"/>
              <a:cs typeface="Calibri"/>
            </a:rPr>
            <a:pPr algn="l"/>
            <a:t>CSV</a:t>
          </a:fld>
          <a:endParaRPr lang="pl-PL" sz="4800" b="1">
            <a:solidFill>
              <a:schemeClr val="bg1"/>
            </a:solidFill>
          </a:endParaRPr>
        </a:p>
      </xdr:txBody>
    </xdr:sp>
    <xdr:clientData/>
  </xdr:oneCellAnchor>
  <xdr:twoCellAnchor>
    <xdr:from>
      <xdr:col>14</xdr:col>
      <xdr:colOff>219076</xdr:colOff>
      <xdr:row>31</xdr:row>
      <xdr:rowOff>85725</xdr:rowOff>
    </xdr:from>
    <xdr:to>
      <xdr:col>17</xdr:col>
      <xdr:colOff>600075</xdr:colOff>
      <xdr:row>38</xdr:row>
      <xdr:rowOff>85724</xdr:rowOff>
    </xdr:to>
    <xdr:graphicFrame macro="">
      <xdr:nvGraphicFramePr>
        <xdr:cNvPr id="41" name="Wykres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567690</xdr:colOff>
      <xdr:row>30</xdr:row>
      <xdr:rowOff>186689</xdr:rowOff>
    </xdr:from>
    <xdr:to>
      <xdr:col>22</xdr:col>
      <xdr:colOff>415289</xdr:colOff>
      <xdr:row>38</xdr:row>
      <xdr:rowOff>104775</xdr:rowOff>
    </xdr:to>
    <xdr:graphicFrame macro="">
      <xdr:nvGraphicFramePr>
        <xdr:cNvPr id="47" name="Wykres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511753</xdr:colOff>
      <xdr:row>20</xdr:row>
      <xdr:rowOff>38965</xdr:rowOff>
    </xdr:from>
    <xdr:to>
      <xdr:col>17</xdr:col>
      <xdr:colOff>239217</xdr:colOff>
      <xdr:row>31</xdr:row>
      <xdr:rowOff>52307</xdr:rowOff>
    </xdr:to>
    <xdr:graphicFrame macro="">
      <xdr:nvGraphicFramePr>
        <xdr:cNvPr id="52" name="Wykres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386196</xdr:colOff>
      <xdr:row>23</xdr:row>
      <xdr:rowOff>115165</xdr:rowOff>
    </xdr:from>
    <xdr:to>
      <xdr:col>16</xdr:col>
      <xdr:colOff>100027</xdr:colOff>
      <xdr:row>25</xdr:row>
      <xdr:rowOff>140736</xdr:rowOff>
    </xdr:to>
    <xdr:sp macro="" textlink="Wzrost!A12">
      <xdr:nvSpPr>
        <xdr:cNvPr id="53" name="Dowolny kształt: kształt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8378537" y="4306165"/>
          <a:ext cx="1532240" cy="406571"/>
        </a:xfrm>
        <a:custGeom>
          <a:avLst/>
          <a:gdLst>
            <a:gd name="connsiteX0" fmla="*/ 0 w 4572000"/>
            <a:gd name="connsiteY0" fmla="*/ 102962 h 617760"/>
            <a:gd name="connsiteX1" fmla="*/ 102962 w 4572000"/>
            <a:gd name="connsiteY1" fmla="*/ 0 h 617760"/>
            <a:gd name="connsiteX2" fmla="*/ 4469038 w 4572000"/>
            <a:gd name="connsiteY2" fmla="*/ 0 h 617760"/>
            <a:gd name="connsiteX3" fmla="*/ 4572000 w 4572000"/>
            <a:gd name="connsiteY3" fmla="*/ 102962 h 617760"/>
            <a:gd name="connsiteX4" fmla="*/ 4572000 w 4572000"/>
            <a:gd name="connsiteY4" fmla="*/ 514798 h 617760"/>
            <a:gd name="connsiteX5" fmla="*/ 4469038 w 4572000"/>
            <a:gd name="connsiteY5" fmla="*/ 617760 h 617760"/>
            <a:gd name="connsiteX6" fmla="*/ 102962 w 4572000"/>
            <a:gd name="connsiteY6" fmla="*/ 617760 h 617760"/>
            <a:gd name="connsiteX7" fmla="*/ 0 w 4572000"/>
            <a:gd name="connsiteY7" fmla="*/ 514798 h 617760"/>
            <a:gd name="connsiteX8" fmla="*/ 0 w 4572000"/>
            <a:gd name="connsiteY8" fmla="*/ 102962 h 617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572000" h="617760">
              <a:moveTo>
                <a:pt x="0" y="102962"/>
              </a:moveTo>
              <a:cubicBezTo>
                <a:pt x="0" y="46098"/>
                <a:pt x="46098" y="0"/>
                <a:pt x="102962" y="0"/>
              </a:cubicBezTo>
              <a:lnTo>
                <a:pt x="4469038" y="0"/>
              </a:lnTo>
              <a:cubicBezTo>
                <a:pt x="4525902" y="0"/>
                <a:pt x="4572000" y="46098"/>
                <a:pt x="4572000" y="102962"/>
              </a:cubicBezTo>
              <a:lnTo>
                <a:pt x="4572000" y="514798"/>
              </a:lnTo>
              <a:cubicBezTo>
                <a:pt x="4572000" y="571662"/>
                <a:pt x="4525902" y="617760"/>
                <a:pt x="4469038" y="617760"/>
              </a:cubicBezTo>
              <a:lnTo>
                <a:pt x="102962" y="617760"/>
              </a:lnTo>
              <a:cubicBezTo>
                <a:pt x="46098" y="617760"/>
                <a:pt x="0" y="571662"/>
                <a:pt x="0" y="514798"/>
              </a:cubicBezTo>
              <a:lnTo>
                <a:pt x="0" y="102962"/>
              </a:lnTo>
              <a:close/>
            </a:path>
          </a:pathLst>
        </a:custGeom>
        <a:noFill/>
        <a:ln>
          <a:noFill/>
        </a:ln>
      </xdr:spPr>
      <xdr:style>
        <a:lnRef idx="2">
          <a:schemeClr val="lt2">
            <a:hueOff val="0"/>
            <a:satOff val="0"/>
            <a:lumOff val="0"/>
            <a:alphaOff val="0"/>
          </a:schemeClr>
        </a:lnRef>
        <a:fillRef idx="1">
          <a:schemeClr val="dk2">
            <a:hueOff val="0"/>
            <a:satOff val="0"/>
            <a:lumOff val="0"/>
            <a:alphaOff val="0"/>
          </a:schemeClr>
        </a:fillRef>
        <a:effectRef idx="0">
          <a:schemeClr val="dk2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25407" tIns="125407" rIns="125407" bIns="125407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fld id="{6A18C735-20EA-40C4-BA8E-67F190D98353}" type="TxLink">
            <a:rPr lang="en-US" sz="1600" b="1" i="0" u="none" strike="noStrike" kern="1200">
              <a:solidFill>
                <a:schemeClr val="bg1">
                  <a:lumMod val="85000"/>
                </a:schemeClr>
              </a:solidFill>
              <a:latin typeface="Calibri"/>
              <a:cs typeface="Calibri"/>
            </a:rPr>
            <a:pPr marL="0" lvl="0" indent="0" algn="ctr" defTabSz="1111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t>Total Shares</a:t>
          </a:fld>
          <a:endParaRPr lang="pl-PL" sz="13800" b="1" kern="12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13</xdr:col>
      <xdr:colOff>426783</xdr:colOff>
      <xdr:row>25</xdr:row>
      <xdr:rowOff>104114</xdr:rowOff>
    </xdr:from>
    <xdr:to>
      <xdr:col>16</xdr:col>
      <xdr:colOff>35416</xdr:colOff>
      <xdr:row>27</xdr:row>
      <xdr:rowOff>129685</xdr:rowOff>
    </xdr:to>
    <xdr:sp macro="" textlink="Wzrost!L12">
      <xdr:nvSpPr>
        <xdr:cNvPr id="54" name="Dowolny kształt: kształt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8456358" y="4676114"/>
          <a:ext cx="1437433" cy="406571"/>
        </a:xfrm>
        <a:custGeom>
          <a:avLst/>
          <a:gdLst>
            <a:gd name="connsiteX0" fmla="*/ 0 w 4572000"/>
            <a:gd name="connsiteY0" fmla="*/ 102962 h 617760"/>
            <a:gd name="connsiteX1" fmla="*/ 102962 w 4572000"/>
            <a:gd name="connsiteY1" fmla="*/ 0 h 617760"/>
            <a:gd name="connsiteX2" fmla="*/ 4469038 w 4572000"/>
            <a:gd name="connsiteY2" fmla="*/ 0 h 617760"/>
            <a:gd name="connsiteX3" fmla="*/ 4572000 w 4572000"/>
            <a:gd name="connsiteY3" fmla="*/ 102962 h 617760"/>
            <a:gd name="connsiteX4" fmla="*/ 4572000 w 4572000"/>
            <a:gd name="connsiteY4" fmla="*/ 514798 h 617760"/>
            <a:gd name="connsiteX5" fmla="*/ 4469038 w 4572000"/>
            <a:gd name="connsiteY5" fmla="*/ 617760 h 617760"/>
            <a:gd name="connsiteX6" fmla="*/ 102962 w 4572000"/>
            <a:gd name="connsiteY6" fmla="*/ 617760 h 617760"/>
            <a:gd name="connsiteX7" fmla="*/ 0 w 4572000"/>
            <a:gd name="connsiteY7" fmla="*/ 514798 h 617760"/>
            <a:gd name="connsiteX8" fmla="*/ 0 w 4572000"/>
            <a:gd name="connsiteY8" fmla="*/ 102962 h 617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572000" h="617760">
              <a:moveTo>
                <a:pt x="0" y="102962"/>
              </a:moveTo>
              <a:cubicBezTo>
                <a:pt x="0" y="46098"/>
                <a:pt x="46098" y="0"/>
                <a:pt x="102962" y="0"/>
              </a:cubicBezTo>
              <a:lnTo>
                <a:pt x="4469038" y="0"/>
              </a:lnTo>
              <a:cubicBezTo>
                <a:pt x="4525902" y="0"/>
                <a:pt x="4572000" y="46098"/>
                <a:pt x="4572000" y="102962"/>
              </a:cubicBezTo>
              <a:lnTo>
                <a:pt x="4572000" y="514798"/>
              </a:lnTo>
              <a:cubicBezTo>
                <a:pt x="4572000" y="571662"/>
                <a:pt x="4525902" y="617760"/>
                <a:pt x="4469038" y="617760"/>
              </a:cubicBezTo>
              <a:lnTo>
                <a:pt x="102962" y="617760"/>
              </a:lnTo>
              <a:cubicBezTo>
                <a:pt x="46098" y="617760"/>
                <a:pt x="0" y="571662"/>
                <a:pt x="0" y="514798"/>
              </a:cubicBezTo>
              <a:lnTo>
                <a:pt x="0" y="102962"/>
              </a:lnTo>
              <a:close/>
            </a:path>
          </a:pathLst>
        </a:custGeom>
        <a:noFill/>
        <a:ln>
          <a:noFill/>
        </a:ln>
      </xdr:spPr>
      <xdr:style>
        <a:lnRef idx="2">
          <a:schemeClr val="lt2">
            <a:hueOff val="0"/>
            <a:satOff val="0"/>
            <a:lumOff val="0"/>
            <a:alphaOff val="0"/>
          </a:schemeClr>
        </a:lnRef>
        <a:fillRef idx="1">
          <a:schemeClr val="dk2">
            <a:hueOff val="0"/>
            <a:satOff val="0"/>
            <a:lumOff val="0"/>
            <a:alphaOff val="0"/>
          </a:schemeClr>
        </a:fillRef>
        <a:effectRef idx="0">
          <a:schemeClr val="dk2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25407" tIns="125407" rIns="125407" bIns="125407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fld id="{7D75FD9E-3661-4D86-9405-CB097562D6EA}" type="TxLink">
            <a:rPr lang="en-US" sz="1600" b="1" i="0" u="none" strike="noStrike" kern="1200">
              <a:solidFill>
                <a:schemeClr val="bg1">
                  <a:lumMod val="85000"/>
                </a:schemeClr>
              </a:solidFill>
              <a:latin typeface="Calibri"/>
              <a:cs typeface="Calibri"/>
            </a:rPr>
            <a:pPr marL="0" lvl="0" indent="0" algn="ctr" defTabSz="1111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t>-3.38%</a:t>
          </a:fld>
          <a:endParaRPr lang="pl-PL" sz="23900" b="1" kern="12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 editAs="oneCell">
    <xdr:from>
      <xdr:col>28</xdr:col>
      <xdr:colOff>257174</xdr:colOff>
      <xdr:row>31</xdr:row>
      <xdr:rowOff>66675</xdr:rowOff>
    </xdr:from>
    <xdr:to>
      <xdr:col>29</xdr:col>
      <xdr:colOff>16521</xdr:colOff>
      <xdr:row>33</xdr:row>
      <xdr:rowOff>30435</xdr:rowOff>
    </xdr:to>
    <xdr:pic>
      <xdr:nvPicPr>
        <xdr:cNvPr id="9" name="Grafika 8" descr="Podkładka — odznaka z wypełnieniem pełnym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17430749" y="5781675"/>
          <a:ext cx="368947" cy="344760"/>
        </a:xfrm>
        <a:prstGeom prst="rect">
          <a:avLst/>
        </a:prstGeom>
      </xdr:spPr>
    </xdr:pic>
    <xdr:clientData/>
  </xdr:twoCellAnchor>
  <xdr:twoCellAnchor editAs="oneCell">
    <xdr:from>
      <xdr:col>28</xdr:col>
      <xdr:colOff>220485</xdr:colOff>
      <xdr:row>9</xdr:row>
      <xdr:rowOff>47129</xdr:rowOff>
    </xdr:from>
    <xdr:to>
      <xdr:col>28</xdr:col>
      <xdr:colOff>601357</xdr:colOff>
      <xdr:row>11</xdr:row>
      <xdr:rowOff>52799</xdr:rowOff>
    </xdr:to>
    <xdr:pic>
      <xdr:nvPicPr>
        <xdr:cNvPr id="15" name="Grafika 14" descr="Wykres radarowy z wypełnieniem pełnym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7394060" y="1571129"/>
          <a:ext cx="380872" cy="386670"/>
        </a:xfrm>
        <a:prstGeom prst="rect">
          <a:avLst/>
        </a:prstGeom>
      </xdr:spPr>
    </xdr:pic>
    <xdr:clientData/>
  </xdr:twoCellAnchor>
  <xdr:twoCellAnchor>
    <xdr:from>
      <xdr:col>26</xdr:col>
      <xdr:colOff>436246</xdr:colOff>
      <xdr:row>36</xdr:row>
      <xdr:rowOff>93344</xdr:rowOff>
    </xdr:from>
    <xdr:to>
      <xdr:col>30</xdr:col>
      <xdr:colOff>283845</xdr:colOff>
      <xdr:row>38</xdr:row>
      <xdr:rowOff>130345</xdr:rowOff>
    </xdr:to>
    <xdr:sp macro="" textlink="">
      <xdr:nvSpPr>
        <xdr:cNvPr id="46" name="Dowolny kształt: kształt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6390621" y="6760844"/>
          <a:ext cx="2285999" cy="418001"/>
        </a:xfrm>
        <a:custGeom>
          <a:avLst/>
          <a:gdLst>
            <a:gd name="connsiteX0" fmla="*/ 0 w 4572000"/>
            <a:gd name="connsiteY0" fmla="*/ 102962 h 617760"/>
            <a:gd name="connsiteX1" fmla="*/ 102962 w 4572000"/>
            <a:gd name="connsiteY1" fmla="*/ 0 h 617760"/>
            <a:gd name="connsiteX2" fmla="*/ 4469038 w 4572000"/>
            <a:gd name="connsiteY2" fmla="*/ 0 h 617760"/>
            <a:gd name="connsiteX3" fmla="*/ 4572000 w 4572000"/>
            <a:gd name="connsiteY3" fmla="*/ 102962 h 617760"/>
            <a:gd name="connsiteX4" fmla="*/ 4572000 w 4572000"/>
            <a:gd name="connsiteY4" fmla="*/ 514798 h 617760"/>
            <a:gd name="connsiteX5" fmla="*/ 4469038 w 4572000"/>
            <a:gd name="connsiteY5" fmla="*/ 617760 h 617760"/>
            <a:gd name="connsiteX6" fmla="*/ 102962 w 4572000"/>
            <a:gd name="connsiteY6" fmla="*/ 617760 h 617760"/>
            <a:gd name="connsiteX7" fmla="*/ 0 w 4572000"/>
            <a:gd name="connsiteY7" fmla="*/ 514798 h 617760"/>
            <a:gd name="connsiteX8" fmla="*/ 0 w 4572000"/>
            <a:gd name="connsiteY8" fmla="*/ 102962 h 617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572000" h="617760">
              <a:moveTo>
                <a:pt x="0" y="102962"/>
              </a:moveTo>
              <a:cubicBezTo>
                <a:pt x="0" y="46098"/>
                <a:pt x="46098" y="0"/>
                <a:pt x="102962" y="0"/>
              </a:cubicBezTo>
              <a:lnTo>
                <a:pt x="4469038" y="0"/>
              </a:lnTo>
              <a:cubicBezTo>
                <a:pt x="4525902" y="0"/>
                <a:pt x="4572000" y="46098"/>
                <a:pt x="4572000" y="102962"/>
              </a:cubicBezTo>
              <a:lnTo>
                <a:pt x="4572000" y="514798"/>
              </a:lnTo>
              <a:cubicBezTo>
                <a:pt x="4572000" y="571662"/>
                <a:pt x="4525902" y="617760"/>
                <a:pt x="4469038" y="617760"/>
              </a:cubicBezTo>
              <a:lnTo>
                <a:pt x="102962" y="617760"/>
              </a:lnTo>
              <a:cubicBezTo>
                <a:pt x="46098" y="617760"/>
                <a:pt x="0" y="571662"/>
                <a:pt x="0" y="514798"/>
              </a:cubicBezTo>
              <a:lnTo>
                <a:pt x="0" y="102962"/>
              </a:lnTo>
              <a:close/>
            </a:path>
          </a:pathLst>
        </a:custGeom>
        <a:noFill/>
        <a:ln>
          <a:noFill/>
        </a:ln>
      </xdr:spPr>
      <xdr:style>
        <a:lnRef idx="2">
          <a:schemeClr val="lt2">
            <a:hueOff val="0"/>
            <a:satOff val="0"/>
            <a:lumOff val="0"/>
            <a:alphaOff val="0"/>
          </a:schemeClr>
        </a:lnRef>
        <a:fillRef idx="1">
          <a:schemeClr val="dk2">
            <a:hueOff val="0"/>
            <a:satOff val="0"/>
            <a:lumOff val="0"/>
            <a:alphaOff val="0"/>
          </a:schemeClr>
        </a:fillRef>
        <a:effectRef idx="0">
          <a:schemeClr val="dk2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25407" tIns="125407" rIns="125407" bIns="125407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l-PL" sz="1200" b="0" i="0" u="none" strike="noStrike" kern="1200">
              <a:solidFill>
                <a:schemeClr val="bg1"/>
              </a:solidFill>
              <a:latin typeface="Calibri"/>
              <a:cs typeface="Calibri"/>
            </a:rPr>
            <a:t>Debt/</a:t>
          </a:r>
          <a:br>
            <a:rPr lang="pl-PL" sz="1200" b="0" i="0" u="none" strike="noStrike" kern="1200">
              <a:solidFill>
                <a:schemeClr val="bg1"/>
              </a:solidFill>
              <a:latin typeface="Calibri"/>
              <a:cs typeface="Calibri"/>
            </a:rPr>
          </a:br>
          <a:r>
            <a:rPr lang="pl-PL" sz="1200" b="0" i="0" u="none" strike="noStrike" kern="1200">
              <a:solidFill>
                <a:schemeClr val="bg1"/>
              </a:solidFill>
              <a:latin typeface="Calibri"/>
              <a:cs typeface="Calibri"/>
            </a:rPr>
            <a:t>EBITDA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590550</xdr:colOff>
          <xdr:row>31</xdr:row>
          <xdr:rowOff>85725</xdr:rowOff>
        </xdr:from>
        <xdr:to>
          <xdr:col>2</xdr:col>
          <xdr:colOff>200025</xdr:colOff>
          <xdr:row>32</xdr:row>
          <xdr:rowOff>114300</xdr:rowOff>
        </xdr:to>
        <xdr:sp macro="" textlink="">
          <xdr:nvSpPr>
            <xdr:cNvPr id="2177" name="Scroll Bar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205740</xdr:colOff>
      <xdr:row>31</xdr:row>
      <xdr:rowOff>17145</xdr:rowOff>
    </xdr:from>
    <xdr:to>
      <xdr:col>4</xdr:col>
      <xdr:colOff>373381</xdr:colOff>
      <xdr:row>33</xdr:row>
      <xdr:rowOff>54146</xdr:rowOff>
    </xdr:to>
    <xdr:sp macro="" textlink="Wycena!H44">
      <xdr:nvSpPr>
        <xdr:cNvPr id="75" name="Dowolny kształt: kształt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424940" y="5932170"/>
          <a:ext cx="1386841" cy="418001"/>
        </a:xfrm>
        <a:custGeom>
          <a:avLst/>
          <a:gdLst>
            <a:gd name="connsiteX0" fmla="*/ 0 w 4572000"/>
            <a:gd name="connsiteY0" fmla="*/ 102962 h 617760"/>
            <a:gd name="connsiteX1" fmla="*/ 102962 w 4572000"/>
            <a:gd name="connsiteY1" fmla="*/ 0 h 617760"/>
            <a:gd name="connsiteX2" fmla="*/ 4469038 w 4572000"/>
            <a:gd name="connsiteY2" fmla="*/ 0 h 617760"/>
            <a:gd name="connsiteX3" fmla="*/ 4572000 w 4572000"/>
            <a:gd name="connsiteY3" fmla="*/ 102962 h 617760"/>
            <a:gd name="connsiteX4" fmla="*/ 4572000 w 4572000"/>
            <a:gd name="connsiteY4" fmla="*/ 514798 h 617760"/>
            <a:gd name="connsiteX5" fmla="*/ 4469038 w 4572000"/>
            <a:gd name="connsiteY5" fmla="*/ 617760 h 617760"/>
            <a:gd name="connsiteX6" fmla="*/ 102962 w 4572000"/>
            <a:gd name="connsiteY6" fmla="*/ 617760 h 617760"/>
            <a:gd name="connsiteX7" fmla="*/ 0 w 4572000"/>
            <a:gd name="connsiteY7" fmla="*/ 514798 h 617760"/>
            <a:gd name="connsiteX8" fmla="*/ 0 w 4572000"/>
            <a:gd name="connsiteY8" fmla="*/ 102962 h 617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572000" h="617760">
              <a:moveTo>
                <a:pt x="0" y="102962"/>
              </a:moveTo>
              <a:cubicBezTo>
                <a:pt x="0" y="46098"/>
                <a:pt x="46098" y="0"/>
                <a:pt x="102962" y="0"/>
              </a:cubicBezTo>
              <a:lnTo>
                <a:pt x="4469038" y="0"/>
              </a:lnTo>
              <a:cubicBezTo>
                <a:pt x="4525902" y="0"/>
                <a:pt x="4572000" y="46098"/>
                <a:pt x="4572000" y="102962"/>
              </a:cubicBezTo>
              <a:lnTo>
                <a:pt x="4572000" y="514798"/>
              </a:lnTo>
              <a:cubicBezTo>
                <a:pt x="4572000" y="571662"/>
                <a:pt x="4525902" y="617760"/>
                <a:pt x="4469038" y="617760"/>
              </a:cubicBezTo>
              <a:lnTo>
                <a:pt x="102962" y="617760"/>
              </a:lnTo>
              <a:cubicBezTo>
                <a:pt x="46098" y="617760"/>
                <a:pt x="0" y="571662"/>
                <a:pt x="0" y="514798"/>
              </a:cubicBezTo>
              <a:lnTo>
                <a:pt x="0" y="102962"/>
              </a:lnTo>
              <a:close/>
            </a:path>
          </a:pathLst>
        </a:custGeom>
        <a:noFill/>
        <a:ln>
          <a:noFill/>
        </a:ln>
      </xdr:spPr>
      <xdr:style>
        <a:lnRef idx="2">
          <a:schemeClr val="lt2">
            <a:hueOff val="0"/>
            <a:satOff val="0"/>
            <a:lumOff val="0"/>
            <a:alphaOff val="0"/>
          </a:schemeClr>
        </a:lnRef>
        <a:fillRef idx="1">
          <a:schemeClr val="dk2">
            <a:hueOff val="0"/>
            <a:satOff val="0"/>
            <a:lumOff val="0"/>
            <a:alphaOff val="0"/>
          </a:schemeClr>
        </a:fillRef>
        <a:effectRef idx="0">
          <a:schemeClr val="dk2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25407" tIns="125407" rIns="125407" bIns="125407" numCol="1" spcCol="1270" anchor="ctr" anchorCtr="0">
          <a:noAutofit/>
        </a:bodyPr>
        <a:lstStyle/>
        <a:p>
          <a:pPr marL="0" lvl="0" indent="0" algn="l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fld id="{7BFF6EB1-ACBB-42CC-B5DD-35DB712432F0}" type="TxLink">
            <a:rPr lang="en-US" sz="1200" b="0" i="0" u="none" strike="noStrike" kern="1200">
              <a:solidFill>
                <a:schemeClr val="bg1"/>
              </a:solidFill>
              <a:latin typeface="Calibri"/>
              <a:cs typeface="Calibri"/>
            </a:rPr>
            <a:pPr marL="0" lvl="0" indent="0" algn="l" defTabSz="1111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t>Min CAGR R: 12%</a:t>
          </a:fld>
          <a:endParaRPr lang="pl-PL" sz="1600" b="0" i="0" u="none" strike="noStrike" kern="1200">
            <a:solidFill>
              <a:schemeClr val="bg1"/>
            </a:solidFill>
            <a:latin typeface="Calibri"/>
            <a:cs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590550</xdr:colOff>
          <xdr:row>33</xdr:row>
          <xdr:rowOff>57150</xdr:rowOff>
        </xdr:from>
        <xdr:to>
          <xdr:col>2</xdr:col>
          <xdr:colOff>200025</xdr:colOff>
          <xdr:row>34</xdr:row>
          <xdr:rowOff>85725</xdr:rowOff>
        </xdr:to>
        <xdr:sp macro="" textlink="">
          <xdr:nvSpPr>
            <xdr:cNvPr id="2191" name="Scroll Bar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0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207645</xdr:colOff>
      <xdr:row>32</xdr:row>
      <xdr:rowOff>160020</xdr:rowOff>
    </xdr:from>
    <xdr:to>
      <xdr:col>4</xdr:col>
      <xdr:colOff>230505</xdr:colOff>
      <xdr:row>35</xdr:row>
      <xdr:rowOff>6521</xdr:rowOff>
    </xdr:to>
    <xdr:sp macro="" textlink="Wycena!H42">
      <xdr:nvSpPr>
        <xdr:cNvPr id="78" name="Dowolny kształt: kształt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426845" y="6265545"/>
          <a:ext cx="1242060" cy="418001"/>
        </a:xfrm>
        <a:custGeom>
          <a:avLst/>
          <a:gdLst>
            <a:gd name="connsiteX0" fmla="*/ 0 w 4572000"/>
            <a:gd name="connsiteY0" fmla="*/ 102962 h 617760"/>
            <a:gd name="connsiteX1" fmla="*/ 102962 w 4572000"/>
            <a:gd name="connsiteY1" fmla="*/ 0 h 617760"/>
            <a:gd name="connsiteX2" fmla="*/ 4469038 w 4572000"/>
            <a:gd name="connsiteY2" fmla="*/ 0 h 617760"/>
            <a:gd name="connsiteX3" fmla="*/ 4572000 w 4572000"/>
            <a:gd name="connsiteY3" fmla="*/ 102962 h 617760"/>
            <a:gd name="connsiteX4" fmla="*/ 4572000 w 4572000"/>
            <a:gd name="connsiteY4" fmla="*/ 514798 h 617760"/>
            <a:gd name="connsiteX5" fmla="*/ 4469038 w 4572000"/>
            <a:gd name="connsiteY5" fmla="*/ 617760 h 617760"/>
            <a:gd name="connsiteX6" fmla="*/ 102962 w 4572000"/>
            <a:gd name="connsiteY6" fmla="*/ 617760 h 617760"/>
            <a:gd name="connsiteX7" fmla="*/ 0 w 4572000"/>
            <a:gd name="connsiteY7" fmla="*/ 514798 h 617760"/>
            <a:gd name="connsiteX8" fmla="*/ 0 w 4572000"/>
            <a:gd name="connsiteY8" fmla="*/ 102962 h 617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572000" h="617760">
              <a:moveTo>
                <a:pt x="0" y="102962"/>
              </a:moveTo>
              <a:cubicBezTo>
                <a:pt x="0" y="46098"/>
                <a:pt x="46098" y="0"/>
                <a:pt x="102962" y="0"/>
              </a:cubicBezTo>
              <a:lnTo>
                <a:pt x="4469038" y="0"/>
              </a:lnTo>
              <a:cubicBezTo>
                <a:pt x="4525902" y="0"/>
                <a:pt x="4572000" y="46098"/>
                <a:pt x="4572000" y="102962"/>
              </a:cubicBezTo>
              <a:lnTo>
                <a:pt x="4572000" y="514798"/>
              </a:lnTo>
              <a:cubicBezTo>
                <a:pt x="4572000" y="571662"/>
                <a:pt x="4525902" y="617760"/>
                <a:pt x="4469038" y="617760"/>
              </a:cubicBezTo>
              <a:lnTo>
                <a:pt x="102962" y="617760"/>
              </a:lnTo>
              <a:cubicBezTo>
                <a:pt x="46098" y="617760"/>
                <a:pt x="0" y="571662"/>
                <a:pt x="0" y="514798"/>
              </a:cubicBezTo>
              <a:lnTo>
                <a:pt x="0" y="102962"/>
              </a:lnTo>
              <a:close/>
            </a:path>
          </a:pathLst>
        </a:custGeom>
        <a:noFill/>
        <a:ln>
          <a:noFill/>
        </a:ln>
      </xdr:spPr>
      <xdr:style>
        <a:lnRef idx="2">
          <a:schemeClr val="lt2">
            <a:hueOff val="0"/>
            <a:satOff val="0"/>
            <a:lumOff val="0"/>
            <a:alphaOff val="0"/>
          </a:schemeClr>
        </a:lnRef>
        <a:fillRef idx="1">
          <a:schemeClr val="dk2">
            <a:hueOff val="0"/>
            <a:satOff val="0"/>
            <a:lumOff val="0"/>
            <a:alphaOff val="0"/>
          </a:schemeClr>
        </a:fillRef>
        <a:effectRef idx="0">
          <a:schemeClr val="dk2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25407" tIns="125407" rIns="125407" bIns="125407" numCol="1" spcCol="1270" anchor="ctr" anchorCtr="0">
          <a:noAutofit/>
        </a:bodyPr>
        <a:lstStyle/>
        <a:p>
          <a:pPr marL="0" lvl="0" indent="0" algn="l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fld id="{98295E4F-60E0-41F1-8612-A910594273F2}" type="TxLink">
            <a:rPr lang="en-US" sz="1200" b="0" i="0" u="none" strike="noStrike" kern="1200">
              <a:solidFill>
                <a:schemeClr val="bg1"/>
              </a:solidFill>
              <a:latin typeface="Calibri"/>
              <a:cs typeface="Calibri"/>
            </a:rPr>
            <a:pPr marL="0" lvl="0" indent="0" algn="l" defTabSz="1111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t>Est. PE: 15</a:t>
          </a:fld>
          <a:endParaRPr lang="pl-PL" sz="1600" b="0" i="0" u="none" strike="noStrike" kern="1200">
            <a:solidFill>
              <a:schemeClr val="bg1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346710</xdr:colOff>
      <xdr:row>31</xdr:row>
      <xdr:rowOff>66675</xdr:rowOff>
    </xdr:from>
    <xdr:to>
      <xdr:col>14</xdr:col>
      <xdr:colOff>130629</xdr:colOff>
      <xdr:row>38</xdr:row>
      <xdr:rowOff>85725</xdr:rowOff>
    </xdr:to>
    <xdr:graphicFrame macro="">
      <xdr:nvGraphicFramePr>
        <xdr:cNvPr id="82" name="Wykres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460738</xdr:colOff>
      <xdr:row>34</xdr:row>
      <xdr:rowOff>164041</xdr:rowOff>
    </xdr:from>
    <xdr:to>
      <xdr:col>5</xdr:col>
      <xdr:colOff>96067</xdr:colOff>
      <xdr:row>37</xdr:row>
      <xdr:rowOff>10542</xdr:rowOff>
    </xdr:to>
    <xdr:sp macro="" textlink="Wycena!G46">
      <xdr:nvSpPr>
        <xdr:cNvPr id="83" name="Dowolny kształt: kształt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460738" y="6826098"/>
          <a:ext cx="2683329" cy="434330"/>
        </a:xfrm>
        <a:custGeom>
          <a:avLst/>
          <a:gdLst>
            <a:gd name="connsiteX0" fmla="*/ 0 w 4572000"/>
            <a:gd name="connsiteY0" fmla="*/ 102962 h 617760"/>
            <a:gd name="connsiteX1" fmla="*/ 102962 w 4572000"/>
            <a:gd name="connsiteY1" fmla="*/ 0 h 617760"/>
            <a:gd name="connsiteX2" fmla="*/ 4469038 w 4572000"/>
            <a:gd name="connsiteY2" fmla="*/ 0 h 617760"/>
            <a:gd name="connsiteX3" fmla="*/ 4572000 w 4572000"/>
            <a:gd name="connsiteY3" fmla="*/ 102962 h 617760"/>
            <a:gd name="connsiteX4" fmla="*/ 4572000 w 4572000"/>
            <a:gd name="connsiteY4" fmla="*/ 514798 h 617760"/>
            <a:gd name="connsiteX5" fmla="*/ 4469038 w 4572000"/>
            <a:gd name="connsiteY5" fmla="*/ 617760 h 617760"/>
            <a:gd name="connsiteX6" fmla="*/ 102962 w 4572000"/>
            <a:gd name="connsiteY6" fmla="*/ 617760 h 617760"/>
            <a:gd name="connsiteX7" fmla="*/ 0 w 4572000"/>
            <a:gd name="connsiteY7" fmla="*/ 514798 h 617760"/>
            <a:gd name="connsiteX8" fmla="*/ 0 w 4572000"/>
            <a:gd name="connsiteY8" fmla="*/ 102962 h 617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572000" h="617760">
              <a:moveTo>
                <a:pt x="0" y="102962"/>
              </a:moveTo>
              <a:cubicBezTo>
                <a:pt x="0" y="46098"/>
                <a:pt x="46098" y="0"/>
                <a:pt x="102962" y="0"/>
              </a:cubicBezTo>
              <a:lnTo>
                <a:pt x="4469038" y="0"/>
              </a:lnTo>
              <a:cubicBezTo>
                <a:pt x="4525902" y="0"/>
                <a:pt x="4572000" y="46098"/>
                <a:pt x="4572000" y="102962"/>
              </a:cubicBezTo>
              <a:lnTo>
                <a:pt x="4572000" y="514798"/>
              </a:lnTo>
              <a:cubicBezTo>
                <a:pt x="4572000" y="571662"/>
                <a:pt x="4525902" y="617760"/>
                <a:pt x="4469038" y="617760"/>
              </a:cubicBezTo>
              <a:lnTo>
                <a:pt x="102962" y="617760"/>
              </a:lnTo>
              <a:cubicBezTo>
                <a:pt x="46098" y="617760"/>
                <a:pt x="0" y="571662"/>
                <a:pt x="0" y="514798"/>
              </a:cubicBezTo>
              <a:lnTo>
                <a:pt x="0" y="102962"/>
              </a:lnTo>
              <a:close/>
            </a:path>
          </a:pathLst>
        </a:custGeom>
        <a:noFill/>
        <a:ln>
          <a:noFill/>
        </a:ln>
      </xdr:spPr>
      <xdr:style>
        <a:lnRef idx="2">
          <a:schemeClr val="lt2">
            <a:hueOff val="0"/>
            <a:satOff val="0"/>
            <a:lumOff val="0"/>
            <a:alphaOff val="0"/>
          </a:schemeClr>
        </a:lnRef>
        <a:fillRef idx="1">
          <a:schemeClr val="dk2">
            <a:hueOff val="0"/>
            <a:satOff val="0"/>
            <a:lumOff val="0"/>
            <a:alphaOff val="0"/>
          </a:schemeClr>
        </a:fillRef>
        <a:effectRef idx="0">
          <a:schemeClr val="dk2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25407" tIns="125407" rIns="125407" bIns="125407" numCol="1" spcCol="1270" anchor="ctr" anchorCtr="0">
          <a:noAutofit/>
        </a:bodyPr>
        <a:lstStyle/>
        <a:p>
          <a:pPr marL="0" lvl="0" indent="0" algn="l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fld id="{CEC5FF5D-A19E-416A-A033-B39C53FEE43A}" type="TxLink">
            <a:rPr lang="en-US" sz="1400" b="1" i="0" u="none" strike="noStrike" kern="1200">
              <a:solidFill>
                <a:schemeClr val="bg1">
                  <a:lumMod val="85000"/>
                </a:schemeClr>
              </a:solidFill>
              <a:latin typeface="Calibri"/>
              <a:cs typeface="Calibri"/>
            </a:rPr>
            <a:pPr marL="0" lvl="0" indent="0" algn="l" defTabSz="1111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t>Max cena po jakiej można dzisiaj kupić: 35.87</a:t>
          </a:fld>
          <a:endParaRPr lang="pl-PL" sz="2000" b="1" i="0" u="none" strike="noStrike" kern="1200">
            <a:solidFill>
              <a:schemeClr val="bg1">
                <a:lumMod val="85000"/>
              </a:schemeClr>
            </a:solidFill>
            <a:latin typeface="Calibri"/>
            <a:cs typeface="Calibri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161925</xdr:colOff>
          <xdr:row>7</xdr:row>
          <xdr:rowOff>0</xdr:rowOff>
        </xdr:from>
        <xdr:to>
          <xdr:col>15</xdr:col>
          <xdr:colOff>66675</xdr:colOff>
          <xdr:row>8</xdr:row>
          <xdr:rowOff>0</xdr:rowOff>
        </xdr:to>
        <xdr:sp macro="" textlink="">
          <xdr:nvSpPr>
            <xdr:cNvPr id="2317" name="Drop Down 269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0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104775</xdr:colOff>
          <xdr:row>7</xdr:row>
          <xdr:rowOff>0</xdr:rowOff>
        </xdr:from>
        <xdr:to>
          <xdr:col>17</xdr:col>
          <xdr:colOff>9525</xdr:colOff>
          <xdr:row>8</xdr:row>
          <xdr:rowOff>0</xdr:rowOff>
        </xdr:to>
        <xdr:sp macro="" textlink="">
          <xdr:nvSpPr>
            <xdr:cNvPr id="2319" name="Drop Down 271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0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498635</xdr:colOff>
          <xdr:row>13</xdr:row>
          <xdr:rowOff>3015</xdr:rowOff>
        </xdr:from>
        <xdr:to>
          <xdr:col>6</xdr:col>
          <xdr:colOff>689135</xdr:colOff>
          <xdr:row>16</xdr:row>
          <xdr:rowOff>42703</xdr:rowOff>
        </xdr:to>
        <xdr:pic>
          <xdr:nvPicPr>
            <xdr:cNvPr id="85" name="Obraz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Mnożniki ceny'!AE4:AE20" spid="_x0000_s33530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 rot="5400000">
              <a:off x="2421891" y="975359"/>
              <a:ext cx="611188" cy="3238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503716</xdr:colOff>
          <xdr:row>16</xdr:row>
          <xdr:rowOff>34764</xdr:rowOff>
        </xdr:from>
        <xdr:to>
          <xdr:col>6</xdr:col>
          <xdr:colOff>694216</xdr:colOff>
          <xdr:row>19</xdr:row>
          <xdr:rowOff>72547</xdr:rowOff>
        </xdr:to>
        <xdr:pic>
          <xdr:nvPicPr>
            <xdr:cNvPr id="87" name="Obraz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Mnożniki ceny'!AC4:AC20" spid="_x0000_s33531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 rot="5400000">
              <a:off x="2427924" y="1577656"/>
              <a:ext cx="609283" cy="3238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112080</xdr:colOff>
          <xdr:row>35</xdr:row>
          <xdr:rowOff>64134</xdr:rowOff>
        </xdr:from>
        <xdr:to>
          <xdr:col>28</xdr:col>
          <xdr:colOff>247649</xdr:colOff>
          <xdr:row>41</xdr:row>
          <xdr:rowOff>159384</xdr:rowOff>
        </xdr:to>
        <xdr:pic>
          <xdr:nvPicPr>
            <xdr:cNvPr id="91" name="Obraz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PicPr>
              <a:picLocks noChangeArrowheads="1"/>
              <a:extLst>
                <a:ext uri="{84589F7E-364E-4C9E-8A38-B11213B215E9}">
                  <a14:cameraTool cellRange="Jakość!$R$11:$S$28" spid="_x0000_s33532"/>
                </a:ext>
              </a:extLst>
            </xdr:cNvPicPr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 bwMode="auto">
            <a:xfrm rot="5400000">
              <a:off x="14905515" y="5263674"/>
              <a:ext cx="1238250" cy="379316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409574</xdr:colOff>
          <xdr:row>31</xdr:row>
          <xdr:rowOff>80010</xdr:rowOff>
        </xdr:from>
        <xdr:to>
          <xdr:col>28</xdr:col>
          <xdr:colOff>123268</xdr:colOff>
          <xdr:row>35</xdr:row>
          <xdr:rowOff>38010</xdr:rowOff>
        </xdr:to>
        <xdr:pic>
          <xdr:nvPicPr>
            <xdr:cNvPr id="92" name="Obraz 91">
              <a:extLst>
                <a:ext uri="{FF2B5EF4-FFF2-40B4-BE49-F238E27FC236}">
                  <a16:creationId xmlns:a16="http://schemas.microsoft.com/office/drawing/2014/main" id="{00000000-0008-0000-0000-00005C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Jakość!$A$37:$F$40" spid="_x0000_s33533"/>
                </a:ext>
              </a:extLst>
            </xdr:cNvPicPr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 bwMode="auto">
            <a:xfrm>
              <a:off x="13925549" y="5795010"/>
              <a:ext cx="3371294" cy="720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504827</xdr:colOff>
          <xdr:row>9</xdr:row>
          <xdr:rowOff>104773</xdr:rowOff>
        </xdr:from>
        <xdr:to>
          <xdr:col>6</xdr:col>
          <xdr:colOff>695327</xdr:colOff>
          <xdr:row>12</xdr:row>
          <xdr:rowOff>144461</xdr:rowOff>
        </xdr:to>
        <xdr:pic>
          <xdr:nvPicPr>
            <xdr:cNvPr id="93" name="Obraz 92">
              <a:extLst>
                <a:ext uri="{FF2B5EF4-FFF2-40B4-BE49-F238E27FC236}">
                  <a16:creationId xmlns:a16="http://schemas.microsoft.com/office/drawing/2014/main" id="{00000000-0008-0000-0000-00005D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Mnożniki ceny'!AG4:AG20" spid="_x0000_s33534"/>
                </a:ext>
              </a:extLst>
            </xdr:cNvPicPr>
          </xdr:nvPicPr>
          <xdr:blipFill>
            <a:blip xmlns:r="http://schemas.openxmlformats.org/officeDocument/2006/relationships" r:embed="rId27"/>
            <a:srcRect/>
            <a:stretch>
              <a:fillRect/>
            </a:stretch>
          </xdr:blipFill>
          <xdr:spPr bwMode="auto">
            <a:xfrm rot="5400000">
              <a:off x="2433640" y="311148"/>
              <a:ext cx="611188" cy="32464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600075</xdr:colOff>
          <xdr:row>6</xdr:row>
          <xdr:rowOff>171450</xdr:rowOff>
        </xdr:from>
        <xdr:to>
          <xdr:col>24</xdr:col>
          <xdr:colOff>85725</xdr:colOff>
          <xdr:row>7</xdr:row>
          <xdr:rowOff>171450</xdr:rowOff>
        </xdr:to>
        <xdr:sp macro="" textlink="">
          <xdr:nvSpPr>
            <xdr:cNvPr id="2337" name="Drop Down 289" hidden="1">
              <a:extLst>
                <a:ext uri="{63B3BB69-23CF-44E3-9099-C40C66FF867C}">
                  <a14:compatExt spid="_x0000_s2337"/>
                </a:ext>
                <a:ext uri="{FF2B5EF4-FFF2-40B4-BE49-F238E27FC236}">
                  <a16:creationId xmlns:a16="http://schemas.microsoft.com/office/drawing/2014/main" id="{00000000-0008-0000-0000-00002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116025</xdr:colOff>
      <xdr:row>20</xdr:row>
      <xdr:rowOff>40312</xdr:rowOff>
    </xdr:from>
    <xdr:to>
      <xdr:col>20</xdr:col>
      <xdr:colOff>449626</xdr:colOff>
      <xdr:row>31</xdr:row>
      <xdr:rowOff>53654</xdr:rowOff>
    </xdr:to>
    <xdr:graphicFrame macro="">
      <xdr:nvGraphicFramePr>
        <xdr:cNvPr id="63" name="Wykres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16</xdr:col>
      <xdr:colOff>601848</xdr:colOff>
      <xdr:row>23</xdr:row>
      <xdr:rowOff>103544</xdr:rowOff>
    </xdr:from>
    <xdr:to>
      <xdr:col>19</xdr:col>
      <xdr:colOff>312215</xdr:colOff>
      <xdr:row>25</xdr:row>
      <xdr:rowOff>129115</xdr:rowOff>
    </xdr:to>
    <xdr:sp macro="" textlink="Wzrost!A10">
      <xdr:nvSpPr>
        <xdr:cNvPr id="64" name="Dowolny kształt: kształt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0412598" y="4294544"/>
          <a:ext cx="1528776" cy="406571"/>
        </a:xfrm>
        <a:custGeom>
          <a:avLst/>
          <a:gdLst>
            <a:gd name="connsiteX0" fmla="*/ 0 w 4572000"/>
            <a:gd name="connsiteY0" fmla="*/ 102962 h 617760"/>
            <a:gd name="connsiteX1" fmla="*/ 102962 w 4572000"/>
            <a:gd name="connsiteY1" fmla="*/ 0 h 617760"/>
            <a:gd name="connsiteX2" fmla="*/ 4469038 w 4572000"/>
            <a:gd name="connsiteY2" fmla="*/ 0 h 617760"/>
            <a:gd name="connsiteX3" fmla="*/ 4572000 w 4572000"/>
            <a:gd name="connsiteY3" fmla="*/ 102962 h 617760"/>
            <a:gd name="connsiteX4" fmla="*/ 4572000 w 4572000"/>
            <a:gd name="connsiteY4" fmla="*/ 514798 h 617760"/>
            <a:gd name="connsiteX5" fmla="*/ 4469038 w 4572000"/>
            <a:gd name="connsiteY5" fmla="*/ 617760 h 617760"/>
            <a:gd name="connsiteX6" fmla="*/ 102962 w 4572000"/>
            <a:gd name="connsiteY6" fmla="*/ 617760 h 617760"/>
            <a:gd name="connsiteX7" fmla="*/ 0 w 4572000"/>
            <a:gd name="connsiteY7" fmla="*/ 514798 h 617760"/>
            <a:gd name="connsiteX8" fmla="*/ 0 w 4572000"/>
            <a:gd name="connsiteY8" fmla="*/ 102962 h 617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572000" h="617760">
              <a:moveTo>
                <a:pt x="0" y="102962"/>
              </a:moveTo>
              <a:cubicBezTo>
                <a:pt x="0" y="46098"/>
                <a:pt x="46098" y="0"/>
                <a:pt x="102962" y="0"/>
              </a:cubicBezTo>
              <a:lnTo>
                <a:pt x="4469038" y="0"/>
              </a:lnTo>
              <a:cubicBezTo>
                <a:pt x="4525902" y="0"/>
                <a:pt x="4572000" y="46098"/>
                <a:pt x="4572000" y="102962"/>
              </a:cubicBezTo>
              <a:lnTo>
                <a:pt x="4572000" y="514798"/>
              </a:lnTo>
              <a:cubicBezTo>
                <a:pt x="4572000" y="571662"/>
                <a:pt x="4525902" y="617760"/>
                <a:pt x="4469038" y="617760"/>
              </a:cubicBezTo>
              <a:lnTo>
                <a:pt x="102962" y="617760"/>
              </a:lnTo>
              <a:cubicBezTo>
                <a:pt x="46098" y="617760"/>
                <a:pt x="0" y="571662"/>
                <a:pt x="0" y="514798"/>
              </a:cubicBezTo>
              <a:lnTo>
                <a:pt x="0" y="102962"/>
              </a:lnTo>
              <a:close/>
            </a:path>
          </a:pathLst>
        </a:custGeom>
        <a:noFill/>
        <a:ln>
          <a:noFill/>
        </a:ln>
      </xdr:spPr>
      <xdr:style>
        <a:lnRef idx="2">
          <a:schemeClr val="lt2">
            <a:hueOff val="0"/>
            <a:satOff val="0"/>
            <a:lumOff val="0"/>
            <a:alphaOff val="0"/>
          </a:schemeClr>
        </a:lnRef>
        <a:fillRef idx="1">
          <a:schemeClr val="dk2">
            <a:hueOff val="0"/>
            <a:satOff val="0"/>
            <a:lumOff val="0"/>
            <a:alphaOff val="0"/>
          </a:schemeClr>
        </a:fillRef>
        <a:effectRef idx="0">
          <a:schemeClr val="dk2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25407" tIns="125407" rIns="125407" bIns="125407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fld id="{F7EC5417-50FA-4730-8C6D-1BA179A4639A}" type="TxLink">
            <a:rPr lang="en-US" sz="1600" b="1" i="0" u="none" strike="noStrike" kern="1200">
              <a:solidFill>
                <a:schemeClr val="bg1">
                  <a:lumMod val="85000"/>
                </a:schemeClr>
              </a:solidFill>
              <a:latin typeface="Calibri"/>
              <a:cs typeface="Calibri"/>
            </a:rPr>
            <a:pPr marL="0" lvl="0" indent="0" algn="ctr" defTabSz="1111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t>DPS</a:t>
          </a:fld>
          <a:endParaRPr lang="pl-PL" sz="13800" b="1" kern="12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17</xdr:col>
      <xdr:colOff>72666</xdr:colOff>
      <xdr:row>25</xdr:row>
      <xdr:rowOff>35344</xdr:rowOff>
    </xdr:from>
    <xdr:to>
      <xdr:col>19</xdr:col>
      <xdr:colOff>283971</xdr:colOff>
      <xdr:row>27</xdr:row>
      <xdr:rowOff>60915</xdr:rowOff>
    </xdr:to>
    <xdr:sp macro="" textlink="Wzrost!L10">
      <xdr:nvSpPr>
        <xdr:cNvPr id="66" name="Dowolny kształt: kształt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0540641" y="4607344"/>
          <a:ext cx="1430505" cy="406571"/>
        </a:xfrm>
        <a:custGeom>
          <a:avLst/>
          <a:gdLst>
            <a:gd name="connsiteX0" fmla="*/ 0 w 4572000"/>
            <a:gd name="connsiteY0" fmla="*/ 102962 h 617760"/>
            <a:gd name="connsiteX1" fmla="*/ 102962 w 4572000"/>
            <a:gd name="connsiteY1" fmla="*/ 0 h 617760"/>
            <a:gd name="connsiteX2" fmla="*/ 4469038 w 4572000"/>
            <a:gd name="connsiteY2" fmla="*/ 0 h 617760"/>
            <a:gd name="connsiteX3" fmla="*/ 4572000 w 4572000"/>
            <a:gd name="connsiteY3" fmla="*/ 102962 h 617760"/>
            <a:gd name="connsiteX4" fmla="*/ 4572000 w 4572000"/>
            <a:gd name="connsiteY4" fmla="*/ 514798 h 617760"/>
            <a:gd name="connsiteX5" fmla="*/ 4469038 w 4572000"/>
            <a:gd name="connsiteY5" fmla="*/ 617760 h 617760"/>
            <a:gd name="connsiteX6" fmla="*/ 102962 w 4572000"/>
            <a:gd name="connsiteY6" fmla="*/ 617760 h 617760"/>
            <a:gd name="connsiteX7" fmla="*/ 0 w 4572000"/>
            <a:gd name="connsiteY7" fmla="*/ 514798 h 617760"/>
            <a:gd name="connsiteX8" fmla="*/ 0 w 4572000"/>
            <a:gd name="connsiteY8" fmla="*/ 102962 h 617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572000" h="617760">
              <a:moveTo>
                <a:pt x="0" y="102962"/>
              </a:moveTo>
              <a:cubicBezTo>
                <a:pt x="0" y="46098"/>
                <a:pt x="46098" y="0"/>
                <a:pt x="102962" y="0"/>
              </a:cubicBezTo>
              <a:lnTo>
                <a:pt x="4469038" y="0"/>
              </a:lnTo>
              <a:cubicBezTo>
                <a:pt x="4525902" y="0"/>
                <a:pt x="4572000" y="46098"/>
                <a:pt x="4572000" y="102962"/>
              </a:cubicBezTo>
              <a:lnTo>
                <a:pt x="4572000" y="514798"/>
              </a:lnTo>
              <a:cubicBezTo>
                <a:pt x="4572000" y="571662"/>
                <a:pt x="4525902" y="617760"/>
                <a:pt x="4469038" y="617760"/>
              </a:cubicBezTo>
              <a:lnTo>
                <a:pt x="102962" y="617760"/>
              </a:lnTo>
              <a:cubicBezTo>
                <a:pt x="46098" y="617760"/>
                <a:pt x="0" y="571662"/>
                <a:pt x="0" y="514798"/>
              </a:cubicBezTo>
              <a:lnTo>
                <a:pt x="0" y="102962"/>
              </a:lnTo>
              <a:close/>
            </a:path>
          </a:pathLst>
        </a:custGeom>
        <a:noFill/>
        <a:ln>
          <a:noFill/>
        </a:ln>
      </xdr:spPr>
      <xdr:style>
        <a:lnRef idx="2">
          <a:schemeClr val="lt2">
            <a:hueOff val="0"/>
            <a:satOff val="0"/>
            <a:lumOff val="0"/>
            <a:alphaOff val="0"/>
          </a:schemeClr>
        </a:lnRef>
        <a:fillRef idx="1">
          <a:schemeClr val="dk2">
            <a:hueOff val="0"/>
            <a:satOff val="0"/>
            <a:lumOff val="0"/>
            <a:alphaOff val="0"/>
          </a:schemeClr>
        </a:fillRef>
        <a:effectRef idx="0">
          <a:schemeClr val="dk2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25407" tIns="125407" rIns="125407" bIns="125407" numCol="1" spcCol="1270" anchor="ctr" anchorCtr="0">
          <a:noAutofit/>
        </a:bodyPr>
        <a:lstStyle/>
        <a:p>
          <a:pPr marL="0" lvl="0" indent="0" algn="ctr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fld id="{DD6FFB82-5468-4F80-BB40-C3FC090F0D74}" type="TxLink">
            <a:rPr lang="en-US" sz="1600" b="1" i="0" u="none" strike="noStrike" kern="1200">
              <a:solidFill>
                <a:schemeClr val="bg1">
                  <a:lumMod val="85000"/>
                </a:schemeClr>
              </a:solidFill>
              <a:latin typeface="Calibri"/>
              <a:cs typeface="Calibri"/>
            </a:rPr>
            <a:pPr marL="0" lvl="0" indent="0" algn="ctr" defTabSz="1111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t>6.58%</a:t>
          </a:fld>
          <a:endParaRPr lang="pl-PL" sz="23900" b="1" kern="1200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50</xdr:row>
      <xdr:rowOff>4635</xdr:rowOff>
    </xdr:from>
    <xdr:to>
      <xdr:col>4</xdr:col>
      <xdr:colOff>2699385</xdr:colOff>
      <xdr:row>73</xdr:row>
      <xdr:rowOff>155731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8339010"/>
          <a:ext cx="9848850" cy="4540216"/>
        </a:xfrm>
        <a:prstGeom prst="rect">
          <a:avLst/>
        </a:prstGeom>
      </xdr:spPr>
    </xdr:pic>
    <xdr:clientData/>
  </xdr:twoCellAnchor>
  <xdr:oneCellAnchor>
    <xdr:from>
      <xdr:col>3</xdr:col>
      <xdr:colOff>1285875</xdr:colOff>
      <xdr:row>50</xdr:row>
      <xdr:rowOff>133350</xdr:rowOff>
    </xdr:from>
    <xdr:ext cx="1400175" cy="264560"/>
    <xdr:sp macro="" textlink="">
      <xdr:nvSpPr>
        <xdr:cNvPr id="5" name="pole tekstow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981700" y="8467725"/>
          <a:ext cx="1400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="1">
              <a:solidFill>
                <a:schemeClr val="accent6">
                  <a:lumMod val="40000"/>
                  <a:lumOff val="60000"/>
                </a:schemeClr>
              </a:solidFill>
            </a:rPr>
            <a:t>ticker</a:t>
          </a:r>
          <a:r>
            <a:rPr lang="pl-PL" sz="1100" b="1" baseline="0">
              <a:solidFill>
                <a:schemeClr val="accent6">
                  <a:lumMod val="40000"/>
                  <a:lumOff val="60000"/>
                </a:schemeClr>
              </a:solidFill>
            </a:rPr>
            <a:t> spółki </a:t>
          </a:r>
          <a:endParaRPr lang="pl-PL" sz="1100" b="1">
            <a:solidFill>
              <a:schemeClr val="accent6">
                <a:lumMod val="40000"/>
                <a:lumOff val="60000"/>
              </a:schemeClr>
            </a:solidFill>
          </a:endParaRPr>
        </a:p>
      </xdr:txBody>
    </xdr:sp>
    <xdr:clientData/>
  </xdr:oneCellAnchor>
  <xdr:twoCellAnchor>
    <xdr:from>
      <xdr:col>3</xdr:col>
      <xdr:colOff>514350</xdr:colOff>
      <xdr:row>51</xdr:row>
      <xdr:rowOff>66675</xdr:rowOff>
    </xdr:from>
    <xdr:to>
      <xdr:col>3</xdr:col>
      <xdr:colOff>1304925</xdr:colOff>
      <xdr:row>51</xdr:row>
      <xdr:rowOff>75130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H="1" flipV="1">
          <a:off x="5210175" y="8591550"/>
          <a:ext cx="790575" cy="8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2038350</xdr:colOff>
      <xdr:row>52</xdr:row>
      <xdr:rowOff>71310</xdr:rowOff>
    </xdr:from>
    <xdr:ext cx="1400175" cy="264560"/>
    <xdr:sp macro="" textlink="">
      <xdr:nvSpPr>
        <xdr:cNvPr id="8" name="pole tekstow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2476500" y="8786685"/>
          <a:ext cx="1400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="1">
              <a:solidFill>
                <a:schemeClr val="accent6">
                  <a:lumMod val="40000"/>
                  <a:lumOff val="60000"/>
                </a:schemeClr>
              </a:solidFill>
            </a:rPr>
            <a:t>link do bloga</a:t>
          </a:r>
        </a:p>
      </xdr:txBody>
    </xdr:sp>
    <xdr:clientData/>
  </xdr:oneCellAnchor>
  <xdr:twoCellAnchor>
    <xdr:from>
      <xdr:col>1</xdr:col>
      <xdr:colOff>1247775</xdr:colOff>
      <xdr:row>53</xdr:row>
      <xdr:rowOff>4635</xdr:rowOff>
    </xdr:from>
    <xdr:to>
      <xdr:col>1</xdr:col>
      <xdr:colOff>2038350</xdr:colOff>
      <xdr:row>53</xdr:row>
      <xdr:rowOff>13090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8" idx="1"/>
        </xdr:cNvCxnSpPr>
      </xdr:nvCxnSpPr>
      <xdr:spPr>
        <a:xfrm flipH="1" flipV="1">
          <a:off x="1685925" y="8910510"/>
          <a:ext cx="790575" cy="8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2171700</xdr:colOff>
      <xdr:row>54</xdr:row>
      <xdr:rowOff>4635</xdr:rowOff>
    </xdr:from>
    <xdr:ext cx="1400175" cy="436786"/>
    <xdr:sp macro="" textlink="">
      <xdr:nvSpPr>
        <xdr:cNvPr id="10" name="pole tekstow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2609850" y="9101010"/>
          <a:ext cx="1400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="1">
              <a:solidFill>
                <a:schemeClr val="accent6">
                  <a:lumMod val="40000"/>
                  <a:lumOff val="60000"/>
                </a:schemeClr>
              </a:solidFill>
            </a:rPr>
            <a:t>kontrolki do wykresów poniżej</a:t>
          </a:r>
        </a:p>
      </xdr:txBody>
    </xdr:sp>
    <xdr:clientData/>
  </xdr:oneCellAnchor>
  <xdr:twoCellAnchor>
    <xdr:from>
      <xdr:col>2</xdr:col>
      <xdr:colOff>838200</xdr:colOff>
      <xdr:row>54</xdr:row>
      <xdr:rowOff>123825</xdr:rowOff>
    </xdr:from>
    <xdr:to>
      <xdr:col>2</xdr:col>
      <xdr:colOff>1571625</xdr:colOff>
      <xdr:row>54</xdr:row>
      <xdr:rowOff>127390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/>
      </xdr:nvCxnSpPr>
      <xdr:spPr>
        <a:xfrm flipV="1">
          <a:off x="3514725" y="9220200"/>
          <a:ext cx="733425" cy="3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152400</xdr:colOff>
      <xdr:row>50</xdr:row>
      <xdr:rowOff>137985</xdr:rowOff>
    </xdr:from>
    <xdr:ext cx="1400175" cy="436786"/>
    <xdr:sp macro="" textlink="">
      <xdr:nvSpPr>
        <xdr:cNvPr id="15" name="pole tekstow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7353300" y="8472360"/>
          <a:ext cx="14001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l-PL" sz="1100" b="1">
              <a:solidFill>
                <a:schemeClr val="accent6">
                  <a:lumMod val="40000"/>
                  <a:lumOff val="60000"/>
                </a:schemeClr>
              </a:solidFill>
            </a:rPr>
            <a:t>kontrolki do wykresów poniżej</a:t>
          </a:r>
        </a:p>
      </xdr:txBody>
    </xdr:sp>
    <xdr:clientData/>
  </xdr:oneCellAnchor>
  <xdr:twoCellAnchor>
    <xdr:from>
      <xdr:col>4</xdr:col>
      <xdr:colOff>123825</xdr:colOff>
      <xdr:row>52</xdr:row>
      <xdr:rowOff>175016</xdr:rowOff>
    </xdr:from>
    <xdr:to>
      <xdr:col>4</xdr:col>
      <xdr:colOff>857250</xdr:colOff>
      <xdr:row>54</xdr:row>
      <xdr:rowOff>47625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H="1">
          <a:off x="7324725" y="8890391"/>
          <a:ext cx="733425" cy="253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74</xdr:row>
      <xdr:rowOff>190499</xdr:rowOff>
    </xdr:from>
    <xdr:to>
      <xdr:col>2</xdr:col>
      <xdr:colOff>1790700</xdr:colOff>
      <xdr:row>87</xdr:row>
      <xdr:rowOff>4560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096874"/>
          <a:ext cx="4467225" cy="2290561"/>
        </a:xfrm>
        <a:prstGeom prst="rect">
          <a:avLst/>
        </a:prstGeom>
      </xdr:spPr>
    </xdr:pic>
    <xdr:clientData/>
  </xdr:twoCellAnchor>
  <xdr:twoCellAnchor>
    <xdr:from>
      <xdr:col>1</xdr:col>
      <xdr:colOff>1714500</xdr:colOff>
      <xdr:row>78</xdr:row>
      <xdr:rowOff>142875</xdr:rowOff>
    </xdr:from>
    <xdr:to>
      <xdr:col>2</xdr:col>
      <xdr:colOff>1990726</xdr:colOff>
      <xdr:row>84</xdr:row>
      <xdr:rowOff>66675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 flipH="1">
          <a:off x="2152650" y="13811250"/>
          <a:ext cx="2514601" cy="10668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76</xdr:row>
      <xdr:rowOff>104775</xdr:rowOff>
    </xdr:from>
    <xdr:to>
      <xdr:col>2</xdr:col>
      <xdr:colOff>2009776</xdr:colOff>
      <xdr:row>77</xdr:row>
      <xdr:rowOff>171450</xdr:rowOff>
    </xdr:to>
    <xdr:cxnSp macro="">
      <xdr:nvCxnSpPr>
        <xdr:cNvPr id="22" name="Łącznik prosty ze strzałką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2914650" y="13392150"/>
          <a:ext cx="1771651" cy="2571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80</xdr:row>
      <xdr:rowOff>152400</xdr:rowOff>
    </xdr:from>
    <xdr:to>
      <xdr:col>2</xdr:col>
      <xdr:colOff>1266825</xdr:colOff>
      <xdr:row>82</xdr:row>
      <xdr:rowOff>57150</xdr:rowOff>
    </xdr:to>
    <xdr:sp macro="" textlink="">
      <xdr:nvSpPr>
        <xdr:cNvPr id="25" name="Prostokąt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085850" y="14201775"/>
          <a:ext cx="2857500" cy="28575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</xdr:col>
      <xdr:colOff>2076450</xdr:colOff>
      <xdr:row>77</xdr:row>
      <xdr:rowOff>114300</xdr:rowOff>
    </xdr:from>
    <xdr:to>
      <xdr:col>2</xdr:col>
      <xdr:colOff>2000252</xdr:colOff>
      <xdr:row>80</xdr:row>
      <xdr:rowOff>133350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 flipH="1">
          <a:off x="2514600" y="13592175"/>
          <a:ext cx="2162177" cy="5905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88</xdr:row>
      <xdr:rowOff>0</xdr:rowOff>
    </xdr:from>
    <xdr:to>
      <xdr:col>3</xdr:col>
      <xdr:colOff>2365193</xdr:colOff>
      <xdr:row>99</xdr:row>
      <xdr:rowOff>152400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573375"/>
          <a:ext cx="7064828" cy="22479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125603</xdr:rowOff>
    </xdr:from>
    <xdr:to>
      <xdr:col>3</xdr:col>
      <xdr:colOff>2472978</xdr:colOff>
      <xdr:row>107</xdr:row>
      <xdr:rowOff>41910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984978"/>
          <a:ext cx="7168803" cy="12555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2</xdr:col>
      <xdr:colOff>1860619</xdr:colOff>
      <xdr:row>127</xdr:row>
      <xdr:rowOff>41452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383375"/>
          <a:ext cx="4523809" cy="3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128</xdr:row>
      <xdr:rowOff>19050</xdr:rowOff>
    </xdr:from>
    <xdr:to>
      <xdr:col>4</xdr:col>
      <xdr:colOff>32462</xdr:colOff>
      <xdr:row>134</xdr:row>
      <xdr:rowOff>146685</xdr:rowOff>
    </xdr:to>
    <xdr:pic>
      <xdr:nvPicPr>
        <xdr:cNvPr id="35" name="Obraz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212425"/>
          <a:ext cx="7221932" cy="1257300"/>
        </a:xfrm>
        <a:prstGeom prst="rect">
          <a:avLst/>
        </a:prstGeom>
      </xdr:spPr>
    </xdr:pic>
    <xdr:clientData/>
  </xdr:twoCellAnchor>
  <xdr:twoCellAnchor>
    <xdr:from>
      <xdr:col>1</xdr:col>
      <xdr:colOff>866777</xdr:colOff>
      <xdr:row>129</xdr:row>
      <xdr:rowOff>9527</xdr:rowOff>
    </xdr:from>
    <xdr:to>
      <xdr:col>2</xdr:col>
      <xdr:colOff>428625</xdr:colOff>
      <xdr:row>136</xdr:row>
      <xdr:rowOff>95250</xdr:rowOff>
    </xdr:to>
    <xdr:cxnSp macro="">
      <xdr:nvCxnSpPr>
        <xdr:cNvPr id="37" name="Łącznik prosty ze strzałką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1304927" y="23393402"/>
          <a:ext cx="1800223" cy="141922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1276350</xdr:colOff>
      <xdr:row>130</xdr:row>
      <xdr:rowOff>66675</xdr:rowOff>
    </xdr:from>
    <xdr:to>
      <xdr:col>3</xdr:col>
      <xdr:colOff>38100</xdr:colOff>
      <xdr:row>136</xdr:row>
      <xdr:rowOff>114300</xdr:rowOff>
    </xdr:to>
    <xdr:cxnSp macro="">
      <xdr:nvCxnSpPr>
        <xdr:cNvPr id="40" name="Łącznik prosty ze strzałką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H="1" flipV="1">
          <a:off x="1714500" y="23641050"/>
          <a:ext cx="3019425" cy="11906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133</xdr:row>
      <xdr:rowOff>171450</xdr:rowOff>
    </xdr:from>
    <xdr:to>
      <xdr:col>4</xdr:col>
      <xdr:colOff>57150</xdr:colOff>
      <xdr:row>136</xdr:row>
      <xdr:rowOff>47625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 flipV="1">
          <a:off x="6115050" y="24317325"/>
          <a:ext cx="1143000" cy="44767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132</xdr:row>
      <xdr:rowOff>123825</xdr:rowOff>
    </xdr:from>
    <xdr:to>
      <xdr:col>1</xdr:col>
      <xdr:colOff>1171575</xdr:colOff>
      <xdr:row>137</xdr:row>
      <xdr:rowOff>171450</xdr:rowOff>
    </xdr:to>
    <xdr:cxnSp macro="">
      <xdr:nvCxnSpPr>
        <xdr:cNvPr id="45" name="Łącznik prosty ze strzałką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 flipH="1" flipV="1">
          <a:off x="990600" y="24079200"/>
          <a:ext cx="619125" cy="10001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140</xdr:row>
      <xdr:rowOff>0</xdr:rowOff>
    </xdr:from>
    <xdr:to>
      <xdr:col>4</xdr:col>
      <xdr:colOff>1005</xdr:colOff>
      <xdr:row>146</xdr:row>
      <xdr:rowOff>34144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860375"/>
          <a:ext cx="7200000" cy="1171429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141</xdr:row>
      <xdr:rowOff>85725</xdr:rowOff>
    </xdr:from>
    <xdr:to>
      <xdr:col>1</xdr:col>
      <xdr:colOff>352425</xdr:colOff>
      <xdr:row>148</xdr:row>
      <xdr:rowOff>95250</xdr:rowOff>
    </xdr:to>
    <xdr:cxnSp macro="">
      <xdr:nvCxnSpPr>
        <xdr:cNvPr id="53" name="Łącznik prosty ze strzałką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/>
      </xdr:nvCxnSpPr>
      <xdr:spPr>
        <a:xfrm flipV="1">
          <a:off x="152400" y="26136600"/>
          <a:ext cx="638175" cy="1343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1247775</xdr:colOff>
      <xdr:row>142</xdr:row>
      <xdr:rowOff>123825</xdr:rowOff>
    </xdr:from>
    <xdr:to>
      <xdr:col>1</xdr:col>
      <xdr:colOff>1885950</xdr:colOff>
      <xdr:row>149</xdr:row>
      <xdr:rowOff>133350</xdr:rowOff>
    </xdr:to>
    <xdr:cxnSp macro="">
      <xdr:nvCxnSpPr>
        <xdr:cNvPr id="55" name="Łącznik prosty ze strzałką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/>
      </xdr:nvCxnSpPr>
      <xdr:spPr>
        <a:xfrm flipV="1">
          <a:off x="1685925" y="26365200"/>
          <a:ext cx="638175" cy="134302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742950</xdr:colOff>
      <xdr:row>142</xdr:row>
      <xdr:rowOff>161925</xdr:rowOff>
    </xdr:from>
    <xdr:to>
      <xdr:col>2</xdr:col>
      <xdr:colOff>1409700</xdr:colOff>
      <xdr:row>150</xdr:row>
      <xdr:rowOff>47626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 flipV="1">
          <a:off x="3419475" y="26403300"/>
          <a:ext cx="666750" cy="140970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145</xdr:row>
      <xdr:rowOff>76200</xdr:rowOff>
    </xdr:from>
    <xdr:to>
      <xdr:col>3</xdr:col>
      <xdr:colOff>1123950</xdr:colOff>
      <xdr:row>151</xdr:row>
      <xdr:rowOff>95252</xdr:rowOff>
    </xdr:to>
    <xdr:cxnSp macro="">
      <xdr:nvCxnSpPr>
        <xdr:cNvPr id="58" name="Łącznik prosty ze strzałką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/>
      </xdr:nvCxnSpPr>
      <xdr:spPr>
        <a:xfrm flipV="1">
          <a:off x="5238750" y="26889075"/>
          <a:ext cx="581025" cy="116205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28575</xdr:colOff>
      <xdr:row>41</xdr:row>
      <xdr:rowOff>47625</xdr:rowOff>
    </xdr:from>
    <xdr:to>
      <xdr:col>4</xdr:col>
      <xdr:colOff>605790</xdr:colOff>
      <xdr:row>43</xdr:row>
      <xdr:rowOff>80087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7829550"/>
          <a:ext cx="7772400" cy="4229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29</xdr:col>
      <xdr:colOff>105600</xdr:colOff>
      <xdr:row>17</xdr:row>
      <xdr:rowOff>1500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2382</xdr:colOff>
      <xdr:row>17</xdr:row>
      <xdr:rowOff>178596</xdr:rowOff>
    </xdr:from>
    <xdr:to>
      <xdr:col>29</xdr:col>
      <xdr:colOff>107982</xdr:colOff>
      <xdr:row>34</xdr:row>
      <xdr:rowOff>180096</xdr:rowOff>
    </xdr:to>
    <xdr:graphicFrame macro="">
      <xdr:nvGraphicFramePr>
        <xdr:cNvPr id="71" name="Wykres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609600</xdr:colOff>
      <xdr:row>35</xdr:row>
      <xdr:rowOff>188121</xdr:rowOff>
    </xdr:from>
    <xdr:to>
      <xdr:col>29</xdr:col>
      <xdr:colOff>102879</xdr:colOff>
      <xdr:row>52</xdr:row>
      <xdr:rowOff>189621</xdr:rowOff>
    </xdr:to>
    <xdr:graphicFrame macro="">
      <xdr:nvGraphicFramePr>
        <xdr:cNvPr id="72" name="Wykres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53</xdr:row>
      <xdr:rowOff>186421</xdr:rowOff>
    </xdr:from>
    <xdr:to>
      <xdr:col>29</xdr:col>
      <xdr:colOff>102879</xdr:colOff>
      <xdr:row>70</xdr:row>
      <xdr:rowOff>187921</xdr:rowOff>
    </xdr:to>
    <xdr:graphicFrame macro="">
      <xdr:nvGraphicFramePr>
        <xdr:cNvPr id="73" name="Wykres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609599</xdr:colOff>
      <xdr:row>72</xdr:row>
      <xdr:rowOff>2</xdr:rowOff>
    </xdr:from>
    <xdr:to>
      <xdr:col>29</xdr:col>
      <xdr:colOff>102878</xdr:colOff>
      <xdr:row>89</xdr:row>
      <xdr:rowOff>1502</xdr:rowOff>
    </xdr:to>
    <xdr:graphicFrame macro="">
      <xdr:nvGraphicFramePr>
        <xdr:cNvPr id="74" name="Wykres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609600</xdr:colOff>
      <xdr:row>89</xdr:row>
      <xdr:rowOff>183698</xdr:rowOff>
    </xdr:from>
    <xdr:to>
      <xdr:col>29</xdr:col>
      <xdr:colOff>102879</xdr:colOff>
      <xdr:row>106</xdr:row>
      <xdr:rowOff>185198</xdr:rowOff>
    </xdr:to>
    <xdr:graphicFrame macro="">
      <xdr:nvGraphicFramePr>
        <xdr:cNvPr id="75" name="Wykres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45</xdr:col>
      <xdr:colOff>6614</xdr:colOff>
      <xdr:row>0</xdr:row>
      <xdr:rowOff>0</xdr:rowOff>
    </xdr:from>
    <xdr:to>
      <xdr:col>59</xdr:col>
      <xdr:colOff>112214</xdr:colOff>
      <xdr:row>17</xdr:row>
      <xdr:rowOff>1500</xdr:rowOff>
    </xdr:to>
    <xdr:graphicFrame macro="">
      <xdr:nvGraphicFramePr>
        <xdr:cNvPr id="87" name="Wykres 86"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45</xdr:col>
      <xdr:colOff>0</xdr:colOff>
      <xdr:row>17</xdr:row>
      <xdr:rowOff>130969</xdr:rowOff>
    </xdr:from>
    <xdr:to>
      <xdr:col>59</xdr:col>
      <xdr:colOff>105600</xdr:colOff>
      <xdr:row>34</xdr:row>
      <xdr:rowOff>132469</xdr:rowOff>
    </xdr:to>
    <xdr:graphicFrame macro="">
      <xdr:nvGraphicFramePr>
        <xdr:cNvPr id="88" name="Wykres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1</xdr:colOff>
      <xdr:row>35</xdr:row>
      <xdr:rowOff>47626</xdr:rowOff>
    </xdr:from>
    <xdr:to>
      <xdr:col>59</xdr:col>
      <xdr:colOff>105601</xdr:colOff>
      <xdr:row>52</xdr:row>
      <xdr:rowOff>49126</xdr:rowOff>
    </xdr:to>
    <xdr:graphicFrame macro="">
      <xdr:nvGraphicFramePr>
        <xdr:cNvPr id="89" name="Wykres 88"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0</xdr:colOff>
      <xdr:row>53</xdr:row>
      <xdr:rowOff>0</xdr:rowOff>
    </xdr:from>
    <xdr:to>
      <xdr:col>59</xdr:col>
      <xdr:colOff>105600</xdr:colOff>
      <xdr:row>70</xdr:row>
      <xdr:rowOff>1500</xdr:rowOff>
    </xdr:to>
    <xdr:graphicFrame macro="">
      <xdr:nvGraphicFramePr>
        <xdr:cNvPr id="91" name="Wykres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45</xdr:col>
      <xdr:colOff>0</xdr:colOff>
      <xdr:row>71</xdr:row>
      <xdr:rowOff>0</xdr:rowOff>
    </xdr:from>
    <xdr:to>
      <xdr:col>59</xdr:col>
      <xdr:colOff>105600</xdr:colOff>
      <xdr:row>88</xdr:row>
      <xdr:rowOff>1500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45</xdr:col>
      <xdr:colOff>0</xdr:colOff>
      <xdr:row>89</xdr:row>
      <xdr:rowOff>0</xdr:rowOff>
    </xdr:from>
    <xdr:to>
      <xdr:col>59</xdr:col>
      <xdr:colOff>105600</xdr:colOff>
      <xdr:row>106</xdr:row>
      <xdr:rowOff>1500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17</xdr:row>
      <xdr:rowOff>188119</xdr:rowOff>
    </xdr:from>
    <xdr:to>
      <xdr:col>14</xdr:col>
      <xdr:colOff>105600</xdr:colOff>
      <xdr:row>34</xdr:row>
      <xdr:rowOff>189619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59</xdr:col>
      <xdr:colOff>209550</xdr:colOff>
      <xdr:row>0</xdr:row>
      <xdr:rowOff>0</xdr:rowOff>
    </xdr:from>
    <xdr:to>
      <xdr:col>73</xdr:col>
      <xdr:colOff>315151</xdr:colOff>
      <xdr:row>17</xdr:row>
      <xdr:rowOff>1500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59</xdr:col>
      <xdr:colOff>209550</xdr:colOff>
      <xdr:row>18</xdr:row>
      <xdr:rowOff>0</xdr:rowOff>
    </xdr:from>
    <xdr:to>
      <xdr:col>73</xdr:col>
      <xdr:colOff>315151</xdr:colOff>
      <xdr:row>35</xdr:row>
      <xdr:rowOff>1500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59</xdr:col>
      <xdr:colOff>209550</xdr:colOff>
      <xdr:row>36</xdr:row>
      <xdr:rowOff>0</xdr:rowOff>
    </xdr:from>
    <xdr:to>
      <xdr:col>73</xdr:col>
      <xdr:colOff>315151</xdr:colOff>
      <xdr:row>53</xdr:row>
      <xdr:rowOff>1500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105600</xdr:colOff>
      <xdr:row>17</xdr:row>
      <xdr:rowOff>1500</xdr:rowOff>
    </xdr:to>
    <xdr:graphicFrame macro="">
      <xdr:nvGraphicFramePr>
        <xdr:cNvPr id="29" name="Wykres 28" descr="test&#10;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14</xdr:col>
      <xdr:colOff>105600</xdr:colOff>
      <xdr:row>53</xdr:row>
      <xdr:rowOff>1500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30</xdr:col>
      <xdr:colOff>0</xdr:colOff>
      <xdr:row>0</xdr:row>
      <xdr:rowOff>0</xdr:rowOff>
    </xdr:from>
    <xdr:to>
      <xdr:col>44</xdr:col>
      <xdr:colOff>105600</xdr:colOff>
      <xdr:row>17</xdr:row>
      <xdr:rowOff>1500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30</xdr:col>
      <xdr:colOff>0</xdr:colOff>
      <xdr:row>18</xdr:row>
      <xdr:rowOff>0</xdr:rowOff>
    </xdr:from>
    <xdr:to>
      <xdr:col>44</xdr:col>
      <xdr:colOff>105600</xdr:colOff>
      <xdr:row>35</xdr:row>
      <xdr:rowOff>1500</xdr:rowOff>
    </xdr:to>
    <xdr:graphicFrame macro="">
      <xdr:nvGraphicFramePr>
        <xdr:cNvPr id="32" name="Wykres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30</xdr:col>
      <xdr:colOff>0</xdr:colOff>
      <xdr:row>36</xdr:row>
      <xdr:rowOff>0</xdr:rowOff>
    </xdr:from>
    <xdr:to>
      <xdr:col>44</xdr:col>
      <xdr:colOff>105600</xdr:colOff>
      <xdr:row>53</xdr:row>
      <xdr:rowOff>1500</xdr:rowOff>
    </xdr:to>
    <xdr:graphicFrame macro="">
      <xdr:nvGraphicFramePr>
        <xdr:cNvPr id="34" name="Wykres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30</xdr:col>
      <xdr:colOff>0</xdr:colOff>
      <xdr:row>54</xdr:row>
      <xdr:rowOff>0</xdr:rowOff>
    </xdr:from>
    <xdr:to>
      <xdr:col>44</xdr:col>
      <xdr:colOff>105601</xdr:colOff>
      <xdr:row>71</xdr:row>
      <xdr:rowOff>1500</xdr:rowOff>
    </xdr:to>
    <xdr:graphicFrame macro="">
      <xdr:nvGraphicFramePr>
        <xdr:cNvPr id="35" name="Wykres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30</xdr:col>
      <xdr:colOff>0</xdr:colOff>
      <xdr:row>72</xdr:row>
      <xdr:rowOff>0</xdr:rowOff>
    </xdr:from>
    <xdr:to>
      <xdr:col>44</xdr:col>
      <xdr:colOff>105601</xdr:colOff>
      <xdr:row>89</xdr:row>
      <xdr:rowOff>1500</xdr:rowOff>
    </xdr:to>
    <xdr:graphicFrame macro="">
      <xdr:nvGraphicFramePr>
        <xdr:cNvPr id="36" name="Wykres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59</xdr:col>
      <xdr:colOff>250371</xdr:colOff>
      <xdr:row>53</xdr:row>
      <xdr:rowOff>87086</xdr:rowOff>
    </xdr:from>
    <xdr:to>
      <xdr:col>73</xdr:col>
      <xdr:colOff>354067</xdr:colOff>
      <xdr:row>70</xdr:row>
      <xdr:rowOff>88585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54</xdr:row>
      <xdr:rowOff>0</xdr:rowOff>
    </xdr:from>
    <xdr:to>
      <xdr:col>14</xdr:col>
      <xdr:colOff>123825</xdr:colOff>
      <xdr:row>71</xdr:row>
      <xdr:rowOff>0</xdr:rowOff>
    </xdr:to>
    <xdr:graphicFrame macro="">
      <xdr:nvGraphicFramePr>
        <xdr:cNvPr id="33" name="Wykres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0</xdr:colOff>
      <xdr:row>71</xdr:row>
      <xdr:rowOff>190499</xdr:rowOff>
    </xdr:from>
    <xdr:to>
      <xdr:col>14</xdr:col>
      <xdr:colOff>142874</xdr:colOff>
      <xdr:row>89</xdr:row>
      <xdr:rowOff>0</xdr:rowOff>
    </xdr:to>
    <xdr:graphicFrame macro="">
      <xdr:nvGraphicFramePr>
        <xdr:cNvPr id="38" name="Wykres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45</xdr:col>
      <xdr:colOff>0</xdr:colOff>
      <xdr:row>107</xdr:row>
      <xdr:rowOff>0</xdr:rowOff>
    </xdr:from>
    <xdr:to>
      <xdr:col>59</xdr:col>
      <xdr:colOff>105600</xdr:colOff>
      <xdr:row>124</xdr:row>
      <xdr:rowOff>1500</xdr:rowOff>
    </xdr:to>
    <xdr:graphicFrame macro="">
      <xdr:nvGraphicFramePr>
        <xdr:cNvPr id="39" name="Wykres 22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0</xdr:colOff>
      <xdr:row>89</xdr:row>
      <xdr:rowOff>157162</xdr:rowOff>
    </xdr:from>
    <xdr:to>
      <xdr:col>14</xdr:col>
      <xdr:colOff>85724</xdr:colOff>
      <xdr:row>106</xdr:row>
      <xdr:rowOff>152400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0</xdr:colOff>
      <xdr:row>108</xdr:row>
      <xdr:rowOff>0</xdr:rowOff>
    </xdr:from>
    <xdr:to>
      <xdr:col>14</xdr:col>
      <xdr:colOff>85724</xdr:colOff>
      <xdr:row>124</xdr:row>
      <xdr:rowOff>185738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74</xdr:row>
      <xdr:rowOff>76993</xdr:rowOff>
    </xdr:from>
    <xdr:to>
      <xdr:col>7</xdr:col>
      <xdr:colOff>333374</xdr:colOff>
      <xdr:row>90</xdr:row>
      <xdr:rowOff>87312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452437</xdr:colOff>
      <xdr:row>72</xdr:row>
      <xdr:rowOff>148431</xdr:rowOff>
    </xdr:from>
    <xdr:to>
      <xdr:col>22</xdr:col>
      <xdr:colOff>31749</xdr:colOff>
      <xdr:row>87</xdr:row>
      <xdr:rowOff>34131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4761</xdr:rowOff>
    </xdr:from>
    <xdr:to>
      <xdr:col>17</xdr:col>
      <xdr:colOff>0</xdr:colOff>
      <xdr:row>18</xdr:row>
      <xdr:rowOff>180974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</xdr:colOff>
      <xdr:row>1</xdr:row>
      <xdr:rowOff>0</xdr:rowOff>
    </xdr:from>
    <xdr:to>
      <xdr:col>28</xdr:col>
      <xdr:colOff>123825</xdr:colOff>
      <xdr:row>19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16</xdr:col>
      <xdr:colOff>600075</xdr:colOff>
      <xdr:row>37</xdr:row>
      <xdr:rowOff>176213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20</xdr:row>
      <xdr:rowOff>0</xdr:rowOff>
    </xdr:from>
    <xdr:to>
      <xdr:col>28</xdr:col>
      <xdr:colOff>114300</xdr:colOff>
      <xdr:row>37</xdr:row>
      <xdr:rowOff>176213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39</xdr:row>
      <xdr:rowOff>0</xdr:rowOff>
    </xdr:from>
    <xdr:to>
      <xdr:col>16</xdr:col>
      <xdr:colOff>600075</xdr:colOff>
      <xdr:row>56</xdr:row>
      <xdr:rowOff>176213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39</xdr:row>
      <xdr:rowOff>0</xdr:rowOff>
    </xdr:from>
    <xdr:to>
      <xdr:col>28</xdr:col>
      <xdr:colOff>114300</xdr:colOff>
      <xdr:row>56</xdr:row>
      <xdr:rowOff>176213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58</xdr:row>
      <xdr:rowOff>0</xdr:rowOff>
    </xdr:from>
    <xdr:to>
      <xdr:col>16</xdr:col>
      <xdr:colOff>600075</xdr:colOff>
      <xdr:row>75</xdr:row>
      <xdr:rowOff>176213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58</xdr:row>
      <xdr:rowOff>0</xdr:rowOff>
    </xdr:from>
    <xdr:to>
      <xdr:col>28</xdr:col>
      <xdr:colOff>114300</xdr:colOff>
      <xdr:row>75</xdr:row>
      <xdr:rowOff>176213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77</xdr:row>
      <xdr:rowOff>0</xdr:rowOff>
    </xdr:from>
    <xdr:to>
      <xdr:col>16</xdr:col>
      <xdr:colOff>600075</xdr:colOff>
      <xdr:row>94</xdr:row>
      <xdr:rowOff>176213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0</xdr:colOff>
      <xdr:row>77</xdr:row>
      <xdr:rowOff>0</xdr:rowOff>
    </xdr:from>
    <xdr:to>
      <xdr:col>28</xdr:col>
      <xdr:colOff>114300</xdr:colOff>
      <xdr:row>94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96</xdr:row>
      <xdr:rowOff>0</xdr:rowOff>
    </xdr:from>
    <xdr:to>
      <xdr:col>16</xdr:col>
      <xdr:colOff>600075</xdr:colOff>
      <xdr:row>113</xdr:row>
      <xdr:rowOff>176213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0</xdr:colOff>
      <xdr:row>1</xdr:row>
      <xdr:rowOff>0</xdr:rowOff>
    </xdr:from>
    <xdr:to>
      <xdr:col>39</xdr:col>
      <xdr:colOff>114300</xdr:colOff>
      <xdr:row>18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40</xdr:col>
      <xdr:colOff>0</xdr:colOff>
      <xdr:row>1</xdr:row>
      <xdr:rowOff>0</xdr:rowOff>
    </xdr:from>
    <xdr:to>
      <xdr:col>50</xdr:col>
      <xdr:colOff>114300</xdr:colOff>
      <xdr:row>19</xdr:row>
      <xdr:rowOff>0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51</xdr:col>
      <xdr:colOff>0</xdr:colOff>
      <xdr:row>1</xdr:row>
      <xdr:rowOff>0</xdr:rowOff>
    </xdr:from>
    <xdr:to>
      <xdr:col>61</xdr:col>
      <xdr:colOff>114300</xdr:colOff>
      <xdr:row>18</xdr:row>
      <xdr:rowOff>176213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62</xdr:col>
      <xdr:colOff>0</xdr:colOff>
      <xdr:row>1</xdr:row>
      <xdr:rowOff>0</xdr:rowOff>
    </xdr:from>
    <xdr:to>
      <xdr:col>72</xdr:col>
      <xdr:colOff>114300</xdr:colOff>
      <xdr:row>19</xdr:row>
      <xdr:rowOff>0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73</xdr:col>
      <xdr:colOff>0</xdr:colOff>
      <xdr:row>1</xdr:row>
      <xdr:rowOff>0</xdr:rowOff>
    </xdr:from>
    <xdr:to>
      <xdr:col>83</xdr:col>
      <xdr:colOff>114300</xdr:colOff>
      <xdr:row>18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0</xdr:colOff>
      <xdr:row>115</xdr:row>
      <xdr:rowOff>0</xdr:rowOff>
    </xdr:from>
    <xdr:to>
      <xdr:col>16</xdr:col>
      <xdr:colOff>600075</xdr:colOff>
      <xdr:row>132</xdr:row>
      <xdr:rowOff>176213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0</xdr:colOff>
      <xdr:row>115</xdr:row>
      <xdr:rowOff>0</xdr:rowOff>
    </xdr:from>
    <xdr:to>
      <xdr:col>28</xdr:col>
      <xdr:colOff>110218</xdr:colOff>
      <xdr:row>132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0</xdr:colOff>
      <xdr:row>134</xdr:row>
      <xdr:rowOff>0</xdr:rowOff>
    </xdr:from>
    <xdr:to>
      <xdr:col>16</xdr:col>
      <xdr:colOff>600075</xdr:colOff>
      <xdr:row>151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18</xdr:col>
      <xdr:colOff>0</xdr:colOff>
      <xdr:row>134</xdr:row>
      <xdr:rowOff>0</xdr:rowOff>
    </xdr:from>
    <xdr:to>
      <xdr:col>28</xdr:col>
      <xdr:colOff>110218</xdr:colOff>
      <xdr:row>151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9</xdr:col>
      <xdr:colOff>0</xdr:colOff>
      <xdr:row>153</xdr:row>
      <xdr:rowOff>0</xdr:rowOff>
    </xdr:from>
    <xdr:to>
      <xdr:col>16</xdr:col>
      <xdr:colOff>600075</xdr:colOff>
      <xdr:row>170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18</xdr:col>
      <xdr:colOff>0</xdr:colOff>
      <xdr:row>153</xdr:row>
      <xdr:rowOff>0</xdr:rowOff>
    </xdr:from>
    <xdr:to>
      <xdr:col>28</xdr:col>
      <xdr:colOff>110218</xdr:colOff>
      <xdr:row>170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11</xdr:row>
      <xdr:rowOff>66675</xdr:rowOff>
    </xdr:from>
    <xdr:to>
      <xdr:col>6</xdr:col>
      <xdr:colOff>590550</xdr:colOff>
      <xdr:row>11</xdr:row>
      <xdr:rowOff>66675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CxnSpPr/>
      </xdr:nvCxnSpPr>
      <xdr:spPr>
        <a:xfrm flipH="1">
          <a:off x="3152775" y="2162175"/>
          <a:ext cx="299085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10</xdr:row>
      <xdr:rowOff>180975</xdr:rowOff>
    </xdr:from>
    <xdr:to>
      <xdr:col>8</xdr:col>
      <xdr:colOff>0</xdr:colOff>
      <xdr:row>24</xdr:row>
      <xdr:rowOff>9525</xdr:rowOff>
    </xdr:to>
    <xdr:sp macro="" textlink="">
      <xdr:nvSpPr>
        <xdr:cNvPr id="4" name="Prostokąt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6153150" y="2085975"/>
          <a:ext cx="619125" cy="2495550"/>
        </a:xfrm>
        <a:prstGeom prst="rect">
          <a:avLst/>
        </a:prstGeom>
        <a:noFill/>
        <a:ln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</xdr:col>
      <xdr:colOff>9525</xdr:colOff>
      <xdr:row>11</xdr:row>
      <xdr:rowOff>0</xdr:rowOff>
    </xdr:from>
    <xdr:to>
      <xdr:col>2</xdr:col>
      <xdr:colOff>19050</xdr:colOff>
      <xdr:row>24</xdr:row>
      <xdr:rowOff>19050</xdr:rowOff>
    </xdr:to>
    <xdr:sp macro="" textlink="">
      <xdr:nvSpPr>
        <xdr:cNvPr id="5" name="Prostokąt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2514600" y="2095500"/>
          <a:ext cx="619125" cy="2495550"/>
        </a:xfrm>
        <a:prstGeom prst="rect">
          <a:avLst/>
        </a:prstGeom>
        <a:noFill/>
        <a:ln>
          <a:solidFill>
            <a:sysClr val="windowText" lastClr="000000"/>
          </a:solidFill>
          <a:extLst>
            <a:ext uri="{C807C97D-BFC1-408E-A445-0C87EB9F89A2}">
              <ask:lineSketchStyleProps xmlns:ask="http://schemas.microsoft.com/office/drawing/2018/sketchyshapes">
                <ask:type>
                  <ask:lineSketchNon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</xdr:col>
      <xdr:colOff>9525</xdr:colOff>
      <xdr:row>2</xdr:row>
      <xdr:rowOff>171450</xdr:rowOff>
    </xdr:from>
    <xdr:to>
      <xdr:col>4</xdr:col>
      <xdr:colOff>600075</xdr:colOff>
      <xdr:row>4</xdr:row>
      <xdr:rowOff>0</xdr:rowOff>
    </xdr:to>
    <xdr:sp macro="" textlink="">
      <xdr:nvSpPr>
        <xdr:cNvPr id="6" name="Prostokąt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2514600" y="552450"/>
          <a:ext cx="2419350" cy="2095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0</xdr:colOff>
      <xdr:row>3</xdr:row>
      <xdr:rowOff>85725</xdr:rowOff>
    </xdr:from>
    <xdr:to>
      <xdr:col>7</xdr:col>
      <xdr:colOff>38100</xdr:colOff>
      <xdr:row>3</xdr:row>
      <xdr:rowOff>85725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CxnSpPr/>
      </xdr:nvCxnSpPr>
      <xdr:spPr>
        <a:xfrm>
          <a:off x="4943475" y="657225"/>
          <a:ext cx="1257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0</xdr:rowOff>
    </xdr:from>
    <xdr:to>
      <xdr:col>4</xdr:col>
      <xdr:colOff>590550</xdr:colOff>
      <xdr:row>25</xdr:row>
      <xdr:rowOff>19050</xdr:rowOff>
    </xdr:to>
    <xdr:sp macro="" textlink="">
      <xdr:nvSpPr>
        <xdr:cNvPr id="10" name="Prostokąt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2505075" y="4572000"/>
          <a:ext cx="2419350" cy="2095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7</xdr:col>
      <xdr:colOff>28575</xdr:colOff>
      <xdr:row>25</xdr:row>
      <xdr:rowOff>9525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CxnSpPr/>
      </xdr:nvCxnSpPr>
      <xdr:spPr>
        <a:xfrm>
          <a:off x="4953000" y="4772025"/>
          <a:ext cx="12382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178594</xdr:rowOff>
    </xdr:from>
    <xdr:to>
      <xdr:col>14</xdr:col>
      <xdr:colOff>16700</xdr:colOff>
      <xdr:row>34</xdr:row>
      <xdr:rowOff>180094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14</xdr:col>
      <xdr:colOff>16700</xdr:colOff>
      <xdr:row>17</xdr:row>
      <xdr:rowOff>1500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14</xdr:col>
      <xdr:colOff>16700</xdr:colOff>
      <xdr:row>53</xdr:row>
      <xdr:rowOff>1500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7940</xdr:colOff>
      <xdr:row>1</xdr:row>
      <xdr:rowOff>5555</xdr:rowOff>
    </xdr:from>
    <xdr:to>
      <xdr:col>29</xdr:col>
      <xdr:colOff>206375</xdr:colOff>
      <xdr:row>20</xdr:row>
      <xdr:rowOff>15874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20</xdr:row>
      <xdr:rowOff>0</xdr:rowOff>
    </xdr:from>
    <xdr:to>
      <xdr:col>29</xdr:col>
      <xdr:colOff>296863</xdr:colOff>
      <xdr:row>34</xdr:row>
      <xdr:rowOff>76200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539750</xdr:colOff>
      <xdr:row>1</xdr:row>
      <xdr:rowOff>15875</xdr:rowOff>
    </xdr:from>
    <xdr:to>
      <xdr:col>31</xdr:col>
      <xdr:colOff>126997</xdr:colOff>
      <xdr:row>20</xdr:row>
      <xdr:rowOff>26194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579443</xdr:colOff>
      <xdr:row>1</xdr:row>
      <xdr:rowOff>31750</xdr:rowOff>
    </xdr:from>
    <xdr:to>
      <xdr:col>33</xdr:col>
      <xdr:colOff>166690</xdr:colOff>
      <xdr:row>20</xdr:row>
      <xdr:rowOff>42069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7</xdr:col>
      <xdr:colOff>355600</xdr:colOff>
      <xdr:row>16</xdr:row>
      <xdr:rowOff>9525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9</xdr:row>
      <xdr:rowOff>0</xdr:rowOff>
    </xdr:from>
    <xdr:to>
      <xdr:col>21</xdr:col>
      <xdr:colOff>495300</xdr:colOff>
      <xdr:row>10</xdr:row>
      <xdr:rowOff>85726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0</xdr:row>
      <xdr:rowOff>174021</xdr:rowOff>
    </xdr:from>
    <xdr:to>
      <xdr:col>21</xdr:col>
      <xdr:colOff>371475</xdr:colOff>
      <xdr:row>2</xdr:row>
      <xdr:rowOff>0</xdr:rowOff>
    </xdr:to>
    <xdr:sp macro="" textlink="$A$2">
      <xdr:nvSpPr>
        <xdr:cNvPr id="12" name="Dowolny kształt: kształt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/>
      </xdr:nvSpPr>
      <xdr:spPr>
        <a:xfrm>
          <a:off x="14744700" y="174021"/>
          <a:ext cx="981075" cy="368904"/>
        </a:xfrm>
        <a:custGeom>
          <a:avLst/>
          <a:gdLst>
            <a:gd name="connsiteX0" fmla="*/ 0 w 4572000"/>
            <a:gd name="connsiteY0" fmla="*/ 102962 h 617760"/>
            <a:gd name="connsiteX1" fmla="*/ 102962 w 4572000"/>
            <a:gd name="connsiteY1" fmla="*/ 0 h 617760"/>
            <a:gd name="connsiteX2" fmla="*/ 4469038 w 4572000"/>
            <a:gd name="connsiteY2" fmla="*/ 0 h 617760"/>
            <a:gd name="connsiteX3" fmla="*/ 4572000 w 4572000"/>
            <a:gd name="connsiteY3" fmla="*/ 102962 h 617760"/>
            <a:gd name="connsiteX4" fmla="*/ 4572000 w 4572000"/>
            <a:gd name="connsiteY4" fmla="*/ 514798 h 617760"/>
            <a:gd name="connsiteX5" fmla="*/ 4469038 w 4572000"/>
            <a:gd name="connsiteY5" fmla="*/ 617760 h 617760"/>
            <a:gd name="connsiteX6" fmla="*/ 102962 w 4572000"/>
            <a:gd name="connsiteY6" fmla="*/ 617760 h 617760"/>
            <a:gd name="connsiteX7" fmla="*/ 0 w 4572000"/>
            <a:gd name="connsiteY7" fmla="*/ 514798 h 617760"/>
            <a:gd name="connsiteX8" fmla="*/ 0 w 4572000"/>
            <a:gd name="connsiteY8" fmla="*/ 102962 h 6177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572000" h="617760">
              <a:moveTo>
                <a:pt x="0" y="102962"/>
              </a:moveTo>
              <a:cubicBezTo>
                <a:pt x="0" y="46098"/>
                <a:pt x="46098" y="0"/>
                <a:pt x="102962" y="0"/>
              </a:cubicBezTo>
              <a:lnTo>
                <a:pt x="4469038" y="0"/>
              </a:lnTo>
              <a:cubicBezTo>
                <a:pt x="4525902" y="0"/>
                <a:pt x="4572000" y="46098"/>
                <a:pt x="4572000" y="102962"/>
              </a:cubicBezTo>
              <a:lnTo>
                <a:pt x="4572000" y="514798"/>
              </a:lnTo>
              <a:cubicBezTo>
                <a:pt x="4572000" y="571662"/>
                <a:pt x="4525902" y="617760"/>
                <a:pt x="4469038" y="617760"/>
              </a:cubicBezTo>
              <a:lnTo>
                <a:pt x="102962" y="617760"/>
              </a:lnTo>
              <a:cubicBezTo>
                <a:pt x="46098" y="617760"/>
                <a:pt x="0" y="571662"/>
                <a:pt x="0" y="514798"/>
              </a:cubicBezTo>
              <a:lnTo>
                <a:pt x="0" y="102962"/>
              </a:lnTo>
              <a:close/>
            </a:path>
          </a:pathLst>
        </a:custGeom>
      </xdr:spPr>
      <xdr:style>
        <a:lnRef idx="2">
          <a:schemeClr val="lt2">
            <a:hueOff val="0"/>
            <a:satOff val="0"/>
            <a:lumOff val="0"/>
            <a:alphaOff val="0"/>
          </a:schemeClr>
        </a:lnRef>
        <a:fillRef idx="1">
          <a:schemeClr val="dk2">
            <a:hueOff val="0"/>
            <a:satOff val="0"/>
            <a:lumOff val="0"/>
            <a:alphaOff val="0"/>
          </a:schemeClr>
        </a:fillRef>
        <a:effectRef idx="0">
          <a:schemeClr val="dk2">
            <a:hueOff val="0"/>
            <a:satOff val="0"/>
            <a:lumOff val="0"/>
            <a:alphaOff val="0"/>
          </a:schemeClr>
        </a:effectRef>
        <a:fontRef idx="minor">
          <a:schemeClr val="lt1"/>
        </a:fontRef>
      </xdr:style>
      <xdr:txBody>
        <a:bodyPr spcFirstLastPara="0" vert="horz" wrap="square" lIns="125407" tIns="125407" rIns="125407" bIns="125407" numCol="1" spcCol="1270" anchor="ctr" anchorCtr="0">
          <a:noAutofit/>
        </a:bodyPr>
        <a:lstStyle/>
        <a:p>
          <a:pPr marL="0" lvl="0" indent="0" algn="l" defTabSz="1111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fld id="{8BC3708D-7B84-4285-B5A6-08BFAD0AF109}" type="TxLink">
            <a:rPr lang="en-US" sz="1600" b="1" i="0" u="none" strike="noStrike" kern="1200">
              <a:solidFill>
                <a:schemeClr val="bg1"/>
              </a:solidFill>
              <a:latin typeface="Calibri"/>
              <a:cs typeface="Calibri"/>
            </a:rPr>
            <a:pPr marL="0" lvl="0" indent="0" algn="l" defTabSz="11112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  <a:buNone/>
            </a:pPr>
            <a:t>Revenue</a:t>
          </a:fld>
          <a:endParaRPr lang="pl-PL" sz="3600" kern="1200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333375</xdr:colOff>
      <xdr:row>0</xdr:row>
      <xdr:rowOff>166687</xdr:rowOff>
    </xdr:from>
    <xdr:to>
      <xdr:col>26</xdr:col>
      <xdr:colOff>219075</xdr:colOff>
      <xdr:row>4</xdr:row>
      <xdr:rowOff>523875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3505201</xdr:colOff>
      <xdr:row>8</xdr:row>
      <xdr:rowOff>9526</xdr:rowOff>
    </xdr:from>
    <xdr:to>
      <xdr:col>9</xdr:col>
      <xdr:colOff>95250</xdr:colOff>
      <xdr:row>21</xdr:row>
      <xdr:rowOff>146686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12</xdr:row>
          <xdr:rowOff>0</xdr:rowOff>
        </xdr:from>
        <xdr:to>
          <xdr:col>16</xdr:col>
          <xdr:colOff>180975</xdr:colOff>
          <xdr:row>24</xdr:row>
          <xdr:rowOff>0</xdr:rowOff>
        </xdr:to>
        <xdr:pic>
          <xdr:nvPicPr>
            <xdr:cNvPr id="12" name="Obraz 11">
              <a:extLst>
                <a:ext uri="{FF2B5EF4-FFF2-40B4-BE49-F238E27FC236}">
                  <a16:creationId xmlns:a16="http://schemas.microsoft.com/office/drawing/2014/main" id="{00000000-0008-0000-0E00-00000C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11:$I$22" spid="_x0000_s708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401550" y="2286000"/>
              <a:ext cx="790575" cy="22860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17</xdr:col>
      <xdr:colOff>0</xdr:colOff>
      <xdr:row>9</xdr:row>
      <xdr:rowOff>0</xdr:rowOff>
    </xdr:from>
    <xdr:to>
      <xdr:col>18</xdr:col>
      <xdr:colOff>200022</xdr:colOff>
      <xdr:row>27</xdr:row>
      <xdr:rowOff>10319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6</xdr:col>
          <xdr:colOff>9525</xdr:colOff>
          <xdr:row>45</xdr:row>
          <xdr:rowOff>38100</xdr:rowOff>
        </xdr:to>
        <xdr:pic>
          <xdr:nvPicPr>
            <xdr:cNvPr id="11" name="Obraz 10">
              <a:extLst>
                <a:ext uri="{FF2B5EF4-FFF2-40B4-BE49-F238E27FC236}">
                  <a16:creationId xmlns:a16="http://schemas.microsoft.com/office/drawing/2014/main" id="{00000000-0008-0000-0E00-00000B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37:$F$40" spid="_x0000_s7086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0" y="8029575"/>
              <a:ext cx="3781425" cy="800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rtek Szyma" id="{80A171D3-DC81-42B7-96F8-4D1669599725}" userId="Bartek Szyma" providerId="None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26" dT="2021-06-01T10:09:26.15" personId="{80A171D3-DC81-42B7-96F8-4D1669599725}" id="{0026317E-2A18-4FA3-9C99-10E250E7565E}">
    <text>operating cash flow ratio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27" dT="2021-06-01T10:09:26.15" personId="{80A171D3-DC81-42B7-96F8-4D1669599725}" id="{F097345C-9793-4CCB-9CB0-B4497648CD06}">
    <text>operating cash flow ratio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eekingalpha.com/" TargetMode="External"/><Relationship Id="rId1" Type="http://schemas.openxmlformats.org/officeDocument/2006/relationships/hyperlink" Target="https://www.macrotrends.net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B1:AZ48"/>
  <sheetViews>
    <sheetView showGridLines="0" tabSelected="1" topLeftCell="A4" zoomScaleNormal="100" zoomScaleSheetLayoutView="70" workbookViewId="0">
      <selection activeCell="P41" sqref="P41"/>
    </sheetView>
  </sheetViews>
  <sheetFormatPr defaultColWidth="0" defaultRowHeight="15" zeroHeight="1"/>
  <cols>
    <col min="1" max="6" width="9.140625" style="81" customWidth="1"/>
    <col min="7" max="7" width="10.7109375" style="81" bestFit="1" customWidth="1"/>
    <col min="8" max="32" width="9.140625" style="81" customWidth="1"/>
    <col min="33" max="52" width="9.140625" style="81" hidden="1" customWidth="1"/>
    <col min="53" max="16384" width="0" style="81" hidden="1"/>
  </cols>
  <sheetData>
    <row r="1" spans="2:19">
      <c r="H1" s="82"/>
    </row>
    <row r="2" spans="2:19">
      <c r="H2" s="82"/>
    </row>
    <row r="3" spans="2:19">
      <c r="H3" s="82"/>
    </row>
    <row r="4" spans="2:19">
      <c r="H4" s="82"/>
    </row>
    <row r="5" spans="2:19">
      <c r="H5" s="82"/>
    </row>
    <row r="6" spans="2:19">
      <c r="H6" s="82"/>
    </row>
    <row r="7" spans="2:19">
      <c r="H7" s="82"/>
    </row>
    <row r="8" spans="2:19">
      <c r="H8" s="82"/>
      <c r="N8" s="129"/>
      <c r="O8" s="129"/>
      <c r="Q8" s="129"/>
      <c r="R8" s="129"/>
    </row>
    <row r="9" spans="2:19" ht="15.75" hidden="1">
      <c r="B9" s="83" t="s">
        <v>161</v>
      </c>
      <c r="N9" s="128"/>
      <c r="O9" s="128"/>
      <c r="P9" s="84"/>
      <c r="Q9" s="128"/>
      <c r="R9" s="128"/>
      <c r="S9" s="84"/>
    </row>
    <row r="10" spans="2:19"/>
    <row r="11" spans="2:19"/>
    <row r="12" spans="2:19"/>
    <row r="13" spans="2:19"/>
    <row r="14" spans="2:19"/>
    <row r="15" spans="2:19"/>
    <row r="16" spans="2:19"/>
    <row r="17" spans="7:7"/>
    <row r="18" spans="7:7"/>
    <row r="19" spans="7:7"/>
    <row r="20" spans="7:7"/>
    <row r="21" spans="7:7"/>
    <row r="22" spans="7:7"/>
    <row r="23" spans="7:7"/>
    <row r="24" spans="7:7"/>
    <row r="25" spans="7:7"/>
    <row r="26" spans="7:7"/>
    <row r="27" spans="7:7"/>
    <row r="28" spans="7:7"/>
    <row r="29" spans="7:7"/>
    <row r="30" spans="7:7"/>
    <row r="31" spans="7:7">
      <c r="G31" s="81">
        <v>0</v>
      </c>
    </row>
    <row r="32" spans="7:7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</sheetData>
  <sheetProtection sheet="1" formatRows="0" insertHyperlinks="0" deleteColumns="0" deleteRows="0" selectLockedCells="1" selectUnlockedCells="1"/>
  <mergeCells count="4">
    <mergeCell ref="N9:O9"/>
    <mergeCell ref="Q9:R9"/>
    <mergeCell ref="N8:O8"/>
    <mergeCell ref="Q8:R8"/>
  </mergeCells>
  <conditionalFormatting sqref="H4:H8">
    <cfRule type="iconSet" priority="1">
      <iconSet iconSet="3TrafficLights2" showValue="0">
        <cfvo type="percent" val="0"/>
        <cfvo type="num" val="1"/>
        <cfvo type="num" val="2"/>
      </iconSet>
    </cfRule>
  </conditionalFormatting>
  <conditionalFormatting sqref="I4:I9 J5:M7">
    <cfRule type="iconSet" priority="66">
      <iconSet iconSet="3TrafficLights2" showValue="0">
        <cfvo type="percent" val="0"/>
        <cfvo type="percent" val="1"/>
        <cfvo type="percent" val="2"/>
      </iconSe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77" r:id="rId4" name="Scroll Bar 129">
              <controlPr defaultSize="0" autoPict="0">
                <anchor moveWithCells="1">
                  <from>
                    <xdr:col>0</xdr:col>
                    <xdr:colOff>590550</xdr:colOff>
                    <xdr:row>31</xdr:row>
                    <xdr:rowOff>85725</xdr:rowOff>
                  </from>
                  <to>
                    <xdr:col>2</xdr:col>
                    <xdr:colOff>200025</xdr:colOff>
                    <xdr:row>32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5" name="Scroll Bar 143">
              <controlPr defaultSize="0" autoPict="0">
                <anchor moveWithCells="1">
                  <from>
                    <xdr:col>0</xdr:col>
                    <xdr:colOff>590550</xdr:colOff>
                    <xdr:row>33</xdr:row>
                    <xdr:rowOff>57150</xdr:rowOff>
                  </from>
                  <to>
                    <xdr:col>2</xdr:col>
                    <xdr:colOff>200025</xdr:colOff>
                    <xdr:row>34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6" name="Drop Down 269">
              <controlPr defaultSize="0" autoLine="0" autoPict="0">
                <anchor moveWithCells="1">
                  <from>
                    <xdr:col>13</xdr:col>
                    <xdr:colOff>161925</xdr:colOff>
                    <xdr:row>7</xdr:row>
                    <xdr:rowOff>0</xdr:rowOff>
                  </from>
                  <to>
                    <xdr:col>15</xdr:col>
                    <xdr:colOff>66675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7" name="Drop Down 271">
              <controlPr defaultSize="0" autoLine="0" autoPict="0">
                <anchor moveWithCells="1">
                  <from>
                    <xdr:col>15</xdr:col>
                    <xdr:colOff>104775</xdr:colOff>
                    <xdr:row>7</xdr:row>
                    <xdr:rowOff>0</xdr:rowOff>
                  </from>
                  <to>
                    <xdr:col>17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7" r:id="rId8" name="Drop Down 289">
              <controlPr defaultSize="0" autoLine="0" autoPict="0">
                <anchor moveWithCells="1">
                  <from>
                    <xdr:col>19</xdr:col>
                    <xdr:colOff>600075</xdr:colOff>
                    <xdr:row>6</xdr:row>
                    <xdr:rowOff>171450</xdr:rowOff>
                  </from>
                  <to>
                    <xdr:col>24</xdr:col>
                    <xdr:colOff>85725</xdr:colOff>
                    <xdr:row>7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DAD55B6-D9BA-43D9-910E-53EAC16E8772}">
          <x14:formula1>
            <xm:f>'Mnożniki ceny'!$P$2:$P$7</xm:f>
          </x14:formula1>
          <xm:sqref>Q9:R9</xm:sqref>
        </x14:dataValidation>
        <x14:dataValidation type="list" allowBlank="1" showInputMessage="1" showErrorMessage="1" promptTitle="Wybierz wartość" xr:uid="{E3478BE1-8808-4C11-88BF-111D62AFD933}">
          <x14:formula1>
            <xm:f>'Mnożniki ceny'!$P$2:$P$7</xm:f>
          </x14:formula1>
          <xm:sqref>N9:O9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3D42-FFD5-4E35-B7E3-60052575FDE4}">
  <dimension ref="A1:F152"/>
  <sheetViews>
    <sheetView workbookViewId="0">
      <selection activeCell="C5" sqref="C5"/>
    </sheetView>
  </sheetViews>
  <sheetFormatPr defaultRowHeight="15"/>
  <cols>
    <col min="1" max="1" width="6.5703125" customWidth="1"/>
    <col min="2" max="2" width="33.5703125" bestFit="1" customWidth="1"/>
    <col min="3" max="3" width="30.28515625" customWidth="1"/>
    <col min="4" max="4" width="37.5703125" bestFit="1" customWidth="1"/>
    <col min="5" max="5" width="171.5703125" bestFit="1" customWidth="1"/>
  </cols>
  <sheetData>
    <row r="1" spans="1:6" ht="19.5" thickBot="1">
      <c r="A1" s="130" t="s">
        <v>259</v>
      </c>
      <c r="B1" s="130"/>
      <c r="C1" s="130"/>
      <c r="D1" s="130"/>
    </row>
    <row r="2" spans="1:6" ht="15.75" thickBot="1">
      <c r="A2" t="s">
        <v>260</v>
      </c>
      <c r="C2" s="113"/>
      <c r="D2" s="85" t="s">
        <v>309</v>
      </c>
      <c r="E2" s="85" t="str">
        <f>LOWER(Dane!$AA$2)</f>
        <v/>
      </c>
      <c r="F2" s="85" t="s">
        <v>310</v>
      </c>
    </row>
    <row r="3" spans="1:6" ht="15.75" thickBot="1">
      <c r="A3" t="s">
        <v>369</v>
      </c>
      <c r="C3" s="117" t="s">
        <v>401</v>
      </c>
    </row>
    <row r="4" spans="1:6" ht="15.75" thickBot="1">
      <c r="A4" t="s">
        <v>396</v>
      </c>
      <c r="C4" s="117" t="s">
        <v>405</v>
      </c>
    </row>
    <row r="5" spans="1:6">
      <c r="A5" s="135" t="s">
        <v>289</v>
      </c>
      <c r="B5" s="135"/>
      <c r="C5" s="116" t="str">
        <f>CONCATENATE(D2,LOWER(C4),F2,C2,"&amp;region=",C3)</f>
        <v>https://usstocks.pl/dividends/public/data/csv?token=&amp;region=en</v>
      </c>
      <c r="D5" s="116"/>
      <c r="E5" s="116"/>
    </row>
    <row r="6" spans="1:6" ht="18.75">
      <c r="A6" s="130" t="s">
        <v>191</v>
      </c>
      <c r="B6" s="130"/>
      <c r="C6" s="130"/>
      <c r="D6" s="130"/>
    </row>
    <row r="7" spans="1:6">
      <c r="A7" t="s">
        <v>192</v>
      </c>
      <c r="B7" t="s">
        <v>193</v>
      </c>
      <c r="C7" t="s">
        <v>194</v>
      </c>
      <c r="D7" t="s">
        <v>195</v>
      </c>
      <c r="E7" t="s">
        <v>196</v>
      </c>
    </row>
    <row r="8" spans="1:6">
      <c r="A8" s="64" t="s">
        <v>197</v>
      </c>
      <c r="B8" s="65" t="s">
        <v>176</v>
      </c>
      <c r="C8" s="131" t="s">
        <v>198</v>
      </c>
      <c r="D8" s="53" t="s">
        <v>0</v>
      </c>
    </row>
    <row r="9" spans="1:6">
      <c r="A9" s="64" t="s">
        <v>197</v>
      </c>
      <c r="B9" s="65" t="s">
        <v>1</v>
      </c>
      <c r="C9" s="131"/>
      <c r="D9" s="66" t="s">
        <v>1</v>
      </c>
    </row>
    <row r="10" spans="1:6">
      <c r="A10" s="67" t="s">
        <v>199</v>
      </c>
      <c r="B10" s="68" t="s">
        <v>200</v>
      </c>
      <c r="C10" s="131"/>
      <c r="D10" s="66" t="s">
        <v>2</v>
      </c>
      <c r="E10" t="s">
        <v>333</v>
      </c>
    </row>
    <row r="11" spans="1:6">
      <c r="A11" s="64" t="s">
        <v>197</v>
      </c>
      <c r="B11" s="65" t="s">
        <v>3</v>
      </c>
      <c r="C11" s="131"/>
      <c r="D11" s="56" t="s">
        <v>3</v>
      </c>
    </row>
    <row r="12" spans="1:6">
      <c r="A12" s="67" t="s">
        <v>199</v>
      </c>
      <c r="B12" s="68" t="s">
        <v>4</v>
      </c>
      <c r="C12" s="131"/>
      <c r="D12" s="57" t="s">
        <v>4</v>
      </c>
      <c r="E12" t="s">
        <v>333</v>
      </c>
    </row>
    <row r="13" spans="1:6">
      <c r="A13" s="64" t="s">
        <v>197</v>
      </c>
      <c r="B13" s="65" t="s">
        <v>201</v>
      </c>
      <c r="C13" s="131"/>
      <c r="D13" s="53" t="s">
        <v>5</v>
      </c>
    </row>
    <row r="14" spans="1:6">
      <c r="A14" s="67" t="s">
        <v>199</v>
      </c>
      <c r="B14" s="68" t="s">
        <v>202</v>
      </c>
      <c r="C14" s="131"/>
      <c r="D14" s="53" t="s">
        <v>6</v>
      </c>
    </row>
    <row r="15" spans="1:6">
      <c r="A15" s="64" t="s">
        <v>197</v>
      </c>
      <c r="B15" s="65" t="s">
        <v>203</v>
      </c>
      <c r="C15" s="131"/>
      <c r="D15" s="53" t="s">
        <v>7</v>
      </c>
    </row>
    <row r="16" spans="1:6">
      <c r="A16" s="67" t="s">
        <v>199</v>
      </c>
      <c r="B16" s="68" t="s">
        <v>204</v>
      </c>
      <c r="C16" s="131"/>
      <c r="D16" s="53" t="s">
        <v>8</v>
      </c>
      <c r="E16" t="s">
        <v>205</v>
      </c>
    </row>
    <row r="17" spans="1:5">
      <c r="A17" s="69" t="s">
        <v>199</v>
      </c>
      <c r="B17" s="65" t="s">
        <v>206</v>
      </c>
      <c r="C17" s="131"/>
      <c r="D17" s="53" t="s">
        <v>9</v>
      </c>
    </row>
    <row r="18" spans="1:5">
      <c r="A18" s="64" t="s">
        <v>197</v>
      </c>
      <c r="B18" s="65" t="s">
        <v>207</v>
      </c>
      <c r="C18" s="131"/>
      <c r="D18" s="53" t="s">
        <v>10</v>
      </c>
    </row>
    <row r="19" spans="1:5">
      <c r="A19" s="70" t="s">
        <v>197</v>
      </c>
      <c r="B19" s="71" t="s">
        <v>208</v>
      </c>
      <c r="C19" s="132" t="s">
        <v>209</v>
      </c>
      <c r="D19" s="72" t="s">
        <v>11</v>
      </c>
    </row>
    <row r="20" spans="1:5">
      <c r="A20" s="70" t="s">
        <v>197</v>
      </c>
      <c r="B20" s="71" t="s">
        <v>13</v>
      </c>
      <c r="C20" s="132"/>
      <c r="D20" s="72" t="s">
        <v>13</v>
      </c>
      <c r="E20" t="s">
        <v>210</v>
      </c>
    </row>
    <row r="21" spans="1:5">
      <c r="A21" s="70" t="s">
        <v>197</v>
      </c>
      <c r="B21" s="71" t="s">
        <v>14</v>
      </c>
      <c r="C21" s="132"/>
      <c r="D21" s="72" t="s">
        <v>14</v>
      </c>
    </row>
    <row r="22" spans="1:5">
      <c r="A22" s="70" t="s">
        <v>197</v>
      </c>
      <c r="B22" s="71" t="s">
        <v>14</v>
      </c>
      <c r="C22" s="132"/>
      <c r="D22" s="72" t="s">
        <v>14</v>
      </c>
    </row>
    <row r="23" spans="1:5">
      <c r="A23" s="73" t="s">
        <v>199</v>
      </c>
      <c r="B23" s="74" t="s">
        <v>211</v>
      </c>
      <c r="C23" s="132"/>
      <c r="D23" s="75" t="s">
        <v>146</v>
      </c>
    </row>
    <row r="24" spans="1:5">
      <c r="A24" s="70" t="s">
        <v>197</v>
      </c>
      <c r="B24" s="71" t="s">
        <v>145</v>
      </c>
      <c r="C24" s="132"/>
      <c r="D24" s="75" t="s">
        <v>145</v>
      </c>
    </row>
    <row r="25" spans="1:5">
      <c r="A25" s="133" t="s">
        <v>212</v>
      </c>
      <c r="B25" s="133"/>
      <c r="C25" s="132"/>
      <c r="D25" s="76" t="s">
        <v>152</v>
      </c>
    </row>
    <row r="26" spans="1:5">
      <c r="A26" s="70" t="s">
        <v>197</v>
      </c>
      <c r="B26" s="71" t="s">
        <v>16</v>
      </c>
      <c r="C26" s="132"/>
      <c r="D26" s="72" t="s">
        <v>16</v>
      </c>
    </row>
    <row r="27" spans="1:5">
      <c r="A27" s="70" t="s">
        <v>197</v>
      </c>
      <c r="B27" s="71" t="s">
        <v>213</v>
      </c>
      <c r="C27" s="132"/>
      <c r="D27" s="72" t="s">
        <v>17</v>
      </c>
    </row>
    <row r="28" spans="1:5">
      <c r="A28" s="70" t="s">
        <v>197</v>
      </c>
      <c r="B28" s="71" t="s">
        <v>18</v>
      </c>
      <c r="C28" s="132"/>
      <c r="D28" s="72" t="s">
        <v>18</v>
      </c>
    </row>
    <row r="29" spans="1:5">
      <c r="A29" s="70" t="s">
        <v>197</v>
      </c>
      <c r="B29" s="71" t="s">
        <v>214</v>
      </c>
      <c r="C29" s="132"/>
      <c r="D29" s="72" t="s">
        <v>19</v>
      </c>
    </row>
    <row r="30" spans="1:5">
      <c r="A30" s="70" t="s">
        <v>197</v>
      </c>
      <c r="B30" s="71" t="s">
        <v>215</v>
      </c>
      <c r="C30" s="132"/>
      <c r="D30" s="72" t="s">
        <v>20</v>
      </c>
    </row>
    <row r="31" spans="1:5">
      <c r="A31" s="77" t="s">
        <v>197</v>
      </c>
      <c r="B31" s="78" t="s">
        <v>216</v>
      </c>
      <c r="C31" s="134" t="s">
        <v>217</v>
      </c>
      <c r="D31" s="79" t="s">
        <v>21</v>
      </c>
    </row>
    <row r="32" spans="1:5">
      <c r="A32" s="77" t="s">
        <v>197</v>
      </c>
      <c r="B32" s="78" t="s">
        <v>218</v>
      </c>
      <c r="C32" s="134"/>
      <c r="D32" s="79" t="s">
        <v>22</v>
      </c>
    </row>
    <row r="33" spans="1:5">
      <c r="A33" s="77" t="s">
        <v>197</v>
      </c>
      <c r="B33" s="78" t="s">
        <v>219</v>
      </c>
      <c r="C33" s="134"/>
      <c r="D33" s="79" t="s">
        <v>23</v>
      </c>
    </row>
    <row r="34" spans="1:5">
      <c r="A34" s="77" t="s">
        <v>197</v>
      </c>
      <c r="B34" s="78" t="s">
        <v>220</v>
      </c>
      <c r="C34" s="134"/>
      <c r="D34" s="79" t="s">
        <v>221</v>
      </c>
    </row>
    <row r="35" spans="1:5">
      <c r="A35" s="77" t="s">
        <v>197</v>
      </c>
      <c r="B35" s="78" t="s">
        <v>222</v>
      </c>
      <c r="C35" s="134"/>
      <c r="D35" s="79" t="s">
        <v>25</v>
      </c>
    </row>
    <row r="37" spans="1:5">
      <c r="A37" s="80" t="s">
        <v>223</v>
      </c>
    </row>
    <row r="38" spans="1:5">
      <c r="A38" s="80" t="s">
        <v>224</v>
      </c>
    </row>
    <row r="39" spans="1:5" ht="18.75">
      <c r="A39" s="130" t="s">
        <v>294</v>
      </c>
      <c r="B39" s="130"/>
      <c r="C39" s="130"/>
      <c r="D39" s="130"/>
      <c r="E39" s="85"/>
    </row>
    <row r="40" spans="1:5">
      <c r="A40" s="103" t="s">
        <v>300</v>
      </c>
      <c r="B40" s="104"/>
      <c r="C40" s="104"/>
      <c r="D40" s="104"/>
      <c r="E40" s="85"/>
    </row>
    <row r="41" spans="1:5">
      <c r="A41" s="103" t="s">
        <v>299</v>
      </c>
      <c r="B41" s="104"/>
      <c r="C41" s="104"/>
      <c r="D41" s="104"/>
      <c r="E41" s="85"/>
    </row>
    <row r="42" spans="1:5">
      <c r="A42" s="103"/>
      <c r="B42" s="104"/>
      <c r="C42" s="104"/>
      <c r="D42" s="104"/>
      <c r="E42" s="85"/>
    </row>
    <row r="43" spans="1:5">
      <c r="A43" s="103"/>
      <c r="B43" s="104"/>
      <c r="C43" s="104"/>
      <c r="D43" s="104"/>
      <c r="E43" s="85"/>
    </row>
    <row r="44" spans="1:5">
      <c r="B44" s="104"/>
      <c r="C44" s="104"/>
      <c r="D44" s="104"/>
      <c r="E44" s="85"/>
    </row>
    <row r="45" spans="1:5" ht="15.75">
      <c r="A45" s="105" t="s">
        <v>298</v>
      </c>
      <c r="B45" s="104"/>
      <c r="C45" s="104"/>
      <c r="D45" s="104"/>
      <c r="E45" s="85"/>
    </row>
    <row r="46" spans="1:5">
      <c r="A46" s="104"/>
      <c r="B46" s="104"/>
      <c r="C46" s="104"/>
      <c r="D46" s="104"/>
    </row>
    <row r="47" spans="1:5" ht="18.75">
      <c r="A47" s="130" t="s">
        <v>261</v>
      </c>
      <c r="B47" s="130"/>
      <c r="C47" s="130"/>
      <c r="D47" s="130"/>
    </row>
    <row r="49" spans="1:1">
      <c r="A49" t="s">
        <v>262</v>
      </c>
    </row>
    <row r="76" spans="4:4">
      <c r="D76" t="s">
        <v>264</v>
      </c>
    </row>
    <row r="77" spans="4:4">
      <c r="D77" t="s">
        <v>265</v>
      </c>
    </row>
    <row r="78" spans="4:4">
      <c r="D78" t="s">
        <v>263</v>
      </c>
    </row>
    <row r="79" spans="4:4">
      <c r="D79" t="s">
        <v>266</v>
      </c>
    </row>
    <row r="80" spans="4:4">
      <c r="D80" t="s">
        <v>303</v>
      </c>
    </row>
    <row r="89" spans="5:5">
      <c r="E89" t="s">
        <v>267</v>
      </c>
    </row>
    <row r="102" spans="4:5">
      <c r="E102" t="s">
        <v>268</v>
      </c>
    </row>
    <row r="103" spans="4:5">
      <c r="E103" t="s">
        <v>304</v>
      </c>
    </row>
    <row r="104" spans="4:5">
      <c r="E104" t="s">
        <v>269</v>
      </c>
    </row>
    <row r="105" spans="4:5">
      <c r="E105" t="s">
        <v>270</v>
      </c>
    </row>
    <row r="110" spans="4:5">
      <c r="D110" t="s">
        <v>273</v>
      </c>
    </row>
    <row r="111" spans="4:5">
      <c r="D111" t="s">
        <v>271</v>
      </c>
    </row>
    <row r="112" spans="4:5">
      <c r="D112" t="s">
        <v>272</v>
      </c>
    </row>
    <row r="114" spans="4:4">
      <c r="D114" t="s">
        <v>285</v>
      </c>
    </row>
    <row r="115" spans="4:4">
      <c r="D115" t="s">
        <v>286</v>
      </c>
    </row>
    <row r="116" spans="4:4">
      <c r="D116" t="s">
        <v>288</v>
      </c>
    </row>
    <row r="117" spans="4:4">
      <c r="D117" t="s">
        <v>287</v>
      </c>
    </row>
    <row r="136" spans="1:5">
      <c r="A136" t="s">
        <v>274</v>
      </c>
    </row>
    <row r="137" spans="1:5">
      <c r="A137" t="s">
        <v>275</v>
      </c>
      <c r="D137" t="s">
        <v>276</v>
      </c>
      <c r="E137" t="s">
        <v>277</v>
      </c>
    </row>
    <row r="138" spans="1:5">
      <c r="A138" t="s">
        <v>278</v>
      </c>
    </row>
    <row r="139" spans="1:5">
      <c r="A139" t="s">
        <v>279</v>
      </c>
    </row>
    <row r="148" spans="1:1">
      <c r="A148" t="s">
        <v>280</v>
      </c>
    </row>
    <row r="149" spans="1:1">
      <c r="A149" t="s">
        <v>281</v>
      </c>
    </row>
    <row r="150" spans="1:1">
      <c r="A150" t="s">
        <v>282</v>
      </c>
    </row>
    <row r="151" spans="1:1">
      <c r="A151" t="s">
        <v>283</v>
      </c>
    </row>
    <row r="152" spans="1:1">
      <c r="A152" t="s">
        <v>284</v>
      </c>
    </row>
  </sheetData>
  <protectedRanges>
    <protectedRange algorithmName="SHA-512" hashValue="OhVFdOvnzizNpN/qjQLUfkN4rHxR2GWc00i6m6l66j1c7yssCitZIXRZi3y7hZfWmuM3TLZRHHlb0ES2VeHhsg==" saltValue="/MCEnlRj6uF8kkNll/+9mg==" spinCount="100000" sqref="A5:B5" name="Generator linka"/>
    <protectedRange algorithmName="SHA-512" hashValue="OhVFdOvnzizNpN/qjQLUfkN4rHxR2GWc00i6m6l66j1c7yssCitZIXRZi3y7hZfWmuM3TLZRHHlb0ES2VeHhsg==" saltValue="/MCEnlRj6uF8kkNll/+9mg==" spinCount="100000" sqref="C5 D2 D3:D4" name="Generator linka_2"/>
    <protectedRange sqref="C2" name="token_1"/>
  </protectedRanges>
  <mergeCells count="9">
    <mergeCell ref="A1:D1"/>
    <mergeCell ref="A47:D47"/>
    <mergeCell ref="A6:D6"/>
    <mergeCell ref="C8:C18"/>
    <mergeCell ref="C19:C30"/>
    <mergeCell ref="A25:B25"/>
    <mergeCell ref="C31:C35"/>
    <mergeCell ref="A5:B5"/>
    <mergeCell ref="A39:D39"/>
  </mergeCells>
  <hyperlinks>
    <hyperlink ref="A37" r:id="rId1" xr:uid="{5CFCADE7-2BA0-4AE0-A2D3-3BED3F53A5C8}"/>
    <hyperlink ref="A38" r:id="rId2" xr:uid="{5DCD770E-4051-46F6-BAC7-0A32097AD2F9}"/>
  </hyperlinks>
  <pageMargins left="0.7" right="0.7" top="0.75" bottom="0.75" header="0.3" footer="0.3"/>
  <pageSetup paperSize="9" orientation="portrait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/>
  <dimension ref="A1:W187"/>
  <sheetViews>
    <sheetView topLeftCell="F22" zoomScale="120" zoomScaleNormal="120" workbookViewId="0">
      <selection activeCell="R41" sqref="M41:R41"/>
    </sheetView>
  </sheetViews>
  <sheetFormatPr defaultRowHeight="15"/>
  <cols>
    <col min="1" max="1" width="20.5703125" customWidth="1"/>
    <col min="2" max="2" width="35" bestFit="1" customWidth="1"/>
    <col min="3" max="3" width="37.42578125" style="14" hidden="1" customWidth="1"/>
    <col min="4" max="8" width="12" style="1" bestFit="1" customWidth="1"/>
    <col min="9" max="9" width="15" style="1" bestFit="1" customWidth="1"/>
    <col min="10" max="10" width="15" bestFit="1" customWidth="1"/>
    <col min="11" max="11" width="1" style="81" customWidth="1"/>
    <col min="12" max="12" width="53.5703125" bestFit="1" customWidth="1"/>
    <col min="13" max="13" width="13.140625" bestFit="1" customWidth="1"/>
    <col min="14" max="17" width="16.7109375" bestFit="1" customWidth="1"/>
    <col min="18" max="18" width="17.85546875" bestFit="1" customWidth="1"/>
    <col min="19" max="19" width="49.28515625" bestFit="1" customWidth="1"/>
    <col min="20" max="20" width="11.5703125" bestFit="1" customWidth="1"/>
  </cols>
  <sheetData>
    <row r="1" spans="1:19">
      <c r="A1" s="8" t="s">
        <v>26</v>
      </c>
      <c r="B1" s="136" t="str">
        <f>UPPER(Instrukcja!C4)</f>
        <v>CSV</v>
      </c>
      <c r="C1" s="136"/>
      <c r="D1" s="136"/>
      <c r="E1" s="136"/>
      <c r="F1" s="136"/>
      <c r="G1" s="136"/>
      <c r="H1" s="136"/>
      <c r="I1" s="47"/>
      <c r="L1" s="13"/>
      <c r="M1" s="8"/>
      <c r="N1" s="8"/>
      <c r="O1" s="8"/>
      <c r="P1" s="8"/>
      <c r="Q1" s="8"/>
      <c r="R1" s="8"/>
      <c r="S1" s="8"/>
    </row>
    <row r="2" spans="1:19">
      <c r="A2" s="3"/>
      <c r="B2" s="8" t="s">
        <v>27</v>
      </c>
      <c r="C2" s="52" t="s">
        <v>162</v>
      </c>
      <c r="D2" s="125" t="str">
        <f>MID(Dane!C1,1,4)</f>
        <v>2018</v>
      </c>
      <c r="E2" s="125" t="str">
        <f>MID(Dane!D1,1,4)</f>
        <v>2019</v>
      </c>
      <c r="F2" s="125" t="str">
        <f>MID(Dane!E1,1,4)</f>
        <v>2020</v>
      </c>
      <c r="G2" s="125" t="str">
        <f>MID(Dane!F1,1,4)</f>
        <v>2021</v>
      </c>
      <c r="H2" s="125">
        <f>G2+1</f>
        <v>2022</v>
      </c>
      <c r="I2" s="7" t="s">
        <v>28</v>
      </c>
      <c r="J2" s="20" t="s">
        <v>29</v>
      </c>
      <c r="K2" s="94"/>
      <c r="L2" s="3"/>
      <c r="M2" s="8" t="str">
        <f>D2</f>
        <v>2018</v>
      </c>
      <c r="N2" s="8" t="str">
        <f>E2</f>
        <v>2019</v>
      </c>
      <c r="O2" s="8" t="str">
        <f>F2</f>
        <v>2020</v>
      </c>
      <c r="P2" s="8" t="str">
        <f>G2</f>
        <v>2021</v>
      </c>
      <c r="Q2" s="8">
        <f>H2</f>
        <v>2022</v>
      </c>
      <c r="R2" s="8" t="s">
        <v>140</v>
      </c>
      <c r="S2" s="28" t="s">
        <v>30</v>
      </c>
    </row>
    <row r="3" spans="1:19">
      <c r="A3" s="11" t="s">
        <v>31</v>
      </c>
      <c r="B3" s="11" t="s">
        <v>32</v>
      </c>
      <c r="C3" s="53" t="s">
        <v>230</v>
      </c>
      <c r="D3" s="54">
        <f>SUM(Dane!F37:'Dane'!I37)</f>
        <v>266.56</v>
      </c>
      <c r="E3" s="54">
        <f>SUM(Dane!J37:'Dane'!M37)</f>
        <v>269.48</v>
      </c>
      <c r="F3" s="54">
        <f>SUM(Dane!N37:'Dane'!Q37)</f>
        <v>310.51</v>
      </c>
      <c r="G3" s="54">
        <f>SUM(Dane!R37:'Dane'!U37)</f>
        <v>370.05</v>
      </c>
      <c r="H3" s="54">
        <f>SUM(Dane!V37:'Dane'!Y37)</f>
        <v>372.19</v>
      </c>
      <c r="I3" s="10">
        <f>IF(D3=0,CONCATENATE($D$2, " = 0"),POWER(ABS(H3/D3),1/(COUNT(D3:H3)-1))-1)</f>
        <v>8.7032253137241833E-2</v>
      </c>
      <c r="J3" s="10">
        <f>IF(D3=0,CONCATENATE(D2, " = 0"),H3/D3-1)</f>
        <v>0.39627100840336138</v>
      </c>
      <c r="K3" s="95"/>
      <c r="L3" s="7" t="s">
        <v>33</v>
      </c>
      <c r="M3" s="10">
        <f>(ABS(D12)-ABS(D10))/ABS(D10)</f>
        <v>0</v>
      </c>
      <c r="N3" s="10">
        <f t="shared" ref="N3:Q3" si="0">(ABS(E12)-ABS(E10))/ABS(E10)</f>
        <v>0</v>
      </c>
      <c r="O3" s="10">
        <f t="shared" si="0"/>
        <v>0</v>
      </c>
      <c r="P3" s="10">
        <f t="shared" si="0"/>
        <v>0</v>
      </c>
      <c r="Q3" s="10">
        <f t="shared" si="0"/>
        <v>0</v>
      </c>
      <c r="R3" s="32">
        <f>AVERAGE(M3:Q3)</f>
        <v>0</v>
      </c>
      <c r="S3" s="21" t="s">
        <v>34</v>
      </c>
    </row>
    <row r="4" spans="1:19">
      <c r="A4" s="11"/>
      <c r="B4" s="11" t="s">
        <v>1</v>
      </c>
      <c r="C4" s="55" t="s">
        <v>231</v>
      </c>
      <c r="D4" s="54">
        <f>SUM(Dane!F38:'Dane'!I38)</f>
        <v>66.819999999999993</v>
      </c>
      <c r="E4" s="54">
        <f>SUM(Dane!J38:'Dane'!M38)</f>
        <v>59.980000000000004</v>
      </c>
      <c r="F4" s="54">
        <f>SUM(Dane!N38:'Dane'!Q38)</f>
        <v>69.150000000000006</v>
      </c>
      <c r="G4" s="54">
        <f>SUM(Dane!R38:'Dane'!U38)</f>
        <v>88.93</v>
      </c>
      <c r="H4" s="54">
        <f>SUM(Dane!V38:'Dane'!Y38)</f>
        <v>107.61</v>
      </c>
      <c r="I4" s="10">
        <f t="shared" ref="I4:I17" si="1">IF(D4=0,CONCATENATE($D$2, " = 0"),POWER(ABS(H4/D4),1/(COUNT(D4:H4)-1))-1)</f>
        <v>0.1265138615897845</v>
      </c>
      <c r="J4" s="10">
        <f>IF(D4=0,CONCATENATE(D2, " = 0"),H4/D4-1)</f>
        <v>0.61044597425920388</v>
      </c>
      <c r="K4" s="95"/>
      <c r="L4" s="7" t="s">
        <v>35</v>
      </c>
      <c r="M4" s="10">
        <f>(D12-D11)/D12</f>
        <v>0</v>
      </c>
      <c r="N4" s="10">
        <f>(E12-E11)/E12</f>
        <v>0</v>
      </c>
      <c r="O4" s="10">
        <f>(F12-F11)/F12</f>
        <v>0</v>
      </c>
      <c r="P4" s="10">
        <f>(G12-G11)/G12</f>
        <v>0</v>
      </c>
      <c r="Q4" s="10">
        <f>(H12-H11)/H12</f>
        <v>0</v>
      </c>
      <c r="R4" s="32">
        <f>AVERAGE(M4:Q4)</f>
        <v>0</v>
      </c>
      <c r="S4" s="21" t="s">
        <v>34</v>
      </c>
    </row>
    <row r="5" spans="1:19">
      <c r="A5" s="11"/>
      <c r="B5" s="11" t="s">
        <v>357</v>
      </c>
      <c r="C5" s="55" t="s">
        <v>232</v>
      </c>
      <c r="D5" s="54">
        <f>SUM(Dane!F39:'Dane'!I39)</f>
        <v>0</v>
      </c>
      <c r="E5" s="54">
        <f>SUM(Dane!J39:'Dane'!M39)</f>
        <v>0</v>
      </c>
      <c r="F5" s="54">
        <f>SUM(Dane!N39:'Dane'!Q39)</f>
        <v>0</v>
      </c>
      <c r="G5" s="54">
        <f>SUM(Dane!R39:'Dane'!U39)</f>
        <v>0</v>
      </c>
      <c r="H5" s="54">
        <f>SUM(Dane!V39:'Dane'!Y39)</f>
        <v>0</v>
      </c>
      <c r="I5" s="10" t="str">
        <f t="shared" si="1"/>
        <v>2018 = 0</v>
      </c>
      <c r="J5" s="10" t="str">
        <f>IF(D5=0,CONCATENATE(D2, " = 0"),H5/D5-1)</f>
        <v>2018 = 0</v>
      </c>
      <c r="K5" s="95"/>
      <c r="L5" s="7" t="s">
        <v>36</v>
      </c>
      <c r="M5" s="9">
        <f>IF(D31/D12&lt;0,0,D31/D12)</f>
        <v>10.311004784688997</v>
      </c>
      <c r="N5" s="9">
        <f t="shared" ref="N5:P5" si="2">IF(E31/E12&lt;0,0,E31/E12)</f>
        <v>39.307692307692307</v>
      </c>
      <c r="O5" s="9">
        <f t="shared" si="2"/>
        <v>38.465517241379303</v>
      </c>
      <c r="P5" s="9">
        <f t="shared" si="2"/>
        <v>28.95454545454546</v>
      </c>
      <c r="Q5" s="9">
        <f>IF(H31/H12&lt;0,0,H31/H12)</f>
        <v>11.32394366197183</v>
      </c>
      <c r="R5" s="6">
        <f>SUM(M5:Q5)/IF(COUNTIF(M5:Q5,"&gt; 0") = 0, 1, COUNTIF(M5:Q5,"&gt; 0"))</f>
        <v>25.67254069005558</v>
      </c>
      <c r="S5" s="21" t="s">
        <v>37</v>
      </c>
    </row>
    <row r="6" spans="1:19">
      <c r="A6" s="11"/>
      <c r="B6" s="11" t="s">
        <v>3</v>
      </c>
      <c r="C6" s="56" t="s">
        <v>233</v>
      </c>
      <c r="D6" s="54">
        <f>SUM(Dane!F40:'Dane'!I40)</f>
        <v>49.629999999999995</v>
      </c>
      <c r="E6" s="54">
        <f>SUM(Dane!J40:'Dane'!M40)</f>
        <v>42.3</v>
      </c>
      <c r="F6" s="54">
        <f>SUM(Dane!N40:'Dane'!Q40)</f>
        <v>48.230000000000004</v>
      </c>
      <c r="G6" s="54">
        <f>SUM(Dane!R40:'Dane'!U40)</f>
        <v>67.039999999999992</v>
      </c>
      <c r="H6" s="54">
        <f>SUM(Dane!V40:'Dane'!Y40)</f>
        <v>86.69</v>
      </c>
      <c r="I6" s="10">
        <f t="shared" si="1"/>
        <v>0.14962495353167027</v>
      </c>
      <c r="J6" s="10">
        <f>IF(D6=0,CONCATENATE(D2, " = 0"),H6/D6-1)</f>
        <v>0.74672577070320378</v>
      </c>
      <c r="K6" s="95"/>
      <c r="L6" s="7" t="s">
        <v>171</v>
      </c>
      <c r="M6" s="6">
        <f>IF(D52/D53&lt;0,0,D52/D53)</f>
        <v>10.311004784688997</v>
      </c>
      <c r="N6" s="6">
        <f t="shared" ref="N6:Q6" si="3">IF(E52/E53&lt;0,0,E52/E53)</f>
        <v>39.307692307692307</v>
      </c>
      <c r="O6" s="6">
        <f t="shared" si="3"/>
        <v>38.465517241379303</v>
      </c>
      <c r="P6" s="6">
        <f t="shared" si="3"/>
        <v>28.95454545454546</v>
      </c>
      <c r="Q6" s="6">
        <f t="shared" si="3"/>
        <v>11.32394366197183</v>
      </c>
      <c r="R6" s="6">
        <f>SUM(M6:Q6)/IF(COUNTIF(M6:Q6,"&gt; 0") = 0, 1, COUNTIF(M6:Q6,"&gt; 0"))</f>
        <v>25.67254069005558</v>
      </c>
      <c r="S6" s="21" t="s">
        <v>37</v>
      </c>
    </row>
    <row r="7" spans="1:19">
      <c r="A7" s="11"/>
      <c r="B7" s="11" t="s">
        <v>358</v>
      </c>
      <c r="C7" s="57" t="s">
        <v>234</v>
      </c>
      <c r="D7" s="54">
        <f>SUM(Dane!F41:'Dane'!I41)</f>
        <v>-21.290000000000003</v>
      </c>
      <c r="E7" s="54">
        <f>SUM(Dane!J41:'Dane'!M41)</f>
        <v>-25.669999999999998</v>
      </c>
      <c r="F7" s="54">
        <f>SUM(Dane!N41:'Dane'!Q41)</f>
        <v>-31.67</v>
      </c>
      <c r="G7" s="54">
        <f>SUM(Dane!R41:'Dane'!U41)</f>
        <v>-27.9</v>
      </c>
      <c r="H7" s="54">
        <f>SUM(Dane!V41:'Dane'!Y41)</f>
        <v>-23.52</v>
      </c>
      <c r="I7" s="10">
        <f t="shared" si="1"/>
        <v>2.5216091176951672E-2</v>
      </c>
      <c r="J7" s="10">
        <f>IF(D7=0,CONCATENATE(D2, " = 0"),H7/D7-1)</f>
        <v>0.1047440112728979</v>
      </c>
      <c r="K7" s="95"/>
      <c r="L7" s="7" t="s">
        <v>395</v>
      </c>
      <c r="M7" s="6">
        <f>D31/D59</f>
        <v>1.5360519207683074</v>
      </c>
      <c r="N7" s="6">
        <f t="shared" ref="N7:Q7" si="4">E31/E59</f>
        <v>1.36529612587205</v>
      </c>
      <c r="O7" s="6">
        <f t="shared" si="4"/>
        <v>1.2932916814273292</v>
      </c>
      <c r="P7" s="6">
        <f t="shared" si="4"/>
        <v>2.1689501418727199</v>
      </c>
      <c r="Q7" s="6">
        <f t="shared" si="4"/>
        <v>1.3825196808081892</v>
      </c>
      <c r="S7" s="21" t="s">
        <v>34</v>
      </c>
    </row>
    <row r="8" spans="1:19">
      <c r="A8" s="11"/>
      <c r="B8" s="11" t="s">
        <v>40</v>
      </c>
      <c r="C8" s="53" t="s">
        <v>235</v>
      </c>
      <c r="D8" s="54">
        <f>SUM(Dane!F42:'Dane'!I42)</f>
        <v>36.97</v>
      </c>
      <c r="E8" s="54">
        <f>SUM(Dane!J42:'Dane'!M42)</f>
        <v>9.31</v>
      </c>
      <c r="F8" s="54">
        <f>SUM(Dane!N42:'Dane'!Q42)</f>
        <v>10.3</v>
      </c>
      <c r="G8" s="54">
        <f>SUM(Dane!R42:'Dane'!U42)</f>
        <v>28.18</v>
      </c>
      <c r="H8" s="54">
        <f>SUM(Dane!V42:'Dane'!Y42)</f>
        <v>46.51</v>
      </c>
      <c r="I8" s="10">
        <f t="shared" si="1"/>
        <v>5.906891767621758E-2</v>
      </c>
      <c r="J8" s="10">
        <f>IF(D8=0,CONCATENATE(D2, " = 0"),H8/D8-1)</f>
        <v>0.25804706518799025</v>
      </c>
      <c r="K8" s="95"/>
      <c r="L8" s="7" t="s">
        <v>38</v>
      </c>
      <c r="M8" s="2">
        <f>D13/D31</f>
        <v>1.4849187935034803E-2</v>
      </c>
      <c r="N8" s="2">
        <f>E13/E31</f>
        <v>1.5655577299412915E-2</v>
      </c>
      <c r="O8" s="2">
        <f>F13/F31</f>
        <v>1.4791573285522186E-2</v>
      </c>
      <c r="P8" s="2">
        <f>G13/G31</f>
        <v>8.9706212155191752E-3</v>
      </c>
      <c r="Q8" s="2">
        <f>H13/H31</f>
        <v>1.3681592039800997E-2</v>
      </c>
      <c r="R8" s="32"/>
      <c r="S8" s="21" t="s">
        <v>39</v>
      </c>
    </row>
    <row r="9" spans="1:19">
      <c r="A9" s="11"/>
      <c r="B9" s="11" t="s">
        <v>43</v>
      </c>
      <c r="C9" s="53" t="s">
        <v>236</v>
      </c>
      <c r="D9" s="54">
        <f>D12*D25</f>
        <v>39.709999999999994</v>
      </c>
      <c r="E9" s="54">
        <f t="shared" ref="E9:G9" si="5">E12*E25</f>
        <v>9.36</v>
      </c>
      <c r="F9" s="54">
        <f t="shared" si="5"/>
        <v>10.440000000000001</v>
      </c>
      <c r="G9" s="54">
        <f t="shared" si="5"/>
        <v>27.719999999999995</v>
      </c>
      <c r="H9" s="54">
        <f>H12*H25</f>
        <v>45.44</v>
      </c>
      <c r="I9" s="10">
        <f>IF(D9=0,CONCATENATE($D$2, " = 0"),POWER(ABS(H9/D9),1/(COUNT(D9:H9)-1))-1)</f>
        <v>3.4271622213129183E-2</v>
      </c>
      <c r="J9" s="10">
        <f>IF(D9=0,CONCATENATE(D2, " = 0"),H9/D9-1)</f>
        <v>0.14429614706623028</v>
      </c>
      <c r="K9" s="95"/>
      <c r="L9" s="7" t="s">
        <v>41</v>
      </c>
      <c r="M9" s="2">
        <f>D13/D12</f>
        <v>0.15311004784688997</v>
      </c>
      <c r="N9" s="2">
        <f>E13/E12</f>
        <v>0.61538461538461542</v>
      </c>
      <c r="O9" s="2">
        <f>F13/F12</f>
        <v>0.56896551724137923</v>
      </c>
      <c r="P9" s="2">
        <f>G13/G12</f>
        <v>0.25974025974025977</v>
      </c>
      <c r="Q9" s="2">
        <f>H13/H12</f>
        <v>0.15492957746478875</v>
      </c>
      <c r="R9" s="6"/>
      <c r="S9" s="22" t="s">
        <v>42</v>
      </c>
    </row>
    <row r="10" spans="1:19">
      <c r="A10" s="11"/>
      <c r="B10" s="11" t="s">
        <v>44</v>
      </c>
      <c r="C10" s="53" t="s">
        <v>237</v>
      </c>
      <c r="D10" s="54">
        <f>SUM(Dane!F44:'Dane'!I44)</f>
        <v>2.09</v>
      </c>
      <c r="E10" s="54">
        <f>SUM(Dane!J44:'Dane'!M44)</f>
        <v>0.52</v>
      </c>
      <c r="F10" s="54">
        <f>SUM(Dane!N44:'Dane'!Q44)</f>
        <v>0.58000000000000007</v>
      </c>
      <c r="G10" s="54">
        <f>SUM(Dane!R44:'Dane'!U44)</f>
        <v>1.5399999999999998</v>
      </c>
      <c r="H10" s="54">
        <f>SUM(Dane!V44:'Dane'!Y44)</f>
        <v>2.84</v>
      </c>
      <c r="I10" s="10">
        <f t="shared" si="1"/>
        <v>7.967492078013283E-2</v>
      </c>
      <c r="J10" s="10">
        <f>IF(D10=0,CONCATENATE(D2, " = 0"),H10/D10-1)</f>
        <v>0.35885167464114831</v>
      </c>
      <c r="K10" s="95"/>
      <c r="L10" s="7" t="s">
        <v>50</v>
      </c>
      <c r="M10" s="2">
        <f>D8/D3</f>
        <v>0.13869297719087634</v>
      </c>
      <c r="N10" s="2">
        <f t="shared" ref="N10:Q10" si="6">E8/E3</f>
        <v>3.4548018405818615E-2</v>
      </c>
      <c r="O10" s="2">
        <f t="shared" si="6"/>
        <v>3.3171234420791604E-2</v>
      </c>
      <c r="P10" s="2">
        <f t="shared" si="6"/>
        <v>7.6151871368733956E-2</v>
      </c>
      <c r="Q10" s="2">
        <f t="shared" si="6"/>
        <v>0.1249630565033988</v>
      </c>
      <c r="S10" s="21" t="s">
        <v>39</v>
      </c>
    </row>
    <row r="11" spans="1:19">
      <c r="A11" s="11"/>
      <c r="B11" s="11" t="s">
        <v>45</v>
      </c>
      <c r="C11" s="53" t="s">
        <v>238</v>
      </c>
      <c r="D11" s="54">
        <f>SUM(Dane!F45:'Dane'!I45)</f>
        <v>2.09</v>
      </c>
      <c r="E11" s="54">
        <f>SUM(Dane!J45:'Dane'!M45)</f>
        <v>0.52</v>
      </c>
      <c r="F11" s="54">
        <f>SUM(Dane!N45:'Dane'!Q45)</f>
        <v>0.58000000000000007</v>
      </c>
      <c r="G11" s="54">
        <f>SUM(Dane!R45:'Dane'!U45)</f>
        <v>1.5399999999999998</v>
      </c>
      <c r="H11" s="54">
        <f>SUM(Dane!V45:'Dane'!Y45)</f>
        <v>2.84</v>
      </c>
      <c r="I11" s="10">
        <f t="shared" si="1"/>
        <v>7.967492078013283E-2</v>
      </c>
      <c r="J11" s="10">
        <f>IF(D11=0,CONCATENATE(D2, " = 0"),H11/D11-1)</f>
        <v>0.35885167464114831</v>
      </c>
      <c r="K11" s="95"/>
      <c r="L11" s="7" t="s">
        <v>51</v>
      </c>
      <c r="M11" s="2"/>
      <c r="N11" s="2">
        <f>E3/E35</f>
        <v>0.28353332947545073</v>
      </c>
      <c r="O11" s="2">
        <f>F3/F35</f>
        <v>0.29960439984561943</v>
      </c>
      <c r="P11" s="2">
        <f>G3/G35</f>
        <v>0.32394884050739292</v>
      </c>
      <c r="Q11" s="2">
        <f>H3/H35</f>
        <v>0.32205281738889657</v>
      </c>
      <c r="S11" s="23"/>
    </row>
    <row r="12" spans="1:19">
      <c r="A12" s="11"/>
      <c r="B12" s="11" t="s">
        <v>46</v>
      </c>
      <c r="C12" s="53" t="s">
        <v>239</v>
      </c>
      <c r="D12" s="54">
        <f>SUM(Dane!F46:'Dane'!I46)</f>
        <v>2.09</v>
      </c>
      <c r="E12" s="54">
        <f>SUM(Dane!J46:'Dane'!M46)</f>
        <v>0.52</v>
      </c>
      <c r="F12" s="54">
        <f>SUM(Dane!N46:'Dane'!Q46)</f>
        <v>0.58000000000000007</v>
      </c>
      <c r="G12" s="54">
        <f>SUM(Dane!R46:'Dane'!U46)</f>
        <v>1.5399999999999998</v>
      </c>
      <c r="H12" s="54">
        <f>SUM(Dane!V46:'Dane'!Y46)</f>
        <v>2.84</v>
      </c>
      <c r="I12" s="36">
        <f t="shared" si="1"/>
        <v>7.967492078013283E-2</v>
      </c>
      <c r="J12" s="10">
        <f>IF(D12=0,CONCATENATE(D2, " = 0"),H12/D12-1)</f>
        <v>0.35885167464114831</v>
      </c>
      <c r="K12" s="95"/>
      <c r="L12" s="7" t="s">
        <v>53</v>
      </c>
      <c r="M12" s="6"/>
      <c r="N12" s="6">
        <f>E35/E36</f>
        <v>4.076146159454475</v>
      </c>
      <c r="O12" s="6">
        <f>F35/F36</f>
        <v>4.5325927707681881</v>
      </c>
      <c r="P12" s="6">
        <f>G35/G36</f>
        <v>5.3721635666752885</v>
      </c>
      <c r="Q12" s="6">
        <f>H35/H36</f>
        <v>7.1917607890724673</v>
      </c>
      <c r="S12" s="23"/>
    </row>
    <row r="13" spans="1:19">
      <c r="A13" s="11"/>
      <c r="B13" s="11" t="s">
        <v>47</v>
      </c>
      <c r="C13" s="53" t="s">
        <v>240</v>
      </c>
      <c r="D13" s="54">
        <f>SUM(Dane!F47:'Dane'!I47)</f>
        <v>0.32</v>
      </c>
      <c r="E13" s="54">
        <f>SUM(Dane!J47:'Dane'!M47)</f>
        <v>0.32</v>
      </c>
      <c r="F13" s="54">
        <f>SUM(Dane!N47:'Dane'!Q47)</f>
        <v>0.32999999999999996</v>
      </c>
      <c r="G13" s="54">
        <f>SUM(Dane!R47:'Dane'!U47)</f>
        <v>0.4</v>
      </c>
      <c r="H13" s="54">
        <f>SUM(Dane!V47:'Dane'!Y47)</f>
        <v>0.44</v>
      </c>
      <c r="I13" s="10">
        <f t="shared" si="1"/>
        <v>8.2868385333996875E-2</v>
      </c>
      <c r="J13" s="10">
        <f>IF(D13=0,CONCATENATE(D2, " = 0"),H13/D13-1)</f>
        <v>0.375</v>
      </c>
      <c r="K13" s="95"/>
      <c r="L13" s="7" t="s">
        <v>55</v>
      </c>
      <c r="M13" s="119" t="s">
        <v>55</v>
      </c>
      <c r="N13" s="2">
        <f>N10*N11</f>
        <v>9.7955146853809048E-3</v>
      </c>
      <c r="O13" s="2">
        <f>O10*O11</f>
        <v>9.9382477807796223E-3</v>
      </c>
      <c r="P13" s="2">
        <f>P10*P11</f>
        <v>2.4669310432369498E-2</v>
      </c>
      <c r="Q13" s="2">
        <f>Q10*Q11</f>
        <v>4.0244704416447459E-2</v>
      </c>
      <c r="S13" s="21" t="s">
        <v>39</v>
      </c>
    </row>
    <row r="14" spans="1:19">
      <c r="A14" s="12" t="s">
        <v>48</v>
      </c>
      <c r="B14" s="12" t="s">
        <v>49</v>
      </c>
      <c r="C14" s="37" t="s">
        <v>241</v>
      </c>
      <c r="D14" s="58">
        <f>Dane!I48</f>
        <v>9.4700000000000006</v>
      </c>
      <c r="E14" s="58">
        <f>Dane!M48</f>
        <v>5.81</v>
      </c>
      <c r="F14" s="58">
        <f>Dane!Q48</f>
        <v>0.73</v>
      </c>
      <c r="G14" s="58">
        <f>Dane!U48</f>
        <v>1.0900000000000001</v>
      </c>
      <c r="H14" s="58">
        <f>Dane!Y48</f>
        <v>0.82</v>
      </c>
      <c r="I14" s="10">
        <f t="shared" si="1"/>
        <v>-0.45754218745233033</v>
      </c>
      <c r="J14" s="10">
        <f>IF(D14=0,CONCATENATE(D2, " = 0"),H14/D14-1)</f>
        <v>-0.91341077085533262</v>
      </c>
      <c r="K14" s="95"/>
      <c r="L14" s="7" t="s">
        <v>57</v>
      </c>
      <c r="M14" s="119" t="s">
        <v>57</v>
      </c>
      <c r="N14" s="5">
        <f>N13*N12</f>
        <v>3.9927949564695288E-2</v>
      </c>
      <c r="O14" s="5">
        <f>O13*O12</f>
        <v>4.5046030045264703E-2</v>
      </c>
      <c r="P14" s="5">
        <f>P13*P12</f>
        <v>0.13252757071977803</v>
      </c>
      <c r="Q14" s="5">
        <f>Q13*Q12</f>
        <v>0.2894302871900184</v>
      </c>
      <c r="S14" s="21" t="s">
        <v>58</v>
      </c>
    </row>
    <row r="15" spans="1:19">
      <c r="A15" s="25"/>
      <c r="B15" s="12" t="s">
        <v>52</v>
      </c>
      <c r="C15" s="37" t="s">
        <v>242</v>
      </c>
      <c r="D15" s="58">
        <f>Dane!I49</f>
        <v>6.94</v>
      </c>
      <c r="E15" s="58">
        <f>Dane!M49</f>
        <v>6.69</v>
      </c>
      <c r="F15" s="58">
        <f>Dane!Q49</f>
        <v>7.38</v>
      </c>
      <c r="G15" s="58">
        <f>Dane!U49</f>
        <v>7.38</v>
      </c>
      <c r="H15" s="58">
        <f>Dane!Y49</f>
        <v>7.68</v>
      </c>
      <c r="I15" s="10">
        <f t="shared" si="1"/>
        <v>2.5652959224221394E-2</v>
      </c>
      <c r="J15" s="10">
        <f>IF(D15=0,CONCATENATE(D2, " = 0"),H15/D15-1)</f>
        <v>0.10662824207492783</v>
      </c>
      <c r="K15" s="95"/>
      <c r="S15" s="23"/>
    </row>
    <row r="16" spans="1:19">
      <c r="A16" s="12"/>
      <c r="B16" s="12" t="s">
        <v>54</v>
      </c>
      <c r="C16" s="37" t="s">
        <v>243</v>
      </c>
      <c r="D16" s="58">
        <f>Dane!I50</f>
        <v>38.06</v>
      </c>
      <c r="E16" s="58">
        <f>Dane!M50</f>
        <v>31.97</v>
      </c>
      <c r="F16" s="58">
        <f>Dane!Q50</f>
        <v>32.64</v>
      </c>
      <c r="G16" s="58">
        <f>Dane!U50</f>
        <v>36.869999999999997</v>
      </c>
      <c r="H16" s="58">
        <f>Dane!Y50</f>
        <v>35.979999999999997</v>
      </c>
      <c r="I16" s="10">
        <f t="shared" si="1"/>
        <v>-1.3951915509070156E-2</v>
      </c>
      <c r="J16" s="10">
        <f>IF(D16=0,CONCATENATE(D2, " = 0"),H16/D16-1)</f>
        <v>-5.4650551760378474E-2</v>
      </c>
      <c r="K16" s="95"/>
      <c r="L16" s="7" t="s">
        <v>61</v>
      </c>
      <c r="M16" s="6">
        <f>IF(D32&lt;0,D4/D32*(-1),"Interest &lt;= 0")</f>
        <v>3.138562705495537</v>
      </c>
      <c r="N16" s="6">
        <f t="shared" ref="N16:Q16" si="7">IF(E32&lt;0,E4/E32*(-1),"Interest &lt;= 0")</f>
        <v>2.3365796649785744</v>
      </c>
      <c r="O16" s="6">
        <f t="shared" si="7"/>
        <v>2.1834543732238711</v>
      </c>
      <c r="P16" s="6">
        <f t="shared" si="7"/>
        <v>3.1874551971326168</v>
      </c>
      <c r="Q16" s="6">
        <f t="shared" si="7"/>
        <v>4.5752551020408161</v>
      </c>
      <c r="S16" s="23" t="s">
        <v>62</v>
      </c>
    </row>
    <row r="17" spans="1:19">
      <c r="A17" s="12"/>
      <c r="B17" s="12" t="s">
        <v>56</v>
      </c>
      <c r="C17" s="37" t="s">
        <v>244</v>
      </c>
      <c r="D17" s="58">
        <f>Dane!I51</f>
        <v>948.72</v>
      </c>
      <c r="E17" s="58">
        <f>Dane!M51</f>
        <v>952.15</v>
      </c>
      <c r="F17" s="58">
        <f>Dane!Q51</f>
        <v>1120.6500000000001</v>
      </c>
      <c r="G17" s="58">
        <f>Dane!U51</f>
        <v>1163.97</v>
      </c>
      <c r="H17" s="58">
        <f>Dane!Y51</f>
        <v>1147.3900000000001</v>
      </c>
      <c r="I17" s="10">
        <f t="shared" si="1"/>
        <v>4.8680641618151999E-2</v>
      </c>
      <c r="J17" s="10">
        <f>IF(D17=0,CONCATENATE(D2, " = 0"),H17/D17-1)</f>
        <v>0.20940846614385711</v>
      </c>
      <c r="K17" s="95"/>
      <c r="L17" s="7" t="s">
        <v>185</v>
      </c>
      <c r="M17" s="6">
        <f>IF(D4&lt;0,0,D20/D4)</f>
        <v>5.401975456450165</v>
      </c>
      <c r="N17" s="6">
        <f t="shared" ref="N17:P17" si="8">IF(E4&lt;0,0,E20/E4)</f>
        <v>6.333611203734578</v>
      </c>
      <c r="O17" s="6">
        <f t="shared" si="8"/>
        <v>7.0448300795372374</v>
      </c>
      <c r="P17" s="6">
        <f t="shared" si="8"/>
        <v>5.7514899359046439</v>
      </c>
      <c r="Q17" s="6">
        <f>IF(H4&lt;0,0,H20/H4)</f>
        <v>5.5006040330824266</v>
      </c>
      <c r="S17" s="23" t="s">
        <v>186</v>
      </c>
    </row>
    <row r="18" spans="1:19">
      <c r="A18" s="25"/>
      <c r="B18" s="12" t="s">
        <v>143</v>
      </c>
      <c r="C18" s="59" t="s">
        <v>256</v>
      </c>
      <c r="D18" s="58">
        <f>Dane!I52</f>
        <v>2.4500000000000002</v>
      </c>
      <c r="E18" s="58">
        <f>Dane!M52</f>
        <v>3.49</v>
      </c>
      <c r="F18" s="58">
        <f>Dane!Q52</f>
        <v>6.06</v>
      </c>
      <c r="G18" s="58">
        <f>Dane!U52</f>
        <v>3.04</v>
      </c>
      <c r="H18" s="58">
        <f>Dane!Y52</f>
        <v>3.1</v>
      </c>
      <c r="I18"/>
      <c r="L18" s="7" t="s">
        <v>151</v>
      </c>
      <c r="M18" s="119" t="s">
        <v>151</v>
      </c>
      <c r="N18" s="6">
        <f>E41/E35</f>
        <v>0.7546702299473399</v>
      </c>
      <c r="O18" s="6">
        <f>F41/F35</f>
        <v>0.77937572365881891</v>
      </c>
      <c r="P18" s="6">
        <f>G41/G35</f>
        <v>0.81385963530040017</v>
      </c>
      <c r="Q18" s="6">
        <f>H41/H35</f>
        <v>0.86095632008860579</v>
      </c>
      <c r="S18" s="23" t="s">
        <v>64</v>
      </c>
    </row>
    <row r="19" spans="1:19">
      <c r="A19" s="25"/>
      <c r="B19" s="12" t="s">
        <v>144</v>
      </c>
      <c r="C19" s="59" t="s">
        <v>257</v>
      </c>
      <c r="D19" s="58">
        <f>Dane!I53</f>
        <v>358.51</v>
      </c>
      <c r="E19" s="58">
        <f>Dane!M53</f>
        <v>376.4</v>
      </c>
      <c r="F19" s="58">
        <f>Dane!Q53</f>
        <v>481.09</v>
      </c>
      <c r="G19" s="58">
        <f>Dane!U53</f>
        <v>508.44</v>
      </c>
      <c r="H19" s="58">
        <f>Dane!Y53</f>
        <v>588.82000000000005</v>
      </c>
      <c r="I19"/>
      <c r="L19" s="7" t="s">
        <v>66</v>
      </c>
      <c r="N19" s="6">
        <f>E41/E36</f>
        <v>3.076146159454475</v>
      </c>
      <c r="O19" s="6">
        <f>F41/F36</f>
        <v>3.5325927707681877</v>
      </c>
      <c r="P19" s="6">
        <f>G41/G36</f>
        <v>4.3721870811484473</v>
      </c>
      <c r="Q19" s="6">
        <f>H41/H36</f>
        <v>6.191791903917359</v>
      </c>
      <c r="S19" s="23"/>
    </row>
    <row r="20" spans="1:19">
      <c r="A20" s="12"/>
      <c r="B20" s="12" t="s">
        <v>59</v>
      </c>
      <c r="C20" s="37" t="s">
        <v>258</v>
      </c>
      <c r="D20" s="58">
        <f>Dane!I54</f>
        <v>360.96</v>
      </c>
      <c r="E20" s="58">
        <f>Dane!M54</f>
        <v>379.89</v>
      </c>
      <c r="F20" s="58">
        <f>Dane!Q54</f>
        <v>487.15</v>
      </c>
      <c r="G20" s="58">
        <f>Dane!U54</f>
        <v>511.48</v>
      </c>
      <c r="H20" s="58">
        <f>Dane!Y54</f>
        <v>591.91999999999996</v>
      </c>
      <c r="I20" s="10">
        <f t="shared" ref="I20:I30" si="9">IF(D20=0,CONCATENATE($D$2, " = 0"),POWER(ABS(H20/D20),1/(COUNT(D20:H20)-1))-1)</f>
        <v>0.1316209630747085</v>
      </c>
      <c r="J20" s="10">
        <f>IF(D20=0,CONCATENATE(D2, " = 0"),H20/D20-1)</f>
        <v>0.63984929078014185</v>
      </c>
      <c r="K20" s="95"/>
      <c r="L20" s="7" t="s">
        <v>68</v>
      </c>
      <c r="M20" s="119" t="s">
        <v>68</v>
      </c>
      <c r="N20" s="6">
        <f>E39/E36</f>
        <v>1.5886477677231201</v>
      </c>
      <c r="O20" s="6">
        <f>F39/F36</f>
        <v>1.8959567907983643</v>
      </c>
      <c r="P20" s="6">
        <f>G39/G36</f>
        <v>2.3482258330002117</v>
      </c>
      <c r="Q20" s="6">
        <f>H39/H36</f>
        <v>3.4332119854382532</v>
      </c>
      <c r="S20" s="23" t="s">
        <v>69</v>
      </c>
    </row>
    <row r="21" spans="1:19">
      <c r="A21" s="12"/>
      <c r="B21" s="12" t="s">
        <v>60</v>
      </c>
      <c r="C21" s="37" t="s">
        <v>245</v>
      </c>
      <c r="D21" s="58">
        <f>Dane!I55</f>
        <v>30.82</v>
      </c>
      <c r="E21" s="58">
        <f>Dane!M55</f>
        <v>38.89</v>
      </c>
      <c r="F21" s="58">
        <f>Dane!Q55</f>
        <v>48.43</v>
      </c>
      <c r="G21" s="58">
        <f>Dane!U55</f>
        <v>60.7</v>
      </c>
      <c r="H21" s="58">
        <f>Dane!Y55</f>
        <v>49.55</v>
      </c>
      <c r="I21" s="10">
        <f t="shared" si="9"/>
        <v>0.12603724644796577</v>
      </c>
      <c r="J21" s="10">
        <f>IF(D21=0,CONCATENATE(D2, " = 0"),H21/D21-1)</f>
        <v>0.60772225827384796</v>
      </c>
      <c r="K21" s="95"/>
      <c r="L21" s="7" t="s">
        <v>71</v>
      </c>
      <c r="M21" s="6"/>
      <c r="N21" s="6">
        <f>E42/E41</f>
        <v>1.9028113737600472</v>
      </c>
      <c r="O21" s="6">
        <f>F42/F41</f>
        <v>1.8919089564157003</v>
      </c>
      <c r="P21" s="6">
        <f>G42/G41</f>
        <v>1.8826262800103257</v>
      </c>
      <c r="Q21" s="6">
        <f>H42/H41</f>
        <v>1.8891948662800631</v>
      </c>
      <c r="S21" s="23" t="s">
        <v>72</v>
      </c>
    </row>
    <row r="22" spans="1:19">
      <c r="A22" s="12"/>
      <c r="B22" s="12" t="s">
        <v>63</v>
      </c>
      <c r="C22" s="37" t="s">
        <v>246</v>
      </c>
      <c r="D22" s="58">
        <f>Dane!I56</f>
        <v>676.07</v>
      </c>
      <c r="E22" s="58">
        <f>Dane!M56</f>
        <v>688.75</v>
      </c>
      <c r="F22" s="58">
        <f>Dane!Q56</f>
        <v>839.43</v>
      </c>
      <c r="G22" s="58">
        <f>Dane!U56</f>
        <v>910.81</v>
      </c>
      <c r="H22" s="58">
        <f>Dane!Y56</f>
        <v>968.92</v>
      </c>
      <c r="I22" s="10">
        <f t="shared" si="9"/>
        <v>9.4142943765219922E-2</v>
      </c>
      <c r="J22" s="10">
        <f>IF(D22=0,CONCATENATE(D2, " = 0"),H22/D22-1)</f>
        <v>0.43316520478648646</v>
      </c>
      <c r="K22" s="95"/>
      <c r="L22" s="7" t="s">
        <v>75</v>
      </c>
      <c r="M22" s="6"/>
      <c r="N22" s="6" t="str">
        <f>IF(D39=0,"Debt = 0",D42/D39)</f>
        <v>Debt = 0</v>
      </c>
      <c r="O22" s="6">
        <f>IF(E39=0,"Debt = 0",E42/E39)</f>
        <v>3.6844705405952629</v>
      </c>
      <c r="P22" s="6">
        <f>IF(F39=0,"Debt = 0",F42/F39)</f>
        <v>3.5250507473703632</v>
      </c>
      <c r="Q22" s="6">
        <f>IF(G39=0,"Debt = 0",G42/G39)</f>
        <v>3.5052822366642298</v>
      </c>
      <c r="S22" s="23" t="s">
        <v>72</v>
      </c>
    </row>
    <row r="23" spans="1:19">
      <c r="A23" s="12"/>
      <c r="B23" s="12" t="s">
        <v>65</v>
      </c>
      <c r="C23" s="37" t="s">
        <v>247</v>
      </c>
      <c r="D23" s="58">
        <f>Dane!I57</f>
        <v>706.89</v>
      </c>
      <c r="E23" s="58">
        <f>Dane!M57</f>
        <v>727.64</v>
      </c>
      <c r="F23" s="58">
        <f>Dane!Q57</f>
        <v>887.85</v>
      </c>
      <c r="G23" s="58">
        <f>Dane!U57</f>
        <v>971.51</v>
      </c>
      <c r="H23" s="58">
        <f>Dane!Y57</f>
        <v>1018.47</v>
      </c>
      <c r="I23" s="10">
        <f t="shared" si="9"/>
        <v>9.5592626560260685E-2</v>
      </c>
      <c r="J23" s="10">
        <f>IF(D23=0,CONCATENATE(D2, " = 0"),H23/D23-1)</f>
        <v>0.4407757925561262</v>
      </c>
      <c r="K23" s="95"/>
    </row>
    <row r="24" spans="1:19">
      <c r="A24" s="12"/>
      <c r="B24" s="12" t="s">
        <v>67</v>
      </c>
      <c r="C24" s="37" t="s">
        <v>248</v>
      </c>
      <c r="D24" s="58">
        <f>Dane!I58</f>
        <v>241.83</v>
      </c>
      <c r="E24" s="58">
        <f>Dane!M58</f>
        <v>224.51</v>
      </c>
      <c r="F24" s="58">
        <f>Dane!Q58</f>
        <v>232.8</v>
      </c>
      <c r="G24" s="58">
        <f>Dane!U58</f>
        <v>192.47</v>
      </c>
      <c r="H24" s="58">
        <f>Dane!Y58</f>
        <v>128.91999999999999</v>
      </c>
      <c r="I24" s="10">
        <f t="shared" si="9"/>
        <v>-0.14551876403941411</v>
      </c>
      <c r="J24" s="10">
        <f>IF(D24=0,CONCATENATE(D2, " = 0"),H24/D24-1)</f>
        <v>-0.4668982342968202</v>
      </c>
      <c r="K24" s="95"/>
      <c r="L24" s="7" t="s">
        <v>77</v>
      </c>
      <c r="M24" s="6"/>
      <c r="N24" s="6">
        <f>E38/E40</f>
        <v>1.0045904461339836</v>
      </c>
      <c r="O24" s="6">
        <f>F38/F40</f>
        <v>0.73992212551534586</v>
      </c>
      <c r="P24" s="6">
        <f>G38/G40</f>
        <v>0.63694676074406664</v>
      </c>
      <c r="Q24" s="6">
        <f>H38/H40</f>
        <v>0.66077097505668925</v>
      </c>
      <c r="S24" s="23" t="s">
        <v>78</v>
      </c>
    </row>
    <row r="25" spans="1:19">
      <c r="A25" s="12"/>
      <c r="B25" s="12" t="s">
        <v>70</v>
      </c>
      <c r="C25" s="37" t="s">
        <v>249</v>
      </c>
      <c r="D25" s="58">
        <f>Dane!I59</f>
        <v>19</v>
      </c>
      <c r="E25" s="58">
        <f>Dane!M59</f>
        <v>18</v>
      </c>
      <c r="F25" s="58">
        <f>Dane!Q59</f>
        <v>18</v>
      </c>
      <c r="G25" s="58">
        <f>Dane!U59</f>
        <v>18</v>
      </c>
      <c r="H25" s="58">
        <f>Dane!Y59</f>
        <v>16</v>
      </c>
      <c r="I25" s="10">
        <f t="shared" si="9"/>
        <v>-4.2052749112850618E-2</v>
      </c>
      <c r="J25" s="10">
        <f>IF(D25=0,CONCATENATE(D2, " = 0"),H25/D25-1)</f>
        <v>-0.15789473684210531</v>
      </c>
      <c r="K25" s="95"/>
      <c r="L25" s="7" t="s">
        <v>79</v>
      </c>
      <c r="M25" s="6"/>
      <c r="N25" s="6">
        <f>(E38-E37)/E40</f>
        <v>0.80906613111461756</v>
      </c>
      <c r="O25" s="6">
        <f>(F38-F37)/F40</f>
        <v>0.57879065506184157</v>
      </c>
      <c r="P25" s="6">
        <f>(G38-G37)/G40</f>
        <v>0.5016952258773939</v>
      </c>
      <c r="Q25" s="6">
        <f>(H38-H37)/H40</f>
        <v>0.52417233560090692</v>
      </c>
      <c r="S25" s="23" t="s">
        <v>80</v>
      </c>
    </row>
    <row r="26" spans="1:19">
      <c r="A26" s="16" t="s">
        <v>73</v>
      </c>
      <c r="B26" s="16" t="s">
        <v>74</v>
      </c>
      <c r="C26" s="60" t="s">
        <v>250</v>
      </c>
      <c r="D26" s="89">
        <f>SUM(Dane!F60:'Dane'!I60)</f>
        <v>53.129999999999995</v>
      </c>
      <c r="E26" s="89">
        <f>SUM(Dane!J60:'Dane'!M60)</f>
        <v>46.339999999999996</v>
      </c>
      <c r="F26" s="89">
        <f>SUM(Dane!N60:'Dane'!Q60)</f>
        <v>74.990000000000009</v>
      </c>
      <c r="G26" s="89">
        <f>SUM(Dane!R60:'Dane'!U60)</f>
        <v>84.79</v>
      </c>
      <c r="H26" s="89">
        <f>SUM(Dane!V60:'Dane'!Y60)</f>
        <v>64.600000000000009</v>
      </c>
      <c r="I26" s="36">
        <f t="shared" si="9"/>
        <v>5.0081906777056373E-2</v>
      </c>
      <c r="J26" s="10">
        <f>IF(D26=0,CONCATENATE(D2, " = 0"),H26/D26-1)</f>
        <v>0.21588556371165102</v>
      </c>
      <c r="K26" s="95"/>
      <c r="L26" s="7" t="s">
        <v>323</v>
      </c>
      <c r="M26" s="6"/>
      <c r="N26" s="6">
        <f>E26/E40</f>
        <v>1.3295079615550134</v>
      </c>
      <c r="O26" s="6">
        <f>F26/F40</f>
        <v>1.7175904718277604</v>
      </c>
      <c r="P26" s="6">
        <f>G26/G40</f>
        <v>1.5539265096673693</v>
      </c>
      <c r="Q26" s="6">
        <f>H26/H40</f>
        <v>1.1718820861678005</v>
      </c>
      <c r="S26" s="23" t="s">
        <v>142</v>
      </c>
    </row>
    <row r="27" spans="1:19">
      <c r="A27" s="18"/>
      <c r="B27" s="16" t="s">
        <v>76</v>
      </c>
      <c r="C27" s="60" t="s">
        <v>251</v>
      </c>
      <c r="D27" s="89">
        <f>SUM(Dane!F61:'Dane'!I61)</f>
        <v>-73.039999999999992</v>
      </c>
      <c r="E27" s="89">
        <f>SUM(Dane!J61:'Dane'!M61)</f>
        <v>-13.75</v>
      </c>
      <c r="F27" s="89">
        <f>SUM(Dane!N61:'Dane'!Q61)</f>
        <v>-180.15</v>
      </c>
      <c r="G27" s="89">
        <f>SUM(Dane!R61:'Dane'!U61)</f>
        <v>-15.11</v>
      </c>
      <c r="H27" s="89">
        <f>SUM(Dane!V61:'Dane'!Y61)</f>
        <v>-24.03</v>
      </c>
      <c r="I27" s="10">
        <f t="shared" si="9"/>
        <v>-0.24264717176617734</v>
      </c>
      <c r="J27" s="10">
        <f>IF(D27=0,CONCATENATE(D2, " = 0"),H27/D27-1)</f>
        <v>-0.6710021905805037</v>
      </c>
      <c r="K27" s="95"/>
      <c r="L27" s="7"/>
      <c r="S27" s="19"/>
    </row>
    <row r="28" spans="1:19">
      <c r="A28" s="18"/>
      <c r="B28" s="16" t="s">
        <v>147</v>
      </c>
      <c r="C28" s="60" t="s">
        <v>252</v>
      </c>
      <c r="D28" s="89">
        <f>SUM(Dane!F62:'Dane'!I62)</f>
        <v>37.179999999999993</v>
      </c>
      <c r="E28" s="89">
        <f>SUM(Dane!J62:'Dane'!M62)</f>
        <v>-7.35</v>
      </c>
      <c r="F28" s="89">
        <f>SUM(Dane!N62:'Dane'!Q62)</f>
        <v>108.14999999999999</v>
      </c>
      <c r="G28" s="89">
        <f>SUM(Dane!R62:'Dane'!U62)</f>
        <v>1.1999999999999993</v>
      </c>
      <c r="H28" s="89">
        <f>SUM(Dane!V62:'Dane'!Y62)</f>
        <v>100.99000000000001</v>
      </c>
      <c r="I28" s="10">
        <f t="shared" si="9"/>
        <v>0.28378485130169362</v>
      </c>
      <c r="J28" s="10">
        <f>IF(D28=0,CONCATENATE(D2, " = 0"),H28/D28-1)</f>
        <v>1.7162452931683707</v>
      </c>
      <c r="K28" s="95"/>
      <c r="L28" s="7" t="s">
        <v>86</v>
      </c>
      <c r="O28" t="str">
        <f>CONCATENATE(N2,"-",O2)</f>
        <v>2019-2020</v>
      </c>
      <c r="P28" t="str">
        <f>CONCATENATE(O2,"-",P2)</f>
        <v>2020-2021</v>
      </c>
      <c r="Q28" t="str">
        <f>CONCATENATE(P2,"-",Q2)</f>
        <v>2021-2022</v>
      </c>
      <c r="S28" s="23" t="s">
        <v>158</v>
      </c>
    </row>
    <row r="29" spans="1:19">
      <c r="A29" s="18"/>
      <c r="B29" s="16" t="s">
        <v>148</v>
      </c>
      <c r="C29" s="60" t="s">
        <v>253</v>
      </c>
      <c r="D29" s="89">
        <f>SUM(Dane!F63:'Dane'!I63)</f>
        <v>0</v>
      </c>
      <c r="E29" s="89">
        <f>SUM(Dane!J63:'Dane'!M63)</f>
        <v>0</v>
      </c>
      <c r="F29" s="89">
        <f>SUM(Dane!N63:'Dane'!Q63)</f>
        <v>0</v>
      </c>
      <c r="G29" s="89">
        <f>SUM(Dane!R63:'Dane'!U63)</f>
        <v>-61.74</v>
      </c>
      <c r="H29" s="89">
        <f>SUM(Dane!V63:'Dane'!Y63)</f>
        <v>-114.97</v>
      </c>
      <c r="I29" s="10" t="str">
        <f t="shared" si="9"/>
        <v>2018 = 0</v>
      </c>
      <c r="J29" s="10" t="str">
        <f>IF(D29=0,CONCATENATE(D2, " = 0"),H29/D29-1)</f>
        <v>2018 = 0</v>
      </c>
      <c r="K29" s="95"/>
      <c r="L29" s="7" t="s">
        <v>89</v>
      </c>
      <c r="O29" s="6">
        <f t="shared" ref="O29:Q31" si="10">O24-N24</f>
        <v>-0.26466832061863776</v>
      </c>
      <c r="P29" s="6">
        <f t="shared" si="10"/>
        <v>-0.10297536477127922</v>
      </c>
      <c r="Q29" s="6">
        <f t="shared" si="10"/>
        <v>2.3824214312622605E-2</v>
      </c>
      <c r="S29" s="23" t="s">
        <v>160</v>
      </c>
    </row>
    <row r="30" spans="1:19">
      <c r="A30" s="18"/>
      <c r="B30" s="16" t="s">
        <v>81</v>
      </c>
      <c r="C30" s="60" t="s">
        <v>254</v>
      </c>
      <c r="D30" s="89">
        <f>SUM(Dane!F64:'Dane'!I64)</f>
        <v>28.61</v>
      </c>
      <c r="E30" s="89">
        <f>SUM(Dane!J64:'Dane'!M64)</f>
        <v>-36.25</v>
      </c>
      <c r="F30" s="89">
        <f>SUM(Dane!N64:'Dane'!Q64)</f>
        <v>100.09</v>
      </c>
      <c r="G30" s="89">
        <f>SUM(Dane!R64:'Dane'!U64)</f>
        <v>-69.33</v>
      </c>
      <c r="H30" s="89">
        <f>SUM(Dane!V64:'Dane'!Y64)</f>
        <v>-40.849999999999994</v>
      </c>
      <c r="I30" s="10">
        <f t="shared" si="9"/>
        <v>9.3121788152343621E-2</v>
      </c>
      <c r="J30" s="10">
        <f>IF(D30=0,CONCATENATE(D2, " = 0"),H30/D30-1)</f>
        <v>-2.4278224397063961</v>
      </c>
      <c r="K30" s="95"/>
      <c r="L30" s="7" t="s">
        <v>91</v>
      </c>
      <c r="O30" s="6">
        <f t="shared" si="10"/>
        <v>-0.23027547605277598</v>
      </c>
      <c r="P30" s="6">
        <f t="shared" si="10"/>
        <v>-7.7095429184447672E-2</v>
      </c>
      <c r="Q30" s="6">
        <f t="shared" si="10"/>
        <v>2.2477109723513022E-2</v>
      </c>
      <c r="S30" s="23" t="s">
        <v>159</v>
      </c>
    </row>
    <row r="31" spans="1:19">
      <c r="A31" s="7" t="s">
        <v>82</v>
      </c>
      <c r="B31" s="26" t="s">
        <v>83</v>
      </c>
      <c r="C31" s="26" t="s">
        <v>255</v>
      </c>
      <c r="D31" s="90">
        <f>Dane!I65</f>
        <v>21.55</v>
      </c>
      <c r="E31" s="90">
        <f>Dane!M65</f>
        <v>20.440000000000001</v>
      </c>
      <c r="F31" s="90">
        <f>Dane!Q65</f>
        <v>22.31</v>
      </c>
      <c r="G31" s="90">
        <f>Dane!U65</f>
        <v>44.59</v>
      </c>
      <c r="H31" s="90">
        <f>Dane!Y65</f>
        <v>32.159999999999997</v>
      </c>
      <c r="I31" s="9"/>
      <c r="L31" s="7" t="s">
        <v>324</v>
      </c>
      <c r="O31" s="6">
        <f>O26-N26</f>
        <v>0.38808251027274698</v>
      </c>
      <c r="P31" s="6">
        <f t="shared" si="10"/>
        <v>-0.16366396216039103</v>
      </c>
      <c r="Q31" s="6">
        <f t="shared" si="10"/>
        <v>-0.3820444234995688</v>
      </c>
    </row>
    <row r="32" spans="1:19">
      <c r="A32" s="7" t="s">
        <v>84</v>
      </c>
      <c r="B32" s="7" t="s">
        <v>85</v>
      </c>
      <c r="C32" s="15"/>
      <c r="D32" s="33">
        <f>D5+D7</f>
        <v>-21.290000000000003</v>
      </c>
      <c r="E32" s="33">
        <f t="shared" ref="E32:G32" si="11">E5+E7</f>
        <v>-25.669999999999998</v>
      </c>
      <c r="F32" s="33">
        <f t="shared" si="11"/>
        <v>-31.67</v>
      </c>
      <c r="G32" s="33">
        <f t="shared" si="11"/>
        <v>-27.9</v>
      </c>
      <c r="H32" s="33">
        <f>H5+H7</f>
        <v>-23.52</v>
      </c>
      <c r="I32" s="33"/>
      <c r="J32" s="27"/>
      <c r="K32" s="96"/>
      <c r="L32" s="7" t="s">
        <v>321</v>
      </c>
      <c r="R32" t="s">
        <v>154</v>
      </c>
      <c r="S32" s="23" t="s">
        <v>187</v>
      </c>
    </row>
    <row r="33" spans="1:19">
      <c r="A33" s="24" t="s">
        <v>87</v>
      </c>
      <c r="B33" s="7" t="s">
        <v>88</v>
      </c>
      <c r="C33" s="15"/>
      <c r="D33" s="29">
        <f>D20-D14</f>
        <v>351.48999999999995</v>
      </c>
      <c r="E33" s="29">
        <f>E20-E14</f>
        <v>374.08</v>
      </c>
      <c r="F33" s="29">
        <f>F20-F14</f>
        <v>486.41999999999996</v>
      </c>
      <c r="G33" s="29">
        <f>G20-G14</f>
        <v>510.39000000000004</v>
      </c>
      <c r="H33" s="29">
        <f>H20-H14</f>
        <v>591.09999999999991</v>
      </c>
      <c r="I33" s="29"/>
      <c r="J33" s="27"/>
      <c r="K33" s="96"/>
      <c r="L33" s="7" t="s">
        <v>149</v>
      </c>
      <c r="M33" s="4">
        <f>D26+D27+D30-IF(D28&gt;0,D28,0)</f>
        <v>-28.47999999999999</v>
      </c>
      <c r="N33" s="4">
        <f>E26+E27+E30-IF(E28&gt;0,E28,0)</f>
        <v>-3.6600000000000037</v>
      </c>
      <c r="O33" s="4">
        <f>F26+F27+F30-IF(F28&gt;0,F28,0)</f>
        <v>-113.21999999999998</v>
      </c>
      <c r="P33" s="4">
        <f>G26+G27+G30-IF(G28&gt;0,G28,0)</f>
        <v>-0.84999999999999076</v>
      </c>
      <c r="Q33" s="4">
        <f>H26+H27+H30-IF(H28&gt;0,H28,0)</f>
        <v>-101.27</v>
      </c>
      <c r="R33" s="1">
        <f>SUM(M33:Q33)</f>
        <v>-247.47999999999996</v>
      </c>
      <c r="S33" s="23" t="s">
        <v>95</v>
      </c>
    </row>
    <row r="34" spans="1:19">
      <c r="A34" s="17" t="s">
        <v>90</v>
      </c>
      <c r="C34"/>
      <c r="L34" s="7" t="s">
        <v>150</v>
      </c>
      <c r="M34" s="4">
        <f>D26+D27+D30-IF(D28&gt;0,D28,0)-IF(D29&lt;0,D29,0)</f>
        <v>-28.47999999999999</v>
      </c>
      <c r="N34" s="4">
        <f>E26+E27+E30-IF(E28&gt;0,E28,0)-IF(E29&lt;0,E29,0)</f>
        <v>-3.6600000000000037</v>
      </c>
      <c r="O34" s="4">
        <f>F26+F27+F30-IF(F28&gt;0,F28,0)-IF(F29&lt;0,F29,0)</f>
        <v>-113.21999999999998</v>
      </c>
      <c r="P34" s="4">
        <f>G26+G27+G30-IF(G28&gt;0,G28,0)-IF(G29&lt;0,G29,0)</f>
        <v>60.890000000000015</v>
      </c>
      <c r="Q34" s="4">
        <f>H26+H27+H30-IF(H28&gt;0,H28,0)-IF(H29&lt;0,H29,0)</f>
        <v>13.700000000000003</v>
      </c>
      <c r="R34" s="1">
        <f>SUM(M34:Q34)</f>
        <v>-70.769999999999968</v>
      </c>
      <c r="S34" s="23" t="s">
        <v>95</v>
      </c>
    </row>
    <row r="35" spans="1:19">
      <c r="B35" s="7" t="s">
        <v>92</v>
      </c>
      <c r="C35" s="9"/>
      <c r="D35" s="9"/>
      <c r="E35" s="9">
        <f>(D17+E17)/2</f>
        <v>950.43499999999995</v>
      </c>
      <c r="F35" s="9">
        <f>(E17+F17)/2</f>
        <v>1036.4000000000001</v>
      </c>
      <c r="G35" s="9">
        <f>(F17+G17)/2</f>
        <v>1142.31</v>
      </c>
      <c r="H35" s="9">
        <f>(G17+H17)/2</f>
        <v>1155.68</v>
      </c>
      <c r="I35" s="9"/>
      <c r="J35" s="10">
        <f>IF(E35&lt;&gt;0,POWER(H35/E35,1/COUNT(D35:H35))-1,"ND")</f>
        <v>5.0095492154485388E-2</v>
      </c>
      <c r="K35" s="95"/>
      <c r="L35" s="7" t="s">
        <v>98</v>
      </c>
      <c r="M35" s="7" t="b">
        <f>AND(D27&lt;0,D30&lt;0,D26&gt;0)</f>
        <v>0</v>
      </c>
      <c r="N35" s="7" t="b">
        <f>AND(E27&lt;0,E30&lt;0,E26&gt;0)</f>
        <v>1</v>
      </c>
      <c r="O35" s="7" t="b">
        <f>AND(F27&lt;0,F30&lt;0,F26&gt;0)</f>
        <v>0</v>
      </c>
      <c r="P35" s="7" t="b">
        <f>AND(G27&lt;0,G30&lt;0,G26&gt;0)</f>
        <v>1</v>
      </c>
      <c r="Q35" s="7" t="b">
        <f>AND(H27&lt;0,H30&lt;0,H26&gt;0)</f>
        <v>1</v>
      </c>
      <c r="S35" s="23" t="b">
        <v>1</v>
      </c>
    </row>
    <row r="36" spans="1:19">
      <c r="B36" s="7" t="s">
        <v>93</v>
      </c>
      <c r="C36" s="9"/>
      <c r="D36" s="9"/>
      <c r="E36" s="9">
        <f>(D24+E24)/2</f>
        <v>233.17000000000002</v>
      </c>
      <c r="F36" s="9">
        <f>(E24+F24)/2</f>
        <v>228.655</v>
      </c>
      <c r="G36" s="9">
        <f>(F24+G24)/2</f>
        <v>212.63499999999999</v>
      </c>
      <c r="H36" s="9">
        <f>(G24+H24)/2</f>
        <v>160.69499999999999</v>
      </c>
      <c r="I36" s="9"/>
      <c r="J36" s="10">
        <f>IF(E36&lt;&gt;0,POWER(H36/E36,1/COUNT(E36:H36))-1,"ND")</f>
        <v>-8.8865644010058475E-2</v>
      </c>
      <c r="K36" s="95"/>
      <c r="L36" s="7"/>
    </row>
    <row r="37" spans="1:19">
      <c r="B37" s="7" t="s">
        <v>94</v>
      </c>
      <c r="C37" s="15"/>
      <c r="E37" s="1">
        <f>(E15+D15)/2</f>
        <v>6.8150000000000004</v>
      </c>
      <c r="F37" s="1">
        <f>(F15+E15)/2</f>
        <v>7.0350000000000001</v>
      </c>
      <c r="G37" s="1">
        <f>(G15+F15)/2</f>
        <v>7.38</v>
      </c>
      <c r="H37" s="1">
        <f>(H15+G15)/2</f>
        <v>7.5299999999999994</v>
      </c>
      <c r="J37" s="10">
        <f t="shared" ref="J37:J42" si="12">IF(E37&lt;&gt;0,POWER(H37/E37,1/COUNT(D37:H37))-1,"ND")</f>
        <v>2.5255904304409826E-2</v>
      </c>
      <c r="K37" s="95"/>
      <c r="L37" s="7" t="s">
        <v>100</v>
      </c>
      <c r="M37" s="31">
        <f>D51/D31</f>
        <v>0.85844425448772732</v>
      </c>
      <c r="N37" s="31">
        <f>E51/E31</f>
        <v>1.0167427701674276</v>
      </c>
      <c r="O37" s="31">
        <f>F51/F31</f>
        <v>1.2112655012699836</v>
      </c>
      <c r="P37" s="31">
        <f>G51/G31</f>
        <v>0.63590491141511551</v>
      </c>
      <c r="Q37" s="31">
        <f>H51/H31</f>
        <v>1.1487484452736318</v>
      </c>
      <c r="S37" s="17" t="s">
        <v>101</v>
      </c>
    </row>
    <row r="38" spans="1:19">
      <c r="B38" s="7" t="s">
        <v>96</v>
      </c>
      <c r="C38" s="15"/>
      <c r="E38" s="1">
        <f>(E16+D16)/2</f>
        <v>35.015000000000001</v>
      </c>
      <c r="F38" s="1">
        <f t="shared" ref="F38:G38" si="13">(F16+E16)/2</f>
        <v>32.305</v>
      </c>
      <c r="G38" s="1">
        <f t="shared" si="13"/>
        <v>34.754999999999995</v>
      </c>
      <c r="H38" s="1">
        <f>(H16+G16)/2</f>
        <v>36.424999999999997</v>
      </c>
      <c r="J38" s="10">
        <f t="shared" si="12"/>
        <v>9.9185688920437887E-3</v>
      </c>
      <c r="K38" s="95"/>
    </row>
    <row r="39" spans="1:19">
      <c r="B39" s="7" t="s">
        <v>97</v>
      </c>
      <c r="C39" s="15"/>
      <c r="E39" s="1">
        <f>(E20+D20)/2</f>
        <v>370.42499999999995</v>
      </c>
      <c r="F39" s="1">
        <f t="shared" ref="F39:G40" si="14">(F20+E20)/2</f>
        <v>433.52</v>
      </c>
      <c r="G39" s="1">
        <f t="shared" si="14"/>
        <v>499.315</v>
      </c>
      <c r="H39" s="1">
        <f>(H20+G20)/2</f>
        <v>551.70000000000005</v>
      </c>
      <c r="J39" s="10">
        <f t="shared" si="12"/>
        <v>0.10471607504832092</v>
      </c>
      <c r="K39" s="95"/>
      <c r="L39" s="7" t="s">
        <v>104</v>
      </c>
      <c r="M39" s="32">
        <f>D56/D3</f>
        <v>1.0279111644657843E-2</v>
      </c>
      <c r="N39" s="32">
        <f>E56/E3</f>
        <v>1.8554252634703477E-4</v>
      </c>
      <c r="O39" s="32">
        <f>F56/F3</f>
        <v>4.5087114746707212E-4</v>
      </c>
      <c r="P39" s="32">
        <f>G56/G3</f>
        <v>-1.2430752600999983E-3</v>
      </c>
      <c r="Q39" s="32">
        <f>H56/H3</f>
        <v>-2.8748757355114333E-3</v>
      </c>
      <c r="R39" s="32">
        <f>AVERAGE(M39:Q39)</f>
        <v>1.3595148645721034E-3</v>
      </c>
      <c r="S39" s="21" t="s">
        <v>34</v>
      </c>
    </row>
    <row r="40" spans="1:19">
      <c r="B40" s="7" t="s">
        <v>99</v>
      </c>
      <c r="C40" s="15"/>
      <c r="E40" s="1">
        <f>(E21+D21)/2</f>
        <v>34.855000000000004</v>
      </c>
      <c r="F40" s="1">
        <f t="shared" si="14"/>
        <v>43.66</v>
      </c>
      <c r="G40" s="1">
        <f t="shared" si="14"/>
        <v>54.564999999999998</v>
      </c>
      <c r="H40" s="1">
        <f>(H21+G21)/2</f>
        <v>55.125</v>
      </c>
      <c r="J40" s="10">
        <f t="shared" si="12"/>
        <v>0.12142666608733887</v>
      </c>
      <c r="K40" s="95"/>
      <c r="L40" s="7" t="s">
        <v>359</v>
      </c>
      <c r="M40" s="32">
        <f>D56/D8</f>
        <v>7.4114146605355563E-2</v>
      </c>
      <c r="N40" s="32">
        <f t="shared" ref="N40:Q40" si="15">E56/E8</f>
        <v>5.370569280343602E-3</v>
      </c>
      <c r="O40" s="32">
        <f t="shared" si="15"/>
        <v>1.3592233009708792E-2</v>
      </c>
      <c r="P40" s="32">
        <f t="shared" si="15"/>
        <v>-1.6323633782824854E-2</v>
      </c>
      <c r="Q40" s="32">
        <f t="shared" si="15"/>
        <v>-2.3005805203182118E-2</v>
      </c>
    </row>
    <row r="41" spans="1:19">
      <c r="B41" s="7" t="s">
        <v>141</v>
      </c>
      <c r="E41" s="1">
        <f>(D23+E23)/2</f>
        <v>717.26499999999999</v>
      </c>
      <c r="F41" s="1">
        <f>(E23+F23)/2</f>
        <v>807.745</v>
      </c>
      <c r="G41" s="1">
        <f>(F23+G23)/2</f>
        <v>929.68000000000006</v>
      </c>
      <c r="H41" s="1">
        <f>(G23+H23)/2</f>
        <v>994.99</v>
      </c>
      <c r="J41" s="10">
        <f t="shared" si="12"/>
        <v>8.526243112527232E-2</v>
      </c>
      <c r="K41" s="95"/>
      <c r="L41" s="7" t="s">
        <v>164</v>
      </c>
      <c r="M41" s="6">
        <f>IF(D31/D57&lt;0,0,D31/D57)</f>
        <v>7.7065687935253155</v>
      </c>
      <c r="N41" s="6">
        <f>IF(E31/E57&lt;0,0,E31/E57)</f>
        <v>7.9395770392749263</v>
      </c>
      <c r="O41" s="6">
        <f>IF(F31/F57&lt;0,0,F31/F57)</f>
        <v>5.3551140152020267</v>
      </c>
      <c r="P41" s="6">
        <f>IF(G31/G57&lt;0,0,G31/G57)</f>
        <v>9.4659747611746674</v>
      </c>
      <c r="Q41" s="6">
        <f>IF(H31/H57&lt;0,0,H31/H57)</f>
        <v>7.9653250773993793</v>
      </c>
      <c r="R41" s="6">
        <f>AVERAGE(M41:Q41)</f>
        <v>7.6865119373152639</v>
      </c>
      <c r="S41" s="21" t="s">
        <v>157</v>
      </c>
    </row>
    <row r="42" spans="1:19">
      <c r="B42" s="7" t="s">
        <v>153</v>
      </c>
      <c r="E42" s="1">
        <f>(D22+E22)</f>
        <v>1364.8200000000002</v>
      </c>
      <c r="F42" s="1">
        <f>(E22+F22)</f>
        <v>1528.1799999999998</v>
      </c>
      <c r="G42" s="1">
        <f>(F22+G22)</f>
        <v>1750.2399999999998</v>
      </c>
      <c r="H42" s="1">
        <f>(G22+H22)</f>
        <v>1879.73</v>
      </c>
      <c r="J42" s="10">
        <f t="shared" si="12"/>
        <v>8.3315666207328221E-2</v>
      </c>
      <c r="K42" s="95"/>
      <c r="L42" s="7" t="s">
        <v>169</v>
      </c>
      <c r="M42" s="6">
        <f>IF(IF(D51&lt;0,(D31+D51)/D57,D31/D57)&lt;0,0,IF(D51&lt;0,(D31+D51)/D57,D31/D57))</f>
        <v>7.7065687935253155</v>
      </c>
      <c r="N42" s="6">
        <f>IF(IF(E51&lt;0,(E31+E51)/E57,E31/E57)&lt;0,0,IF(E51&lt;0,(E31+E51)/E57,E31/E57))</f>
        <v>7.9395770392749263</v>
      </c>
      <c r="O42" s="6">
        <f>IF(IF(F51&lt;0,(F31+F51)/F57,F31/F57)&lt;0,0,IF(F51&lt;0,(F31+F51)/F57,F31/F57))</f>
        <v>5.3551140152020267</v>
      </c>
      <c r="P42" s="6">
        <f>IF(IF(G51&lt;0,(G31+G51)/G57,G31/G57)&lt;0,0,IF(G51&lt;0,(G31+G51)/G57,G31/G57))</f>
        <v>9.4659747611746674</v>
      </c>
      <c r="Q42" s="6">
        <f>IF(IF(H51&lt;0,(H31+H51)/H57,H31/H57)&lt;0,0,IF(H51&lt;0,(H31+H51)/H57,H31/H57))</f>
        <v>7.9653250773993793</v>
      </c>
      <c r="R42" s="6">
        <f>AVERAGE(M42:Q42)</f>
        <v>7.6865119373152639</v>
      </c>
      <c r="S42" s="21" t="s">
        <v>157</v>
      </c>
    </row>
    <row r="43" spans="1:19">
      <c r="E43" s="120" t="str">
        <f>_xlfn.CONCAT(MID(D2,1,4)," / ",MID(E2,1,4))</f>
        <v>2018 / 2019</v>
      </c>
      <c r="F43" s="120" t="str">
        <f t="shared" ref="F43:H43" si="16">_xlfn.CONCAT(MID(E2,1,4)," / ",MID(F2,1,4))</f>
        <v>2019 / 2020</v>
      </c>
      <c r="G43" s="120" t="str">
        <f t="shared" si="16"/>
        <v>2020 / 2021</v>
      </c>
      <c r="H43" s="120" t="str">
        <f t="shared" si="16"/>
        <v>2021 / 2022</v>
      </c>
      <c r="I43" s="34"/>
    </row>
    <row r="44" spans="1:19">
      <c r="B44" s="7" t="s">
        <v>102</v>
      </c>
      <c r="C44" s="7" t="s">
        <v>102</v>
      </c>
      <c r="D44" s="119" t="s">
        <v>102</v>
      </c>
      <c r="E44" s="122">
        <f>IF(OR(E8&lt;=0, D8&lt;=0),0,(E8-D8)/D8)</f>
        <v>-0.74817419529348117</v>
      </c>
      <c r="F44" s="122">
        <f t="shared" ref="F44:H44" si="17">IF(OR(F8&lt;=0, E8&lt;=0),0,(F8-E8)/E8)</f>
        <v>0.10633727175080561</v>
      </c>
      <c r="G44" s="122">
        <f t="shared" si="17"/>
        <v>1.7359223300970872</v>
      </c>
      <c r="H44" s="122">
        <f t="shared" si="17"/>
        <v>0.65046132008516677</v>
      </c>
      <c r="I44" s="34"/>
      <c r="L44" s="7" t="s">
        <v>155</v>
      </c>
      <c r="M44" s="6">
        <f>IF(D31/D54&lt;0,0,D31/D54)</f>
        <v>6.127656390302306</v>
      </c>
      <c r="N44" s="6">
        <f>IF(E31/E54&lt;0,0,E31/E54)</f>
        <v>6.1340446815605194</v>
      </c>
      <c r="O44" s="6">
        <f>IF(F31/F54&lt;0,0,F31/F54)</f>
        <v>5.8073752711496738</v>
      </c>
      <c r="P44" s="6">
        <f>IF(G31/G54&lt;0,0,G31/G54)</f>
        <v>9.0253007983807478</v>
      </c>
      <c r="Q44" s="6">
        <f>IF(H31/H54&lt;0,0,H31/H54)</f>
        <v>4.7817117368274316</v>
      </c>
      <c r="R44" s="6">
        <f>AVERAGE(M44:Q44)</f>
        <v>6.3752177756441357</v>
      </c>
      <c r="S44" s="21" t="s">
        <v>157</v>
      </c>
    </row>
    <row r="45" spans="1:19">
      <c r="B45" s="7" t="s">
        <v>103</v>
      </c>
      <c r="C45" s="7" t="s">
        <v>103</v>
      </c>
      <c r="D45" s="119" t="s">
        <v>103</v>
      </c>
      <c r="E45" s="122">
        <f>(E3-D3)/D3</f>
        <v>1.095438175270114E-2</v>
      </c>
      <c r="F45" s="122">
        <f>(F3-E3)/E3</f>
        <v>0.15225619712037988</v>
      </c>
      <c r="G45" s="122">
        <f>(G3-F3)/F3</f>
        <v>0.1917490580013527</v>
      </c>
      <c r="H45" s="122">
        <f>(H3-G3)/G3</f>
        <v>5.7830022969868567E-3</v>
      </c>
      <c r="I45" s="35"/>
      <c r="L45" s="7" t="s">
        <v>170</v>
      </c>
      <c r="M45" s="6">
        <f>IF(IF(D51&lt;0,(D31+D51)/D54,D31/D54)&lt;0,0,IF(D51&lt;0,(D31+D51)/D54,D31/D54))</f>
        <v>6.127656390302306</v>
      </c>
      <c r="N45" s="6">
        <f>IF(IF(E51&lt;0,(E31+E51)/E54,E31/E54)&lt;0,0,IF(E51&lt;0,(E31+E51)/E54,E31/E54))</f>
        <v>6.1340446815605194</v>
      </c>
      <c r="O45" s="6">
        <f>IF(IF(F51&lt;0,(F31+F51)/F54,F31/F54)&lt;0,0,IF(F51&lt;0,(F31+F51)/F54,F31/F54))</f>
        <v>5.8073752711496738</v>
      </c>
      <c r="P45" s="6">
        <f>IF(IF(G51&lt;0,(G31+G51)/G54,G31/G54)&lt;0,0,IF(G51&lt;0,(G31+G51)/G54,G31/G54))</f>
        <v>9.0253007983807478</v>
      </c>
      <c r="Q45" s="6">
        <f>IF(IF(H51&lt;0,(H31+H51)/H54,H31/H54)&lt;0,0,IF(H51&lt;0,(H31+H51)/H54,H31/H54))</f>
        <v>4.7817117368274316</v>
      </c>
      <c r="R45" s="6">
        <f>AVERAGE(M45:Q45)</f>
        <v>6.3752177756441357</v>
      </c>
      <c r="S45" s="21" t="s">
        <v>157</v>
      </c>
    </row>
    <row r="46" spans="1:19" ht="14.45" customHeight="1">
      <c r="B46" s="7" t="s">
        <v>105</v>
      </c>
      <c r="C46" s="7" t="s">
        <v>105</v>
      </c>
      <c r="D46" s="119" t="s">
        <v>105</v>
      </c>
      <c r="E46" s="123">
        <f>IF(OR(E11&lt;=0, D11 &lt;=0),0,E11/D11-1)</f>
        <v>-0.75119617224880386</v>
      </c>
      <c r="F46" s="123">
        <f t="shared" ref="F46:H46" si="18">IF(OR(F11&lt;=0, E11 &lt;=0),0,F11/E11-1)</f>
        <v>0.11538461538461542</v>
      </c>
      <c r="G46" s="123">
        <f t="shared" si="18"/>
        <v>1.6551724137931028</v>
      </c>
      <c r="H46" s="123">
        <f t="shared" si="18"/>
        <v>0.84415584415584433</v>
      </c>
      <c r="I46" s="35"/>
    </row>
    <row r="47" spans="1:19">
      <c r="B47" s="7" t="s">
        <v>106</v>
      </c>
      <c r="C47" s="7" t="s">
        <v>106</v>
      </c>
      <c r="D47" s="119" t="s">
        <v>106</v>
      </c>
      <c r="E47" s="123">
        <f>IF(D13=0, 0, E13/D13-1)</f>
        <v>0</v>
      </c>
      <c r="F47" s="123">
        <f>IF(E13=0, 0, F13/E13-1)</f>
        <v>3.1249999999999778E-2</v>
      </c>
      <c r="G47" s="123">
        <f>IF(F13=0, 0, G13/F13-1)</f>
        <v>0.21212121212121238</v>
      </c>
      <c r="H47" s="123">
        <f>IF(G13=0, 0, H13/G13-1)</f>
        <v>9.9999999999999867E-2</v>
      </c>
      <c r="I47" s="35"/>
      <c r="L47" s="7" t="s">
        <v>314</v>
      </c>
      <c r="M47" s="109">
        <f>IF(IF(D51&lt;0,0,D51/D54)&lt;0,0,IF(D51&lt;0,0,D51/D54))</f>
        <v>5.2602514217300209</v>
      </c>
      <c r="N47" s="109">
        <f>IF(IF(E51&lt;0,0,E51/E54)&lt;0,0,IF(E51&lt;0,0,E51/E54))</f>
        <v>6.2367455818606192</v>
      </c>
      <c r="O47" s="109">
        <f>IF(IF(F51&lt;0,0,F51/F54)&lt;0,0,IF(F51&lt;0,0,F51/F54))</f>
        <v>7.0342733188720166</v>
      </c>
      <c r="P47" s="109">
        <f>IF(IF(G51&lt;0,0,G51/G54)&lt;0,0,IF(G51&lt;0,0,G51/G54))</f>
        <v>5.7392331046890819</v>
      </c>
      <c r="Q47" s="109">
        <f>IF(IF(H51&lt;0,0,H51/H54)&lt;0,0,IF(H51&lt;0,0,H51/H54))</f>
        <v>5.4929839234271896</v>
      </c>
    </row>
    <row r="48" spans="1:19">
      <c r="B48" s="7" t="s">
        <v>107</v>
      </c>
      <c r="C48" s="7" t="s">
        <v>107</v>
      </c>
      <c r="D48" s="119" t="s">
        <v>107</v>
      </c>
      <c r="E48" s="123">
        <f>IF(OR(E26&lt;0, D26 &lt;= 0),0,E26/D26-1)</f>
        <v>-0.12779973649538867</v>
      </c>
      <c r="F48" s="123">
        <f t="shared" ref="F48:H48" si="19">IF(OR(F26&lt;0, E26 &lt;= 0),0,F26/E26-1)</f>
        <v>0.61825636599050537</v>
      </c>
      <c r="G48" s="123">
        <f t="shared" si="19"/>
        <v>0.13068409121216162</v>
      </c>
      <c r="H48" s="123">
        <f t="shared" si="19"/>
        <v>-0.23811770255926401</v>
      </c>
      <c r="I48" s="35"/>
    </row>
    <row r="49" spans="2:23">
      <c r="B49" s="7" t="s">
        <v>108</v>
      </c>
      <c r="C49" s="7" t="s">
        <v>108</v>
      </c>
      <c r="D49" s="119" t="s">
        <v>108</v>
      </c>
      <c r="E49" s="124">
        <f>IF(OR(E4&lt;=0, D4&lt;=0),0,E4/D4-1)</f>
        <v>-0.10236456150853024</v>
      </c>
      <c r="F49" s="124">
        <f t="shared" ref="F49:H49" si="20">IF(OR(F4&lt;=0, E4&lt;=0),0,F4/E4-1)</f>
        <v>0.1528842947649216</v>
      </c>
      <c r="G49" s="124">
        <f t="shared" si="20"/>
        <v>0.28604483007953729</v>
      </c>
      <c r="H49" s="124">
        <f t="shared" si="20"/>
        <v>0.21005285055661749</v>
      </c>
      <c r="R49" s="38"/>
      <c r="T49" s="38"/>
    </row>
    <row r="50" spans="2:23">
      <c r="C50"/>
    </row>
    <row r="51" spans="2:23">
      <c r="B51" s="30" t="s">
        <v>109</v>
      </c>
      <c r="C51"/>
      <c r="D51" s="1">
        <f>D33/D25</f>
        <v>18.499473684210525</v>
      </c>
      <c r="E51" s="1">
        <f>E33/E25</f>
        <v>20.78222222222222</v>
      </c>
      <c r="F51" s="1">
        <f>F33/F25</f>
        <v>27.02333333333333</v>
      </c>
      <c r="G51" s="1">
        <f>G33/G25</f>
        <v>28.355000000000004</v>
      </c>
      <c r="H51" s="1">
        <f>H33/H25</f>
        <v>36.943749999999994</v>
      </c>
      <c r="L51" s="1"/>
    </row>
    <row r="52" spans="2:23">
      <c r="B52" s="7" t="s">
        <v>110</v>
      </c>
      <c r="C52"/>
      <c r="D52" s="1">
        <f>IF(D51&lt;0,D31+D51,D31)</f>
        <v>21.55</v>
      </c>
      <c r="E52" s="1">
        <f>IF(E51&lt;0,E31+E51,E31)</f>
        <v>20.440000000000001</v>
      </c>
      <c r="F52" s="1">
        <f>IF(F51&lt;0,F31+F51,F31)</f>
        <v>22.31</v>
      </c>
      <c r="G52" s="1">
        <f>IF(G51&lt;0,G31+G51,G31)</f>
        <v>44.59</v>
      </c>
      <c r="H52" s="1">
        <f>IF(H51&lt;0,H31+H51,H31)</f>
        <v>32.159999999999997</v>
      </c>
    </row>
    <row r="53" spans="2:23">
      <c r="B53" s="7" t="s">
        <v>111</v>
      </c>
      <c r="C53"/>
      <c r="D53" s="1">
        <f>IF(D51&lt;0,D12-D32/D25,D12)</f>
        <v>2.09</v>
      </c>
      <c r="E53" s="1">
        <f t="shared" ref="E53:H53" si="21">IF(E51&lt;0,E12-E32/E25,E12)</f>
        <v>0.52</v>
      </c>
      <c r="F53" s="1">
        <f t="shared" si="21"/>
        <v>0.58000000000000007</v>
      </c>
      <c r="G53" s="1">
        <f t="shared" si="21"/>
        <v>1.5399999999999998</v>
      </c>
      <c r="H53" s="1">
        <f t="shared" si="21"/>
        <v>2.84</v>
      </c>
    </row>
    <row r="54" spans="2:23">
      <c r="B54" s="7" t="s">
        <v>156</v>
      </c>
      <c r="D54" s="1">
        <f>D4/D25</f>
        <v>3.5168421052631573</v>
      </c>
      <c r="E54" s="1">
        <f>E4/E25</f>
        <v>3.3322222222222226</v>
      </c>
      <c r="F54" s="1">
        <f>F4/F25</f>
        <v>3.8416666666666668</v>
      </c>
      <c r="G54" s="1">
        <f>G4/G25</f>
        <v>4.940555555555556</v>
      </c>
      <c r="H54" s="1">
        <f>H4/H25</f>
        <v>6.725625</v>
      </c>
      <c r="I54" s="10">
        <f t="shared" ref="I54" si="22">IF(D54=0,CONCATENATE($D$2, " = 0"),POWER(ABS(H54/D54),1/(COUNT(D54:H54)-1))-1)</f>
        <v>0.17596648515513413</v>
      </c>
    </row>
    <row r="55" spans="2:23">
      <c r="C55"/>
      <c r="D55"/>
      <c r="E55"/>
      <c r="F55"/>
      <c r="G55"/>
      <c r="H55"/>
    </row>
    <row r="56" spans="2:23">
      <c r="B56" s="7" t="s">
        <v>112</v>
      </c>
      <c r="C56"/>
      <c r="D56" s="1">
        <f>D9-D8</f>
        <v>2.7399999999999949</v>
      </c>
      <c r="E56" s="1">
        <f>E9-E8</f>
        <v>4.9999999999998934E-2</v>
      </c>
      <c r="F56" s="1">
        <f>F9-F8</f>
        <v>0.14000000000000057</v>
      </c>
      <c r="G56" s="1">
        <f>G9-G8</f>
        <v>-0.46000000000000441</v>
      </c>
      <c r="H56" s="1">
        <f>H9-H8</f>
        <v>-1.0700000000000003</v>
      </c>
    </row>
    <row r="57" spans="2:23">
      <c r="B57" s="7" t="s">
        <v>113</v>
      </c>
      <c r="D57" s="1">
        <f>D26/D25</f>
        <v>2.7963157894736841</v>
      </c>
      <c r="E57" s="1">
        <f>E26/E25</f>
        <v>2.5744444444444441</v>
      </c>
      <c r="F57" s="1">
        <f>F26/F25</f>
        <v>4.1661111111111113</v>
      </c>
      <c r="G57" s="1">
        <f>G26/G25</f>
        <v>4.7105555555555556</v>
      </c>
      <c r="H57" s="1">
        <f>H26/H25</f>
        <v>4.0375000000000005</v>
      </c>
    </row>
    <row r="59" spans="2:23">
      <c r="B59" s="7" t="s">
        <v>320</v>
      </c>
      <c r="D59" s="1">
        <f>D3/D25</f>
        <v>14.029473684210526</v>
      </c>
      <c r="E59" s="1">
        <f t="shared" ref="E59:H59" si="23">E3/E25</f>
        <v>14.971111111111112</v>
      </c>
      <c r="F59" s="1">
        <f t="shared" si="23"/>
        <v>17.250555555555554</v>
      </c>
      <c r="G59" s="1">
        <f t="shared" si="23"/>
        <v>20.558333333333334</v>
      </c>
      <c r="H59" s="1">
        <f t="shared" si="23"/>
        <v>23.261875</v>
      </c>
      <c r="I59" s="10">
        <f t="shared" ref="I59" si="24">IF(D59=0,CONCATENATE($D$2, " = 0"),POWER(ABS(H59/D59),1/(COUNT(D59:H59)-1))-1)</f>
        <v>0.13475168087861578</v>
      </c>
    </row>
    <row r="61" spans="2:23">
      <c r="B61" s="7" t="s">
        <v>402</v>
      </c>
      <c r="E61" s="32">
        <f>E25/D25-1</f>
        <v>-5.2631578947368474E-2</v>
      </c>
      <c r="F61" s="32">
        <f t="shared" ref="F61:H61" si="25">F25/E25-1</f>
        <v>0</v>
      </c>
      <c r="G61" s="32">
        <f t="shared" si="25"/>
        <v>0</v>
      </c>
      <c r="H61" s="32">
        <f t="shared" si="25"/>
        <v>-0.11111111111111116</v>
      </c>
    </row>
    <row r="64" spans="2:23">
      <c r="U64" s="1"/>
      <c r="W64" s="6"/>
    </row>
    <row r="65" spans="3:11">
      <c r="C65"/>
    </row>
    <row r="66" spans="3:11">
      <c r="C66"/>
    </row>
    <row r="67" spans="3:11">
      <c r="C67"/>
    </row>
    <row r="68" spans="3:11">
      <c r="C68"/>
    </row>
    <row r="69" spans="3:11">
      <c r="C69"/>
    </row>
    <row r="70" spans="3:11">
      <c r="C70"/>
    </row>
    <row r="71" spans="3:11">
      <c r="C71"/>
    </row>
    <row r="72" spans="3:11">
      <c r="C72"/>
    </row>
    <row r="73" spans="3:11">
      <c r="C73"/>
    </row>
    <row r="74" spans="3:11">
      <c r="C74"/>
    </row>
    <row r="75" spans="3:11">
      <c r="C75"/>
    </row>
    <row r="76" spans="3:11">
      <c r="C76"/>
    </row>
    <row r="77" spans="3:11">
      <c r="C77"/>
      <c r="J77" s="19"/>
      <c r="K77" s="97"/>
    </row>
    <row r="78" spans="3:11">
      <c r="J78" s="19"/>
      <c r="K78" s="97"/>
    </row>
    <row r="79" spans="3:11">
      <c r="C79"/>
      <c r="J79" s="19"/>
      <c r="K79" s="97"/>
    </row>
    <row r="80" spans="3:11">
      <c r="C80"/>
      <c r="J80" s="19"/>
      <c r="K80" s="97"/>
    </row>
    <row r="81" spans="2:11">
      <c r="C81"/>
      <c r="J81" s="19"/>
      <c r="K81" s="97"/>
    </row>
    <row r="82" spans="2:11">
      <c r="C82"/>
      <c r="J82" s="19"/>
      <c r="K82" s="97"/>
    </row>
    <row r="83" spans="2:11">
      <c r="C83"/>
      <c r="J83" s="19"/>
      <c r="K83" s="97"/>
    </row>
    <row r="84" spans="2:11">
      <c r="C84"/>
      <c r="J84" s="19"/>
      <c r="K84" s="97"/>
    </row>
    <row r="85" spans="2:11">
      <c r="C85"/>
      <c r="J85" s="19"/>
      <c r="K85" s="97"/>
    </row>
    <row r="86" spans="2:11">
      <c r="C86"/>
      <c r="J86" s="19"/>
      <c r="K86" s="97"/>
    </row>
    <row r="87" spans="2:11">
      <c r="C87"/>
      <c r="J87" s="19"/>
      <c r="K87" s="97"/>
    </row>
    <row r="88" spans="2:11">
      <c r="C88"/>
      <c r="J88" s="19"/>
      <c r="K88" s="97"/>
    </row>
    <row r="89" spans="2:11">
      <c r="C89"/>
      <c r="J89" s="19"/>
      <c r="K89" s="97"/>
    </row>
    <row r="90" spans="2:11">
      <c r="C90"/>
      <c r="J90" s="19"/>
      <c r="K90" s="97"/>
    </row>
    <row r="91" spans="2:11">
      <c r="C91"/>
      <c r="J91" s="19"/>
      <c r="K91" s="97"/>
    </row>
    <row r="92" spans="2:11">
      <c r="C92"/>
      <c r="J92" s="19"/>
      <c r="K92" s="97"/>
    </row>
    <row r="93" spans="2:11">
      <c r="B93" s="7"/>
      <c r="C93" s="15"/>
      <c r="J93" s="19"/>
      <c r="K93" s="97"/>
    </row>
    <row r="94" spans="2:11">
      <c r="B94" s="7"/>
      <c r="C94" s="15"/>
      <c r="J94" s="19"/>
      <c r="K94" s="97"/>
    </row>
    <row r="95" spans="2:11">
      <c r="B95" s="7"/>
      <c r="C95" s="15"/>
      <c r="J95" s="19"/>
      <c r="K95" s="97"/>
    </row>
    <row r="96" spans="2:11">
      <c r="B96" s="7"/>
      <c r="C96" s="15"/>
      <c r="J96" s="19"/>
      <c r="K96" s="97"/>
    </row>
    <row r="97" spans="2:11">
      <c r="B97" s="7"/>
      <c r="C97" s="15"/>
      <c r="J97" s="19"/>
      <c r="K97" s="97"/>
    </row>
    <row r="98" spans="2:11">
      <c r="B98" s="7"/>
      <c r="C98" s="15"/>
      <c r="J98" s="19"/>
      <c r="K98" s="97"/>
    </row>
    <row r="99" spans="2:11">
      <c r="B99" s="7"/>
      <c r="C99" s="15"/>
      <c r="J99" s="19"/>
      <c r="K99" s="97"/>
    </row>
    <row r="100" spans="2:11">
      <c r="B100" s="7"/>
      <c r="C100" s="15"/>
      <c r="J100" s="19"/>
      <c r="K100" s="97"/>
    </row>
    <row r="101" spans="2:11">
      <c r="B101" s="7"/>
      <c r="C101" s="15"/>
      <c r="J101" s="19"/>
      <c r="K101" s="97"/>
    </row>
    <row r="102" spans="2:11">
      <c r="B102" s="7"/>
      <c r="C102" s="15"/>
      <c r="J102" s="19"/>
      <c r="K102" s="97"/>
    </row>
    <row r="103" spans="2:11">
      <c r="B103" s="7"/>
      <c r="C103" s="15"/>
      <c r="J103" s="19"/>
      <c r="K103" s="97"/>
    </row>
    <row r="104" spans="2:11">
      <c r="B104" s="7"/>
      <c r="C104" s="15"/>
      <c r="J104" s="19"/>
      <c r="K104" s="97"/>
    </row>
    <row r="105" spans="2:11">
      <c r="B105" s="7"/>
      <c r="C105" s="15"/>
      <c r="J105" s="19"/>
      <c r="K105" s="97"/>
    </row>
    <row r="106" spans="2:11">
      <c r="B106" s="7"/>
      <c r="C106" s="15"/>
      <c r="J106" s="19"/>
      <c r="K106" s="97"/>
    </row>
    <row r="107" spans="2:11">
      <c r="B107" s="7"/>
      <c r="C107" s="15"/>
      <c r="J107" s="19"/>
      <c r="K107" s="97"/>
    </row>
    <row r="108" spans="2:11">
      <c r="B108" s="7"/>
      <c r="C108" s="15"/>
      <c r="J108" s="19"/>
      <c r="K108" s="97"/>
    </row>
    <row r="109" spans="2:11">
      <c r="B109" s="7"/>
      <c r="C109" s="15"/>
      <c r="J109" s="19"/>
      <c r="K109" s="97"/>
    </row>
    <row r="110" spans="2:11">
      <c r="B110" s="7"/>
      <c r="C110" s="15"/>
      <c r="J110" s="19"/>
      <c r="K110" s="97"/>
    </row>
    <row r="111" spans="2:11">
      <c r="B111" s="7"/>
      <c r="C111" s="15"/>
      <c r="J111" s="19"/>
      <c r="K111" s="97"/>
    </row>
    <row r="112" spans="2:11">
      <c r="B112" s="7"/>
      <c r="C112" s="15"/>
      <c r="J112" s="19"/>
      <c r="K112" s="97"/>
    </row>
    <row r="113" spans="2:11">
      <c r="B113" s="7"/>
      <c r="C113" s="15"/>
      <c r="J113" s="19"/>
      <c r="K113" s="97"/>
    </row>
    <row r="114" spans="2:11">
      <c r="B114" s="7"/>
      <c r="C114" s="15"/>
      <c r="J114" s="19"/>
      <c r="K114" s="97"/>
    </row>
    <row r="115" spans="2:11">
      <c r="B115" s="7"/>
      <c r="C115" s="15"/>
      <c r="J115" s="19"/>
      <c r="K115" s="97"/>
    </row>
    <row r="116" spans="2:11">
      <c r="B116" s="7"/>
      <c r="C116" s="15"/>
      <c r="J116" s="19"/>
      <c r="K116" s="97"/>
    </row>
    <row r="117" spans="2:11">
      <c r="B117" s="7"/>
      <c r="C117" s="15"/>
      <c r="J117" s="19"/>
      <c r="K117" s="97"/>
    </row>
    <row r="118" spans="2:11">
      <c r="B118" s="7"/>
      <c r="C118" s="15"/>
      <c r="J118" s="19"/>
      <c r="K118" s="97"/>
    </row>
    <row r="119" spans="2:11">
      <c r="B119" s="7"/>
      <c r="C119" s="15"/>
      <c r="J119" s="19"/>
      <c r="K119" s="97"/>
    </row>
    <row r="120" spans="2:11">
      <c r="B120" s="7"/>
      <c r="C120" s="15"/>
      <c r="J120" s="19"/>
      <c r="K120" s="97"/>
    </row>
    <row r="121" spans="2:11">
      <c r="B121" s="7"/>
      <c r="C121" s="15"/>
      <c r="J121" s="19"/>
      <c r="K121" s="97"/>
    </row>
    <row r="122" spans="2:11">
      <c r="B122" s="7"/>
      <c r="C122" s="15"/>
      <c r="J122" s="19"/>
      <c r="K122" s="97"/>
    </row>
    <row r="123" spans="2:11">
      <c r="B123" s="7"/>
      <c r="C123" s="15"/>
      <c r="J123" s="19"/>
      <c r="K123" s="97"/>
    </row>
    <row r="124" spans="2:11">
      <c r="B124" s="7"/>
      <c r="C124" s="15"/>
      <c r="J124" s="19"/>
      <c r="K124" s="97"/>
    </row>
    <row r="125" spans="2:11">
      <c r="B125" s="7"/>
      <c r="C125" s="15"/>
      <c r="J125" s="19"/>
      <c r="K125" s="97"/>
    </row>
    <row r="126" spans="2:11">
      <c r="B126" s="7"/>
      <c r="C126" s="15"/>
      <c r="J126" s="19"/>
      <c r="K126" s="97"/>
    </row>
    <row r="127" spans="2:11">
      <c r="B127" s="7"/>
      <c r="C127" s="15"/>
      <c r="J127" s="19"/>
      <c r="K127" s="97"/>
    </row>
    <row r="128" spans="2:11">
      <c r="B128" s="7"/>
      <c r="C128" s="15"/>
      <c r="J128" s="19"/>
      <c r="K128" s="97"/>
    </row>
    <row r="129" spans="2:11">
      <c r="B129" s="7"/>
      <c r="C129" s="15"/>
      <c r="J129" s="19"/>
      <c r="K129" s="97"/>
    </row>
    <row r="130" spans="2:11">
      <c r="B130" s="7"/>
      <c r="C130" s="15"/>
      <c r="J130" s="19"/>
      <c r="K130" s="97"/>
    </row>
    <row r="131" spans="2:11">
      <c r="B131" s="7"/>
      <c r="C131" s="15"/>
      <c r="J131" s="19"/>
      <c r="K131" s="97"/>
    </row>
    <row r="132" spans="2:11">
      <c r="B132" s="7"/>
      <c r="C132" s="15"/>
      <c r="J132" s="19"/>
      <c r="K132" s="97"/>
    </row>
    <row r="133" spans="2:11">
      <c r="B133" s="7"/>
      <c r="C133" s="15"/>
      <c r="J133" s="19"/>
      <c r="K133" s="97"/>
    </row>
    <row r="134" spans="2:11">
      <c r="B134" s="7"/>
      <c r="C134" s="15"/>
      <c r="J134" s="19"/>
      <c r="K134" s="97"/>
    </row>
    <row r="135" spans="2:11">
      <c r="B135" s="7"/>
      <c r="C135" s="15"/>
      <c r="J135" s="19"/>
      <c r="K135" s="97"/>
    </row>
    <row r="136" spans="2:11">
      <c r="B136" s="7"/>
      <c r="C136" s="15"/>
      <c r="J136" s="19"/>
      <c r="K136" s="97"/>
    </row>
    <row r="137" spans="2:11">
      <c r="B137" s="7"/>
      <c r="C137" s="15"/>
      <c r="J137" s="19"/>
      <c r="K137" s="97"/>
    </row>
    <row r="138" spans="2:11">
      <c r="B138" s="7"/>
      <c r="C138" s="15"/>
      <c r="J138" s="19"/>
      <c r="K138" s="97"/>
    </row>
    <row r="139" spans="2:11">
      <c r="B139" s="7"/>
      <c r="C139" s="15"/>
      <c r="J139" s="19"/>
      <c r="K139" s="97"/>
    </row>
    <row r="140" spans="2:11">
      <c r="B140" s="7"/>
      <c r="C140" s="15"/>
      <c r="J140" s="19"/>
      <c r="K140" s="97"/>
    </row>
    <row r="141" spans="2:11">
      <c r="B141" s="7"/>
      <c r="C141" s="15"/>
      <c r="J141" s="19"/>
      <c r="K141" s="97"/>
    </row>
    <row r="142" spans="2:11">
      <c r="B142" s="7"/>
      <c r="C142" s="15"/>
      <c r="J142" s="19"/>
      <c r="K142" s="97"/>
    </row>
    <row r="143" spans="2:11">
      <c r="B143" s="7"/>
      <c r="C143" s="15"/>
      <c r="J143" s="19"/>
      <c r="K143" s="97"/>
    </row>
    <row r="144" spans="2:11">
      <c r="B144" s="7"/>
      <c r="C144" s="15"/>
      <c r="J144" s="19"/>
      <c r="K144" s="97"/>
    </row>
    <row r="145" spans="2:11">
      <c r="B145" s="7"/>
      <c r="C145" s="15"/>
      <c r="J145" s="19"/>
      <c r="K145" s="97"/>
    </row>
    <row r="146" spans="2:11">
      <c r="B146" s="7"/>
      <c r="C146" s="15"/>
      <c r="J146" s="19"/>
      <c r="K146" s="97"/>
    </row>
    <row r="147" spans="2:11">
      <c r="B147" s="7"/>
      <c r="C147" s="15"/>
      <c r="J147" s="19"/>
      <c r="K147" s="97"/>
    </row>
    <row r="148" spans="2:11">
      <c r="B148" s="7"/>
      <c r="C148" s="15"/>
      <c r="J148" s="19"/>
      <c r="K148" s="97"/>
    </row>
    <row r="149" spans="2:11">
      <c r="B149" s="7"/>
      <c r="C149" s="15"/>
      <c r="J149" s="19"/>
      <c r="K149" s="97"/>
    </row>
    <row r="150" spans="2:11">
      <c r="B150" s="7"/>
      <c r="C150" s="15"/>
    </row>
    <row r="151" spans="2:11">
      <c r="B151" s="7"/>
      <c r="C151" s="15"/>
    </row>
    <row r="152" spans="2:11">
      <c r="B152" s="7"/>
      <c r="C152" s="15"/>
    </row>
    <row r="153" spans="2:11">
      <c r="B153" s="7"/>
      <c r="C153" s="15"/>
    </row>
    <row r="154" spans="2:11">
      <c r="B154" s="7"/>
      <c r="C154" s="15"/>
    </row>
    <row r="155" spans="2:11">
      <c r="B155" s="7"/>
      <c r="C155" s="15"/>
    </row>
    <row r="156" spans="2:11">
      <c r="B156" s="7"/>
      <c r="C156" s="15"/>
    </row>
    <row r="157" spans="2:11">
      <c r="B157" s="7"/>
      <c r="C157" s="15"/>
    </row>
    <row r="158" spans="2:11">
      <c r="B158" s="7"/>
      <c r="C158" s="15"/>
    </row>
    <row r="159" spans="2:11">
      <c r="B159" s="7"/>
      <c r="C159" s="15"/>
    </row>
    <row r="160" spans="2:11">
      <c r="B160" s="7"/>
      <c r="C160" s="15"/>
    </row>
    <row r="161" spans="2:3">
      <c r="B161" s="7"/>
      <c r="C161" s="15"/>
    </row>
    <row r="162" spans="2:3">
      <c r="B162" s="7"/>
      <c r="C162" s="15"/>
    </row>
    <row r="163" spans="2:3">
      <c r="B163" s="7"/>
      <c r="C163" s="15"/>
    </row>
    <row r="164" spans="2:3">
      <c r="B164" s="7"/>
      <c r="C164" s="15"/>
    </row>
    <row r="165" spans="2:3">
      <c r="B165" s="7"/>
      <c r="C165" s="15"/>
    </row>
    <row r="166" spans="2:3">
      <c r="B166" s="7"/>
      <c r="C166" s="15"/>
    </row>
    <row r="167" spans="2:3">
      <c r="B167" s="7"/>
      <c r="C167" s="15"/>
    </row>
    <row r="168" spans="2:3">
      <c r="B168" s="7"/>
      <c r="C168" s="15"/>
    </row>
    <row r="169" spans="2:3">
      <c r="B169" s="7"/>
      <c r="C169" s="15"/>
    </row>
    <row r="170" spans="2:3">
      <c r="B170" s="7"/>
      <c r="C170" s="15"/>
    </row>
    <row r="171" spans="2:3">
      <c r="B171" s="7"/>
      <c r="C171" s="15"/>
    </row>
    <row r="172" spans="2:3">
      <c r="B172" s="7"/>
      <c r="C172" s="15"/>
    </row>
    <row r="173" spans="2:3">
      <c r="B173" s="7"/>
      <c r="C173" s="15"/>
    </row>
    <row r="174" spans="2:3">
      <c r="B174" s="7"/>
      <c r="C174" s="15"/>
    </row>
    <row r="175" spans="2:3">
      <c r="B175" s="7"/>
      <c r="C175" s="15"/>
    </row>
    <row r="176" spans="2:3">
      <c r="B176" s="7"/>
      <c r="C176" s="15"/>
    </row>
    <row r="177" spans="2:3">
      <c r="B177" s="7"/>
      <c r="C177" s="15"/>
    </row>
    <row r="178" spans="2:3">
      <c r="B178" s="7"/>
      <c r="C178" s="15"/>
    </row>
    <row r="179" spans="2:3">
      <c r="B179" s="7"/>
      <c r="C179" s="15"/>
    </row>
    <row r="180" spans="2:3">
      <c r="B180" s="7"/>
      <c r="C180" s="15"/>
    </row>
    <row r="181" spans="2:3">
      <c r="B181" s="7"/>
      <c r="C181" s="15"/>
    </row>
    <row r="182" spans="2:3">
      <c r="B182" s="7"/>
      <c r="C182" s="15"/>
    </row>
    <row r="183" spans="2:3">
      <c r="B183" s="7"/>
      <c r="C183" s="15"/>
    </row>
    <row r="184" spans="2:3">
      <c r="B184" s="7"/>
      <c r="C184" s="15"/>
    </row>
    <row r="185" spans="2:3">
      <c r="B185" s="7"/>
      <c r="C185" s="15"/>
    </row>
    <row r="186" spans="2:3">
      <c r="B186" s="7"/>
      <c r="C186" s="15"/>
    </row>
    <row r="187" spans="2:3">
      <c r="B187" s="7"/>
      <c r="C187" s="15"/>
    </row>
  </sheetData>
  <protectedRanges>
    <protectedRange sqref="B1:H1 L47:R69" name="Ticker oraz pole do edycji własnych wskaźników"/>
  </protectedRanges>
  <mergeCells count="1">
    <mergeCell ref="B1:H1"/>
  </mergeCells>
  <phoneticPr fontId="11" type="noConversion"/>
  <conditionalFormatting sqref="I26:K26 I8:K12 I3:K4">
    <cfRule type="cellIs" dxfId="81" priority="67" operator="greaterThan">
      <formula>0.05</formula>
    </cfRule>
  </conditionalFormatting>
  <conditionalFormatting sqref="N14:Q14 I26:K26 I8:K14 I3:K4">
    <cfRule type="cellIs" dxfId="80" priority="66" operator="greaterThan">
      <formula>0.1</formula>
    </cfRule>
  </conditionalFormatting>
  <conditionalFormatting sqref="I25:K25">
    <cfRule type="cellIs" dxfId="79" priority="64" operator="lessThan">
      <formula>0</formula>
    </cfRule>
    <cfRule type="cellIs" dxfId="78" priority="65" operator="greaterThan">
      <formula>0</formula>
    </cfRule>
  </conditionalFormatting>
  <conditionalFormatting sqref="I8:K14 I3:K4">
    <cfRule type="cellIs" dxfId="77" priority="62" operator="lessThan">
      <formula>-0.05</formula>
    </cfRule>
    <cfRule type="cellIs" dxfId="76" priority="63" operator="lessThan">
      <formula>0</formula>
    </cfRule>
  </conditionalFormatting>
  <conditionalFormatting sqref="M3:Q4">
    <cfRule type="cellIs" dxfId="75" priority="61" operator="equal">
      <formula>0</formula>
    </cfRule>
  </conditionalFormatting>
  <conditionalFormatting sqref="N26:Q26">
    <cfRule type="cellIs" dxfId="74" priority="59" operator="greaterThan">
      <formula>1</formula>
    </cfRule>
    <cfRule type="cellIs" dxfId="73" priority="60" operator="lessThan">
      <formula>1</formula>
    </cfRule>
  </conditionalFormatting>
  <conditionalFormatting sqref="N24:Q24">
    <cfRule type="cellIs" dxfId="72" priority="57" operator="lessThan">
      <formula>1.3</formula>
    </cfRule>
    <cfRule type="cellIs" dxfId="71" priority="58" operator="between">
      <formula>1.3</formula>
      <formula>2</formula>
    </cfRule>
  </conditionalFormatting>
  <conditionalFormatting sqref="N20:Q20">
    <cfRule type="cellIs" dxfId="70" priority="53" operator="lessThan">
      <formula>1</formula>
    </cfRule>
    <cfRule type="cellIs" dxfId="69" priority="54" operator="greaterThan">
      <formula>1</formula>
    </cfRule>
  </conditionalFormatting>
  <conditionalFormatting sqref="N18:Q18">
    <cfRule type="cellIs" dxfId="68" priority="51" operator="lessThan">
      <formula>0.67</formula>
    </cfRule>
    <cfRule type="cellIs" dxfId="67" priority="52" operator="greaterThan">
      <formula>0.67</formula>
    </cfRule>
  </conditionalFormatting>
  <conditionalFormatting sqref="M5:Q5">
    <cfRule type="cellIs" dxfId="66" priority="46" operator="lessThan">
      <formula>20</formula>
    </cfRule>
    <cfRule type="cellIs" dxfId="65" priority="47" operator="greaterThan">
      <formula>20</formula>
    </cfRule>
  </conditionalFormatting>
  <conditionalFormatting sqref="M9:Q9">
    <cfRule type="cellIs" dxfId="64" priority="45" operator="greaterThan">
      <formula>0.6</formula>
    </cfRule>
  </conditionalFormatting>
  <conditionalFormatting sqref="A31">
    <cfRule type="containsText" dxfId="63" priority="44" operator="containsText" text="Wartość pożądana">
      <formula>NOT(ISERROR(SEARCH("Wartość pożądana",A31)))</formula>
    </cfRule>
  </conditionalFormatting>
  <conditionalFormatting sqref="A32">
    <cfRule type="containsText" dxfId="62" priority="43" operator="containsText" text="Wartość niepożądana">
      <formula>NOT(ISERROR(SEARCH("Wartość niepożądana",A32)))</formula>
    </cfRule>
  </conditionalFormatting>
  <conditionalFormatting sqref="N21:Q21">
    <cfRule type="cellIs" dxfId="61" priority="55" operator="lessThan">
      <formula>0.5</formula>
    </cfRule>
    <cfRule type="cellIs" dxfId="60" priority="56" operator="greaterThan">
      <formula>0.5</formula>
    </cfRule>
  </conditionalFormatting>
  <conditionalFormatting sqref="M33:Q34">
    <cfRule type="cellIs" dxfId="59" priority="41" operator="greaterThan">
      <formula>0</formula>
    </cfRule>
    <cfRule type="cellIs" dxfId="58" priority="42" operator="lessThan">
      <formula>0</formula>
    </cfRule>
  </conditionalFormatting>
  <conditionalFormatting sqref="M35:Q35">
    <cfRule type="cellIs" dxfId="57" priority="39" operator="lessThan">
      <formula>TRUE</formula>
    </cfRule>
    <cfRule type="cellIs" dxfId="56" priority="40" operator="equal">
      <formula>TRUE</formula>
    </cfRule>
  </conditionalFormatting>
  <conditionalFormatting sqref="D33:I33">
    <cfRule type="cellIs" dxfId="55" priority="25" operator="lessThan">
      <formula>0</formula>
    </cfRule>
  </conditionalFormatting>
  <conditionalFormatting sqref="M37:Q37">
    <cfRule type="cellIs" dxfId="54" priority="20" operator="lessThan">
      <formula>-0.000001</formula>
    </cfRule>
  </conditionalFormatting>
  <conditionalFormatting sqref="M39:Q39">
    <cfRule type="cellIs" dxfId="53" priority="12" operator="greaterThan">
      <formula>-0.05</formula>
    </cfRule>
  </conditionalFormatting>
  <conditionalFormatting sqref="R33">
    <cfRule type="cellIs" dxfId="52" priority="11" operator="lessThan">
      <formula>0</formula>
    </cfRule>
  </conditionalFormatting>
  <conditionalFormatting sqref="R34">
    <cfRule type="cellIs" dxfId="51" priority="10" operator="greaterThan">
      <formula>0</formula>
    </cfRule>
  </conditionalFormatting>
  <conditionalFormatting sqref="M17:Q17">
    <cfRule type="cellIs" dxfId="50" priority="8" stopIfTrue="1" operator="lessThan">
      <formula>3</formula>
    </cfRule>
    <cfRule type="cellIs" dxfId="49" priority="9" operator="greaterThanOrEqual">
      <formula>3</formula>
    </cfRule>
  </conditionalFormatting>
  <conditionalFormatting sqref="M16:Q16">
    <cfRule type="cellIs" dxfId="48" priority="6" stopIfTrue="1" operator="lessThan">
      <formula>3</formula>
    </cfRule>
    <cfRule type="cellIs" dxfId="47" priority="7" operator="lessThan">
      <formula>1</formula>
    </cfRule>
  </conditionalFormatting>
  <conditionalFormatting sqref="M16:Q16">
    <cfRule type="cellIs" dxfId="46" priority="5" operator="equal">
      <formula>"Interest &lt;= 0"</formula>
    </cfRule>
  </conditionalFormatting>
  <conditionalFormatting sqref="N22:Q22">
    <cfRule type="cellIs" dxfId="45" priority="3" operator="lessThan">
      <formula>0.5</formula>
    </cfRule>
    <cfRule type="cellIs" dxfId="44" priority="4" operator="greaterThan">
      <formula>0.5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ADF6A76F-2C50-4B5D-BF6A-D4332BD1CA70}">
            <xm:f>NOT(ISERROR(SEARCH("=",I3)))</xm:f>
            <xm:f>"="</xm:f>
            <x14:dxf>
              <font>
                <color auto="1"/>
              </font>
              <fill>
                <patternFill>
                  <bgColor theme="0" tint="-0.34998626667073579"/>
                </patternFill>
              </fill>
            </x14:dxf>
          </x14:cfRule>
          <xm:sqref>I20:K30 I3:K17</xm:sqref>
        </x14:conditionalFormatting>
        <x14:conditionalFormatting xmlns:xm="http://schemas.microsoft.com/office/excel/2006/main">
          <x14:cfRule type="containsText" priority="2" operator="containsText" id="{7EA648C2-5092-48A5-AB37-ACC3D09637CC}">
            <xm:f>NOT(ISERROR(SEARCH("=",I54)))</xm:f>
            <xm:f>"="</xm:f>
            <x14:dxf>
              <font>
                <color auto="1"/>
              </font>
              <fill>
                <patternFill>
                  <bgColor theme="0" tint="-0.34998626667073579"/>
                </patternFill>
              </fill>
            </x14:dxf>
          </x14:cfRule>
          <xm:sqref>I54</xm:sqref>
        </x14:conditionalFormatting>
        <x14:conditionalFormatting xmlns:xm="http://schemas.microsoft.com/office/excel/2006/main">
          <x14:cfRule type="containsText" priority="1" operator="containsText" id="{F3777FB6-6BC5-4D9D-A42B-0983B056DDA9}">
            <xm:f>NOT(ISERROR(SEARCH("=",I59)))</xm:f>
            <xm:f>"="</xm:f>
            <x14:dxf>
              <font>
                <color auto="1"/>
              </font>
              <fill>
                <patternFill>
                  <bgColor theme="0" tint="-0.34998626667073579"/>
                </patternFill>
              </fill>
            </x14:dxf>
          </x14:cfRule>
          <xm:sqref>I59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"/>
  <sheetViews>
    <sheetView topLeftCell="A43" zoomScaleNormal="100" workbookViewId="0">
      <selection activeCell="O65" sqref="O65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9AEA-DC85-4C8E-BA87-13053D69B426}">
  <sheetPr>
    <tabColor theme="8" tint="0.39997558519241921"/>
  </sheetPr>
  <dimension ref="A1:AA71"/>
  <sheetViews>
    <sheetView topLeftCell="A62" zoomScale="120" zoomScaleNormal="120" workbookViewId="0">
      <selection activeCell="K78" sqref="K78"/>
    </sheetView>
  </sheetViews>
  <sheetFormatPr defaultRowHeight="15"/>
  <cols>
    <col min="1" max="1" width="38.28515625" bestFit="1" customWidth="1"/>
    <col min="2" max="6" width="12" style="44" bestFit="1" customWidth="1"/>
    <col min="7" max="7" width="10.7109375" bestFit="1" customWidth="1"/>
    <col min="8" max="9" width="9.140625" customWidth="1"/>
    <col min="11" max="11" width="28.28515625" bestFit="1" customWidth="1"/>
    <col min="12" max="12" width="12.7109375" customWidth="1"/>
    <col min="13" max="13" width="13.7109375" bestFit="1" customWidth="1"/>
    <col min="14" max="14" width="22.5703125" customWidth="1"/>
    <col min="18" max="25" width="10.7109375" bestFit="1" customWidth="1"/>
  </cols>
  <sheetData>
    <row r="1" spans="1:27" ht="15.75" thickBot="1">
      <c r="A1" s="114" t="s">
        <v>370</v>
      </c>
      <c r="B1" s="114" t="s">
        <v>362</v>
      </c>
      <c r="C1" s="114" t="s">
        <v>363</v>
      </c>
      <c r="D1" s="114" t="s">
        <v>364</v>
      </c>
      <c r="E1" s="114" t="s">
        <v>365</v>
      </c>
      <c r="F1" s="114" t="s">
        <v>366</v>
      </c>
      <c r="G1" s="114" t="s">
        <v>308</v>
      </c>
    </row>
    <row r="2" spans="1:27" ht="15.75" thickBot="1">
      <c r="A2" s="46" t="s">
        <v>230</v>
      </c>
      <c r="B2" s="115">
        <v>258.14</v>
      </c>
      <c r="C2" s="115">
        <v>267.99</v>
      </c>
      <c r="D2" s="115">
        <v>274.11</v>
      </c>
      <c r="E2" s="115">
        <v>329.45</v>
      </c>
      <c r="F2" s="115">
        <v>375.89</v>
      </c>
      <c r="G2" s="115">
        <v>372.19</v>
      </c>
      <c r="AA2" s="62"/>
    </row>
    <row r="3" spans="1:27">
      <c r="A3" s="46" t="s">
        <v>231</v>
      </c>
      <c r="B3" s="115">
        <v>66.040000000000006</v>
      </c>
      <c r="C3" s="115">
        <v>59</v>
      </c>
      <c r="D3" s="115">
        <v>67.180000000000007</v>
      </c>
      <c r="E3" s="115">
        <v>78.06</v>
      </c>
      <c r="F3" s="115">
        <v>91.57</v>
      </c>
      <c r="G3" s="115">
        <v>107.6</v>
      </c>
    </row>
    <row r="4" spans="1:27">
      <c r="A4" s="46" t="s">
        <v>232</v>
      </c>
      <c r="B4" s="115">
        <v>0</v>
      </c>
      <c r="C4" s="115">
        <v>0</v>
      </c>
      <c r="D4" s="46">
        <v>0</v>
      </c>
      <c r="E4" s="46">
        <v>0</v>
      </c>
      <c r="F4" s="46">
        <v>0</v>
      </c>
      <c r="G4" s="46">
        <v>0</v>
      </c>
    </row>
    <row r="5" spans="1:27">
      <c r="A5" s="46" t="s">
        <v>233</v>
      </c>
      <c r="B5" s="115">
        <v>50.06</v>
      </c>
      <c r="C5" s="115">
        <v>41.57</v>
      </c>
      <c r="D5" s="115">
        <v>48.18</v>
      </c>
      <c r="E5" s="115">
        <v>57.37</v>
      </c>
      <c r="F5" s="115">
        <v>69.77</v>
      </c>
      <c r="G5" s="115">
        <v>86.68</v>
      </c>
    </row>
    <row r="6" spans="1:27">
      <c r="A6" s="46" t="s">
        <v>234</v>
      </c>
      <c r="B6" s="46">
        <v>-17.28</v>
      </c>
      <c r="C6" s="46">
        <v>-23.3</v>
      </c>
      <c r="D6" s="46">
        <v>-25.76</v>
      </c>
      <c r="E6" s="46">
        <v>-32.729999999999997</v>
      </c>
      <c r="F6" s="46">
        <v>-25.47</v>
      </c>
      <c r="G6" s="46">
        <v>-23.52</v>
      </c>
    </row>
    <row r="7" spans="1:27">
      <c r="A7" s="46" t="s">
        <v>235</v>
      </c>
      <c r="B7" s="46">
        <v>37.19</v>
      </c>
      <c r="C7" s="115">
        <v>11.65</v>
      </c>
      <c r="D7" s="115">
        <v>14.53</v>
      </c>
      <c r="E7" s="115">
        <v>16.09</v>
      </c>
      <c r="F7" s="115">
        <v>33.159999999999997</v>
      </c>
      <c r="G7" s="115">
        <v>46.51</v>
      </c>
    </row>
    <row r="8" spans="1:27">
      <c r="A8" s="46" t="s">
        <v>335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</row>
    <row r="9" spans="1:27">
      <c r="A9" s="46" t="s">
        <v>336</v>
      </c>
      <c r="B9" s="46">
        <v>2.09</v>
      </c>
      <c r="C9" s="46">
        <v>0.63</v>
      </c>
      <c r="D9" s="46">
        <v>0.8</v>
      </c>
      <c r="E9" s="46">
        <v>0.89</v>
      </c>
      <c r="F9" s="46">
        <v>1.81</v>
      </c>
      <c r="G9" s="46">
        <v>2.84</v>
      </c>
    </row>
    <row r="10" spans="1:27">
      <c r="A10" s="46" t="s">
        <v>337</v>
      </c>
      <c r="B10" s="46">
        <v>2.09</v>
      </c>
      <c r="C10" s="46">
        <v>0.63</v>
      </c>
      <c r="D10" s="46">
        <v>0.8</v>
      </c>
      <c r="E10" s="46">
        <v>0.89</v>
      </c>
      <c r="F10" s="46">
        <v>1.81</v>
      </c>
      <c r="G10" s="46">
        <v>2.84</v>
      </c>
    </row>
    <row r="11" spans="1:27">
      <c r="A11" s="46" t="s">
        <v>338</v>
      </c>
      <c r="B11" s="46">
        <v>2.09</v>
      </c>
      <c r="C11" s="46">
        <v>0.63</v>
      </c>
      <c r="D11" s="46">
        <v>0.8</v>
      </c>
      <c r="E11" s="46">
        <v>0.89</v>
      </c>
      <c r="F11" s="46">
        <v>1.81</v>
      </c>
      <c r="G11" s="46">
        <v>2.84</v>
      </c>
    </row>
    <row r="12" spans="1:27">
      <c r="A12" s="46" t="s">
        <v>339</v>
      </c>
      <c r="B12" s="46">
        <v>0.23</v>
      </c>
      <c r="C12" s="46">
        <v>0.3</v>
      </c>
      <c r="D12" s="46">
        <v>0.3</v>
      </c>
      <c r="E12" s="46">
        <v>0.34</v>
      </c>
      <c r="F12" s="46">
        <v>0.41</v>
      </c>
      <c r="G12" s="46">
        <v>0.45</v>
      </c>
    </row>
    <row r="13" spans="1:27" ht="30">
      <c r="A13" s="46" t="s">
        <v>340</v>
      </c>
      <c r="B13" s="115">
        <v>0.95</v>
      </c>
      <c r="C13" s="115">
        <v>0.64</v>
      </c>
      <c r="D13" s="115">
        <v>0.72</v>
      </c>
      <c r="E13" s="115">
        <v>0.89</v>
      </c>
      <c r="F13" s="115">
        <v>1.1499999999999999</v>
      </c>
      <c r="G13" s="115">
        <v>0.82</v>
      </c>
    </row>
    <row r="14" spans="1:27">
      <c r="A14" s="46" t="s">
        <v>242</v>
      </c>
      <c r="B14" s="115">
        <v>6.52</v>
      </c>
      <c r="C14" s="115">
        <v>6.75</v>
      </c>
      <c r="D14" s="115">
        <v>6.99</v>
      </c>
      <c r="E14" s="115">
        <v>7.26</v>
      </c>
      <c r="F14" s="115">
        <v>7.35</v>
      </c>
      <c r="G14" s="115">
        <v>7.68</v>
      </c>
    </row>
    <row r="15" spans="1:27">
      <c r="A15" s="46" t="s">
        <v>341</v>
      </c>
      <c r="B15" s="115">
        <v>30.14</v>
      </c>
      <c r="C15" s="115">
        <v>29.3</v>
      </c>
      <c r="D15" s="115">
        <v>39.85</v>
      </c>
      <c r="E15" s="115">
        <v>35.33</v>
      </c>
      <c r="F15" s="115">
        <v>40.21</v>
      </c>
      <c r="G15" s="115">
        <v>35.979999999999997</v>
      </c>
    </row>
    <row r="16" spans="1:27">
      <c r="A16" s="46" t="s">
        <v>342</v>
      </c>
      <c r="B16" s="115">
        <v>921.53</v>
      </c>
      <c r="C16" s="115">
        <v>917.5</v>
      </c>
      <c r="D16" s="115">
        <v>1129.76</v>
      </c>
      <c r="E16" s="115">
        <v>1145.82</v>
      </c>
      <c r="F16" s="115">
        <v>1178.6300000000001</v>
      </c>
      <c r="G16" s="115">
        <v>1147.3900000000001</v>
      </c>
    </row>
    <row r="17" spans="1:9">
      <c r="A17" s="46" t="s">
        <v>371</v>
      </c>
      <c r="B17" s="115">
        <v>17.25</v>
      </c>
      <c r="C17" s="115">
        <v>2.33</v>
      </c>
      <c r="D17" s="115">
        <v>3.15</v>
      </c>
      <c r="E17" s="115">
        <v>5.97</v>
      </c>
      <c r="F17" s="115">
        <v>2.81</v>
      </c>
      <c r="G17" s="115">
        <v>3.1</v>
      </c>
    </row>
    <row r="18" spans="1:9">
      <c r="A18" s="46" t="s">
        <v>372</v>
      </c>
      <c r="B18" s="115">
        <v>342.96</v>
      </c>
      <c r="C18" s="115">
        <v>364.05</v>
      </c>
      <c r="D18" s="115">
        <v>516.65</v>
      </c>
      <c r="E18" s="115">
        <v>472.35</v>
      </c>
      <c r="F18" s="115">
        <v>576.12</v>
      </c>
      <c r="G18" s="115">
        <v>588.82000000000005</v>
      </c>
    </row>
    <row r="19" spans="1:9">
      <c r="A19" s="46" t="s">
        <v>373</v>
      </c>
      <c r="B19" s="115">
        <v>360.21</v>
      </c>
      <c r="C19" s="115">
        <v>366.38</v>
      </c>
      <c r="D19" s="115">
        <v>519.79999999999995</v>
      </c>
      <c r="E19" s="115">
        <v>478.32</v>
      </c>
      <c r="F19" s="115">
        <v>578.92999999999995</v>
      </c>
      <c r="G19" s="115">
        <v>591.91999999999996</v>
      </c>
    </row>
    <row r="20" spans="1:9">
      <c r="A20" s="46" t="s">
        <v>343</v>
      </c>
      <c r="B20" s="115">
        <v>42.72</v>
      </c>
      <c r="C20" s="115">
        <v>34.96</v>
      </c>
      <c r="D20" s="115">
        <v>35.590000000000003</v>
      </c>
      <c r="E20" s="115">
        <v>48.37</v>
      </c>
      <c r="F20" s="115">
        <v>60.79</v>
      </c>
      <c r="G20" s="115">
        <v>49.55</v>
      </c>
    </row>
    <row r="21" spans="1:9">
      <c r="A21" s="46" t="s">
        <v>344</v>
      </c>
      <c r="B21" s="115">
        <v>681.16</v>
      </c>
      <c r="C21" s="115">
        <v>661.05</v>
      </c>
      <c r="D21" s="115">
        <v>867.6</v>
      </c>
      <c r="E21" s="115">
        <v>856.96</v>
      </c>
      <c r="F21" s="115">
        <v>989.83</v>
      </c>
      <c r="G21" s="115">
        <v>968.92</v>
      </c>
    </row>
    <row r="22" spans="1:9">
      <c r="A22" s="46" t="s">
        <v>345</v>
      </c>
      <c r="B22" s="115">
        <v>723.88</v>
      </c>
      <c r="C22" s="115">
        <v>696.01</v>
      </c>
      <c r="D22" s="115">
        <v>903.19</v>
      </c>
      <c r="E22" s="115">
        <v>905.32</v>
      </c>
      <c r="F22" s="115">
        <v>1050.6199999999999</v>
      </c>
      <c r="G22" s="115">
        <v>1018.47</v>
      </c>
    </row>
    <row r="23" spans="1:9">
      <c r="A23" s="46" t="s">
        <v>346</v>
      </c>
      <c r="B23" s="115">
        <v>197.66</v>
      </c>
      <c r="C23" s="115">
        <v>221.49</v>
      </c>
      <c r="D23" s="115">
        <v>226.57</v>
      </c>
      <c r="E23" s="115">
        <v>240.5</v>
      </c>
      <c r="F23" s="115">
        <v>128.02000000000001</v>
      </c>
      <c r="G23" s="115">
        <v>128.91999999999999</v>
      </c>
    </row>
    <row r="24" spans="1:9">
      <c r="A24" s="46" t="s">
        <v>347</v>
      </c>
      <c r="B24" s="115">
        <v>18</v>
      </c>
      <c r="C24" s="115">
        <v>18</v>
      </c>
      <c r="D24" s="115">
        <v>18</v>
      </c>
      <c r="E24" s="115">
        <v>18</v>
      </c>
      <c r="F24" s="115">
        <v>18</v>
      </c>
      <c r="G24" s="115">
        <v>16</v>
      </c>
    </row>
    <row r="25" spans="1:9">
      <c r="A25" s="46" t="s">
        <v>348</v>
      </c>
      <c r="B25" s="115">
        <v>45.23</v>
      </c>
      <c r="C25" s="115">
        <v>48.99</v>
      </c>
      <c r="D25" s="115">
        <v>43.22</v>
      </c>
      <c r="E25" s="115">
        <v>82.92</v>
      </c>
      <c r="F25" s="115">
        <v>84.25</v>
      </c>
      <c r="G25" s="115">
        <v>64.59</v>
      </c>
    </row>
    <row r="26" spans="1:9">
      <c r="A26" s="46" t="s">
        <v>349</v>
      </c>
      <c r="B26" s="115">
        <v>-39.46</v>
      </c>
      <c r="C26" s="115">
        <v>-51.5</v>
      </c>
      <c r="D26" s="115">
        <v>-158.88999999999999</v>
      </c>
      <c r="E26" s="115">
        <v>-34.42</v>
      </c>
      <c r="F26" s="115">
        <v>-12.54</v>
      </c>
      <c r="G26" s="115">
        <v>-24.02</v>
      </c>
    </row>
    <row r="27" spans="1:9">
      <c r="A27" s="46" t="s">
        <v>350</v>
      </c>
      <c r="B27" s="115">
        <v>11.09</v>
      </c>
      <c r="C27" s="115">
        <v>27.52</v>
      </c>
      <c r="D27" s="115">
        <v>131.07</v>
      </c>
      <c r="E27" s="115">
        <v>-42.91</v>
      </c>
      <c r="F27" s="115">
        <v>98.39</v>
      </c>
      <c r="G27" s="46">
        <v>100.99</v>
      </c>
    </row>
    <row r="28" spans="1:9">
      <c r="A28" s="46" t="s">
        <v>351</v>
      </c>
      <c r="B28" s="115">
        <v>-16.37</v>
      </c>
      <c r="C28" s="115">
        <v>-16.27</v>
      </c>
      <c r="D28" s="115">
        <v>-9.15</v>
      </c>
      <c r="E28" s="115">
        <v>0</v>
      </c>
      <c r="F28" s="115">
        <v>-140.04</v>
      </c>
      <c r="G28" s="115">
        <v>-114.96</v>
      </c>
    </row>
    <row r="29" spans="1:9">
      <c r="A29" s="46" t="s">
        <v>352</v>
      </c>
      <c r="B29" s="115">
        <v>-8.1</v>
      </c>
      <c r="C29" s="115">
        <v>2.19</v>
      </c>
      <c r="D29" s="115">
        <v>115.74</v>
      </c>
      <c r="E29" s="115">
        <v>-48.32</v>
      </c>
      <c r="F29" s="115">
        <v>-71.45</v>
      </c>
      <c r="G29" s="115">
        <v>-40.840000000000003</v>
      </c>
    </row>
    <row r="30" spans="1:9">
      <c r="A30" s="46" t="s">
        <v>353</v>
      </c>
      <c r="B30" s="46">
        <v>25.71</v>
      </c>
      <c r="C30" s="46">
        <v>15.5</v>
      </c>
      <c r="D30" s="46">
        <v>25.6</v>
      </c>
      <c r="E30" s="46">
        <v>31.32</v>
      </c>
      <c r="F30" s="46">
        <v>64.44</v>
      </c>
      <c r="G30" s="46">
        <v>27.47</v>
      </c>
    </row>
    <row r="31" spans="1:9" ht="13.5" customHeight="1">
      <c r="A31" s="46" t="s">
        <v>355</v>
      </c>
      <c r="B31" s="46"/>
      <c r="C31" s="46"/>
      <c r="D31" s="46"/>
      <c r="E31" s="46"/>
      <c r="F31" s="46"/>
      <c r="G31" s="46" t="s">
        <v>367</v>
      </c>
      <c r="H31" s="46" t="s">
        <v>368</v>
      </c>
      <c r="I31" s="46" t="s">
        <v>374</v>
      </c>
    </row>
    <row r="32" spans="1:9">
      <c r="A32" s="46" t="s">
        <v>354</v>
      </c>
      <c r="B32" s="46"/>
      <c r="C32" s="46"/>
      <c r="D32" s="46"/>
      <c r="E32" s="46"/>
      <c r="F32" s="46"/>
      <c r="G32" s="46">
        <v>2.54</v>
      </c>
      <c r="H32" s="46">
        <v>2.14</v>
      </c>
      <c r="I32" s="46">
        <v>3</v>
      </c>
    </row>
    <row r="33" spans="1:25">
      <c r="A33" s="46" t="s">
        <v>375</v>
      </c>
      <c r="B33" s="115">
        <v>28.84</v>
      </c>
      <c r="C33" s="115">
        <v>35.47</v>
      </c>
      <c r="D33" s="115">
        <v>27.84</v>
      </c>
      <c r="E33" s="115">
        <v>67.72</v>
      </c>
      <c r="F33" s="115">
        <v>59.36</v>
      </c>
      <c r="G33" s="115">
        <v>34.619999999999997</v>
      </c>
    </row>
    <row r="34" spans="1:25">
      <c r="B34"/>
      <c r="C34"/>
      <c r="D34"/>
      <c r="E34"/>
      <c r="F34"/>
    </row>
    <row r="35" spans="1:25">
      <c r="B35"/>
      <c r="C35"/>
      <c r="D35"/>
      <c r="E35"/>
      <c r="F35"/>
    </row>
    <row r="36" spans="1:25">
      <c r="A36" s="114" t="s">
        <v>376</v>
      </c>
      <c r="B36" s="114" t="s">
        <v>378</v>
      </c>
      <c r="C36" s="114" t="s">
        <v>379</v>
      </c>
      <c r="D36" s="114" t="s">
        <v>380</v>
      </c>
      <c r="E36" s="114" t="s">
        <v>381</v>
      </c>
      <c r="F36" s="114" t="s">
        <v>362</v>
      </c>
      <c r="G36" s="114" t="s">
        <v>382</v>
      </c>
      <c r="H36" s="114" t="s">
        <v>383</v>
      </c>
      <c r="I36" s="114" t="s">
        <v>384</v>
      </c>
      <c r="J36" s="114" t="s">
        <v>363</v>
      </c>
      <c r="K36" s="114" t="s">
        <v>385</v>
      </c>
      <c r="L36" s="114" t="s">
        <v>386</v>
      </c>
      <c r="M36" s="114" t="s">
        <v>387</v>
      </c>
      <c r="N36" s="114" t="s">
        <v>364</v>
      </c>
      <c r="O36" s="114" t="s">
        <v>388</v>
      </c>
      <c r="P36" s="114" t="s">
        <v>389</v>
      </c>
      <c r="Q36" s="114" t="s">
        <v>390</v>
      </c>
      <c r="R36" s="114" t="s">
        <v>365</v>
      </c>
      <c r="S36" s="114" t="s">
        <v>391</v>
      </c>
      <c r="T36" s="114" t="s">
        <v>392</v>
      </c>
      <c r="U36" s="114" t="s">
        <v>393</v>
      </c>
      <c r="V36" s="114" t="s">
        <v>366</v>
      </c>
      <c r="W36" s="114" t="s">
        <v>394</v>
      </c>
      <c r="X36" s="114" t="s">
        <v>397</v>
      </c>
      <c r="Y36" s="114" t="s">
        <v>406</v>
      </c>
    </row>
    <row r="37" spans="1:25">
      <c r="A37" s="46" t="s">
        <v>230</v>
      </c>
      <c r="B37" s="115">
        <v>62.86</v>
      </c>
      <c r="C37" s="115">
        <v>68.16</v>
      </c>
      <c r="D37" s="115">
        <v>63.85</v>
      </c>
      <c r="E37" s="115">
        <v>61.05</v>
      </c>
      <c r="F37" s="115">
        <v>65.08</v>
      </c>
      <c r="G37" s="115">
        <v>73.39</v>
      </c>
      <c r="H37" s="115">
        <v>63.85</v>
      </c>
      <c r="I37" s="115">
        <v>64.239999999999995</v>
      </c>
      <c r="J37" s="115">
        <v>66.52</v>
      </c>
      <c r="K37" s="115">
        <v>69.08</v>
      </c>
      <c r="L37" s="115">
        <v>67.75</v>
      </c>
      <c r="M37" s="115">
        <v>66.13</v>
      </c>
      <c r="N37" s="115">
        <v>71.150000000000006</v>
      </c>
      <c r="O37" s="115">
        <v>77.489999999999995</v>
      </c>
      <c r="P37" s="115">
        <v>77.48</v>
      </c>
      <c r="Q37" s="115">
        <v>84.39</v>
      </c>
      <c r="R37" s="115">
        <v>90.09</v>
      </c>
      <c r="S37" s="115">
        <v>96.64</v>
      </c>
      <c r="T37" s="115">
        <v>88.28</v>
      </c>
      <c r="U37" s="115">
        <v>95.04</v>
      </c>
      <c r="V37" s="115">
        <v>95.93</v>
      </c>
      <c r="W37" s="115">
        <v>98.16</v>
      </c>
      <c r="X37" s="115">
        <v>90.6</v>
      </c>
      <c r="Y37" s="115">
        <v>87.5</v>
      </c>
    </row>
    <row r="38" spans="1:25">
      <c r="A38" s="46" t="s">
        <v>231</v>
      </c>
      <c r="B38" s="115">
        <v>16.329999999999998</v>
      </c>
      <c r="C38" s="115">
        <v>19.72</v>
      </c>
      <c r="D38" s="115">
        <v>15.75</v>
      </c>
      <c r="E38" s="115">
        <v>12.94</v>
      </c>
      <c r="F38" s="115">
        <v>17.63</v>
      </c>
      <c r="G38" s="115">
        <v>21.35</v>
      </c>
      <c r="H38" s="115">
        <v>13.41</v>
      </c>
      <c r="I38" s="115">
        <v>14.43</v>
      </c>
      <c r="J38" s="115">
        <v>9.81</v>
      </c>
      <c r="K38" s="115">
        <v>19.91</v>
      </c>
      <c r="L38" s="115">
        <v>17.96</v>
      </c>
      <c r="M38" s="115">
        <v>12.3</v>
      </c>
      <c r="N38" s="115">
        <v>17.010000000000002</v>
      </c>
      <c r="O38" s="115">
        <v>6.7</v>
      </c>
      <c r="P38" s="115">
        <v>23.6</v>
      </c>
      <c r="Q38" s="115">
        <v>21.84</v>
      </c>
      <c r="R38" s="115">
        <v>25.93</v>
      </c>
      <c r="S38" s="115">
        <v>31.44</v>
      </c>
      <c r="T38" s="115">
        <v>3.04</v>
      </c>
      <c r="U38" s="115">
        <v>28.52</v>
      </c>
      <c r="V38" s="115">
        <v>28.58</v>
      </c>
      <c r="W38" s="115">
        <v>32.130000000000003</v>
      </c>
      <c r="X38" s="115">
        <v>26.54</v>
      </c>
      <c r="Y38" s="115">
        <v>20.36</v>
      </c>
    </row>
    <row r="39" spans="1:25">
      <c r="A39" s="46" t="s">
        <v>232</v>
      </c>
      <c r="B39" s="46">
        <v>0</v>
      </c>
      <c r="C39" s="46">
        <v>0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</row>
    <row r="40" spans="1:25">
      <c r="A40" s="46" t="s">
        <v>233</v>
      </c>
      <c r="B40" s="115">
        <v>12.41</v>
      </c>
      <c r="C40" s="115">
        <v>15.87</v>
      </c>
      <c r="D40" s="115">
        <v>11.72</v>
      </c>
      <c r="E40" s="115">
        <v>8.94</v>
      </c>
      <c r="F40" s="115">
        <v>13.53</v>
      </c>
      <c r="G40" s="115">
        <v>17.13</v>
      </c>
      <c r="H40" s="115">
        <v>9.0500000000000007</v>
      </c>
      <c r="I40" s="115">
        <v>9.92</v>
      </c>
      <c r="J40" s="115">
        <v>5.48</v>
      </c>
      <c r="K40" s="115">
        <v>15.59</v>
      </c>
      <c r="L40" s="115">
        <v>13.36</v>
      </c>
      <c r="M40" s="115">
        <v>7.87</v>
      </c>
      <c r="N40" s="115">
        <v>11.36</v>
      </c>
      <c r="O40" s="115">
        <v>2.15</v>
      </c>
      <c r="P40" s="115">
        <v>18.260000000000002</v>
      </c>
      <c r="Q40" s="115">
        <v>16.46</v>
      </c>
      <c r="R40" s="115">
        <v>20.5</v>
      </c>
      <c r="S40" s="115">
        <v>26.18</v>
      </c>
      <c r="T40" s="115">
        <v>-2.88</v>
      </c>
      <c r="U40" s="115">
        <v>23.24</v>
      </c>
      <c r="V40" s="115">
        <v>23.23</v>
      </c>
      <c r="W40" s="115">
        <v>27.03</v>
      </c>
      <c r="X40" s="115">
        <v>21.11</v>
      </c>
      <c r="Y40" s="115">
        <v>15.32</v>
      </c>
    </row>
    <row r="41" spans="1:25">
      <c r="A41" s="46" t="s">
        <v>234</v>
      </c>
      <c r="B41" s="46">
        <v>-4.0199999999999996</v>
      </c>
      <c r="C41" s="46">
        <v>-4.07</v>
      </c>
      <c r="D41" s="46">
        <v>-4.2699999999999996</v>
      </c>
      <c r="E41" s="46">
        <v>-4.38</v>
      </c>
      <c r="F41" s="46">
        <v>-4.5599999999999996</v>
      </c>
      <c r="G41" s="46">
        <v>-4.9000000000000004</v>
      </c>
      <c r="H41" s="46">
        <v>-5.3</v>
      </c>
      <c r="I41" s="46">
        <v>-6.53</v>
      </c>
      <c r="J41" s="46">
        <v>-6.58</v>
      </c>
      <c r="K41" s="46">
        <v>-6.39</v>
      </c>
      <c r="L41" s="46">
        <v>-6.36</v>
      </c>
      <c r="M41" s="46">
        <v>-6.34</v>
      </c>
      <c r="N41" s="46">
        <v>-6.68</v>
      </c>
      <c r="O41" s="46">
        <v>-8.49</v>
      </c>
      <c r="P41" s="46">
        <v>-8.42</v>
      </c>
      <c r="Q41" s="46">
        <v>-8.08</v>
      </c>
      <c r="R41" s="46">
        <v>-7.74</v>
      </c>
      <c r="S41" s="46">
        <v>-7.6</v>
      </c>
      <c r="T41" s="46">
        <v>-7.48</v>
      </c>
      <c r="U41" s="46">
        <v>-5.08</v>
      </c>
      <c r="V41" s="46">
        <v>-5.31</v>
      </c>
      <c r="W41" s="46">
        <v>-5.54</v>
      </c>
      <c r="X41" s="46">
        <v>-5.99</v>
      </c>
      <c r="Y41" s="46">
        <v>-6.68</v>
      </c>
    </row>
    <row r="42" spans="1:25">
      <c r="A42" s="46" t="s">
        <v>235</v>
      </c>
      <c r="B42" s="115">
        <v>4.13</v>
      </c>
      <c r="C42" s="115">
        <v>7.08</v>
      </c>
      <c r="D42" s="115">
        <v>4.41</v>
      </c>
      <c r="E42" s="115">
        <v>3.04</v>
      </c>
      <c r="F42" s="115">
        <v>22.66</v>
      </c>
      <c r="G42" s="115">
        <v>9.36</v>
      </c>
      <c r="H42" s="115">
        <v>2.75</v>
      </c>
      <c r="I42" s="115">
        <v>2.2000000000000002</v>
      </c>
      <c r="J42" s="115">
        <v>-2.66</v>
      </c>
      <c r="K42" s="115">
        <v>6.53</v>
      </c>
      <c r="L42" s="115">
        <v>4.8600000000000003</v>
      </c>
      <c r="M42" s="115">
        <v>0.57999999999999996</v>
      </c>
      <c r="N42" s="115">
        <v>2.57</v>
      </c>
      <c r="O42" s="115">
        <v>-4.2</v>
      </c>
      <c r="P42" s="115">
        <v>6.4</v>
      </c>
      <c r="Q42" s="115">
        <v>5.53</v>
      </c>
      <c r="R42" s="115">
        <v>8.3699999999999992</v>
      </c>
      <c r="S42" s="115">
        <v>12.93</v>
      </c>
      <c r="T42" s="115">
        <v>-6.17</v>
      </c>
      <c r="U42" s="115">
        <v>13.05</v>
      </c>
      <c r="V42" s="115">
        <v>13.35</v>
      </c>
      <c r="W42" s="115">
        <v>16.399999999999999</v>
      </c>
      <c r="X42" s="115">
        <v>10.9</v>
      </c>
      <c r="Y42" s="115">
        <v>5.86</v>
      </c>
    </row>
    <row r="43" spans="1:25">
      <c r="A43" s="46" t="s">
        <v>335</v>
      </c>
      <c r="B43" s="46">
        <v>0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</row>
    <row r="44" spans="1:25">
      <c r="A44" s="46" t="s">
        <v>336</v>
      </c>
      <c r="B44" s="46">
        <v>0.22</v>
      </c>
      <c r="C44" s="46">
        <v>0.39</v>
      </c>
      <c r="D44" s="46">
        <v>0.24</v>
      </c>
      <c r="E44" s="46">
        <v>0.17</v>
      </c>
      <c r="F44" s="46">
        <v>1.31</v>
      </c>
      <c r="G44" s="46">
        <v>0.52</v>
      </c>
      <c r="H44" s="46">
        <v>0.15</v>
      </c>
      <c r="I44" s="46">
        <v>0.11</v>
      </c>
      <c r="J44" s="46">
        <v>-0.14000000000000001</v>
      </c>
      <c r="K44" s="46">
        <v>0.36</v>
      </c>
      <c r="L44" s="46">
        <v>0.27</v>
      </c>
      <c r="M44" s="46">
        <v>0.03</v>
      </c>
      <c r="N44" s="46">
        <v>0.14000000000000001</v>
      </c>
      <c r="O44" s="46">
        <v>-0.23</v>
      </c>
      <c r="P44" s="46">
        <v>0.36</v>
      </c>
      <c r="Q44" s="46">
        <v>0.31</v>
      </c>
      <c r="R44" s="46">
        <v>0.46</v>
      </c>
      <c r="S44" s="46">
        <v>0.71</v>
      </c>
      <c r="T44" s="46">
        <v>-0.34</v>
      </c>
      <c r="U44" s="46">
        <v>0.71</v>
      </c>
      <c r="V44" s="46">
        <v>0.77</v>
      </c>
      <c r="W44" s="46">
        <v>1</v>
      </c>
      <c r="X44" s="46">
        <v>0.69</v>
      </c>
      <c r="Y44" s="46">
        <v>0.38</v>
      </c>
    </row>
    <row r="45" spans="1:25">
      <c r="A45" s="46" t="s">
        <v>337</v>
      </c>
      <c r="B45" s="46">
        <v>0.22</v>
      </c>
      <c r="C45" s="46">
        <v>0.39</v>
      </c>
      <c r="D45" s="46">
        <v>0.24</v>
      </c>
      <c r="E45" s="46">
        <v>0.17</v>
      </c>
      <c r="F45" s="46">
        <v>1.31</v>
      </c>
      <c r="G45" s="46">
        <v>0.52</v>
      </c>
      <c r="H45" s="46">
        <v>0.15</v>
      </c>
      <c r="I45" s="46">
        <v>0.11</v>
      </c>
      <c r="J45" s="46">
        <v>-0.14000000000000001</v>
      </c>
      <c r="K45" s="46">
        <v>0.36</v>
      </c>
      <c r="L45" s="46">
        <v>0.27</v>
      </c>
      <c r="M45" s="46">
        <v>0.03</v>
      </c>
      <c r="N45" s="46">
        <v>0.14000000000000001</v>
      </c>
      <c r="O45" s="46">
        <v>-0.23</v>
      </c>
      <c r="P45" s="46">
        <v>0.36</v>
      </c>
      <c r="Q45" s="46">
        <v>0.31</v>
      </c>
      <c r="R45" s="46">
        <v>0.46</v>
      </c>
      <c r="S45" s="46">
        <v>0.71</v>
      </c>
      <c r="T45" s="46">
        <v>-0.34</v>
      </c>
      <c r="U45" s="46">
        <v>0.71</v>
      </c>
      <c r="V45" s="46">
        <v>0.77</v>
      </c>
      <c r="W45" s="46">
        <v>1</v>
      </c>
      <c r="X45" s="46">
        <v>0.69</v>
      </c>
      <c r="Y45" s="46">
        <v>0.38</v>
      </c>
    </row>
    <row r="46" spans="1:25">
      <c r="A46" s="46" t="s">
        <v>338</v>
      </c>
      <c r="B46" s="46">
        <v>0.22</v>
      </c>
      <c r="C46" s="46">
        <v>0.39</v>
      </c>
      <c r="D46" s="46">
        <v>0.24</v>
      </c>
      <c r="E46" s="46">
        <v>0.17</v>
      </c>
      <c r="F46" s="46">
        <v>1.31</v>
      </c>
      <c r="G46" s="46">
        <v>0.52</v>
      </c>
      <c r="H46" s="46">
        <v>0.15</v>
      </c>
      <c r="I46" s="46">
        <v>0.11</v>
      </c>
      <c r="J46" s="46">
        <v>-0.14000000000000001</v>
      </c>
      <c r="K46" s="46">
        <v>0.36</v>
      </c>
      <c r="L46" s="46">
        <v>0.27</v>
      </c>
      <c r="M46" s="46">
        <v>0.03</v>
      </c>
      <c r="N46" s="46">
        <v>0.14000000000000001</v>
      </c>
      <c r="O46" s="46">
        <v>-0.23</v>
      </c>
      <c r="P46" s="46">
        <v>0.36</v>
      </c>
      <c r="Q46" s="46">
        <v>0.31</v>
      </c>
      <c r="R46" s="46">
        <v>0.46</v>
      </c>
      <c r="S46" s="46">
        <v>0.71</v>
      </c>
      <c r="T46" s="46">
        <v>-0.34</v>
      </c>
      <c r="U46" s="46">
        <v>0.71</v>
      </c>
      <c r="V46" s="46">
        <v>0.77</v>
      </c>
      <c r="W46" s="46">
        <v>1</v>
      </c>
      <c r="X46" s="46">
        <v>0.69</v>
      </c>
      <c r="Y46" s="46">
        <v>0.38</v>
      </c>
    </row>
    <row r="47" spans="1:25">
      <c r="A47" s="46" t="s">
        <v>339</v>
      </c>
      <c r="B47" s="46">
        <v>0.05</v>
      </c>
      <c r="C47" s="46">
        <v>0.05</v>
      </c>
      <c r="D47" s="46">
        <v>0.05</v>
      </c>
      <c r="E47" s="46">
        <v>0.05</v>
      </c>
      <c r="F47" s="46">
        <v>0.08</v>
      </c>
      <c r="G47" s="46">
        <v>0.08</v>
      </c>
      <c r="H47" s="46">
        <v>0.08</v>
      </c>
      <c r="I47" s="46">
        <v>0.08</v>
      </c>
      <c r="J47" s="46">
        <v>0.08</v>
      </c>
      <c r="K47" s="46">
        <v>0.08</v>
      </c>
      <c r="L47" s="46">
        <v>0.08</v>
      </c>
      <c r="M47" s="46">
        <v>0.08</v>
      </c>
      <c r="N47" s="46">
        <v>0.08</v>
      </c>
      <c r="O47" s="46">
        <v>0.08</v>
      </c>
      <c r="P47" s="46">
        <v>0.08</v>
      </c>
      <c r="Q47" s="46">
        <v>0.09</v>
      </c>
      <c r="R47" s="46">
        <v>0.1</v>
      </c>
      <c r="S47" s="46">
        <v>0.1</v>
      </c>
      <c r="T47" s="46">
        <v>0.1</v>
      </c>
      <c r="U47" s="46">
        <v>0.1</v>
      </c>
      <c r="V47" s="46">
        <v>0.11</v>
      </c>
      <c r="W47" s="46">
        <v>0.11</v>
      </c>
      <c r="X47" s="46">
        <v>0.11</v>
      </c>
      <c r="Y47" s="46">
        <v>0.11</v>
      </c>
    </row>
    <row r="48" spans="1:25" ht="30">
      <c r="A48" s="46" t="s">
        <v>340</v>
      </c>
      <c r="B48" s="115">
        <v>3.29</v>
      </c>
      <c r="C48" s="115">
        <v>0.81</v>
      </c>
      <c r="D48" s="115">
        <v>0.44</v>
      </c>
      <c r="E48" s="115">
        <v>0.76</v>
      </c>
      <c r="F48" s="115">
        <v>0.95</v>
      </c>
      <c r="G48" s="115">
        <v>0.78</v>
      </c>
      <c r="H48" s="115">
        <v>40.53</v>
      </c>
      <c r="I48" s="115">
        <v>9.4700000000000006</v>
      </c>
      <c r="J48" s="115">
        <v>0.64</v>
      </c>
      <c r="K48" s="115">
        <v>0.67</v>
      </c>
      <c r="L48" s="115">
        <v>0.69</v>
      </c>
      <c r="M48" s="115">
        <v>5.81</v>
      </c>
      <c r="N48" s="115">
        <v>0.72</v>
      </c>
      <c r="O48" s="115">
        <v>11.92</v>
      </c>
      <c r="P48" s="115">
        <v>0.69</v>
      </c>
      <c r="Q48" s="115">
        <v>0.73</v>
      </c>
      <c r="R48" s="115">
        <v>0.89</v>
      </c>
      <c r="S48" s="115">
        <v>0.41</v>
      </c>
      <c r="T48" s="115">
        <v>1.49</v>
      </c>
      <c r="U48" s="115">
        <v>1.0900000000000001</v>
      </c>
      <c r="V48" s="115">
        <v>1.1499999999999999</v>
      </c>
      <c r="W48" s="115">
        <v>0.89</v>
      </c>
      <c r="X48" s="115">
        <v>1.06</v>
      </c>
      <c r="Y48" s="115">
        <v>0.82</v>
      </c>
    </row>
    <row r="49" spans="1:25">
      <c r="A49" s="46" t="s">
        <v>242</v>
      </c>
      <c r="B49" s="115">
        <v>6.15</v>
      </c>
      <c r="C49" s="115">
        <v>6.31</v>
      </c>
      <c r="D49" s="115">
        <v>6.33</v>
      </c>
      <c r="E49" s="115">
        <v>6.35</v>
      </c>
      <c r="F49" s="115">
        <v>6.52</v>
      </c>
      <c r="G49" s="115">
        <v>6.57</v>
      </c>
      <c r="H49" s="115">
        <v>6.62</v>
      </c>
      <c r="I49" s="115">
        <v>6.94</v>
      </c>
      <c r="J49" s="115">
        <v>6.75</v>
      </c>
      <c r="K49" s="115">
        <v>6.82</v>
      </c>
      <c r="L49" s="115">
        <v>6.76</v>
      </c>
      <c r="M49" s="115">
        <v>6.69</v>
      </c>
      <c r="N49" s="115">
        <v>6.99</v>
      </c>
      <c r="O49" s="115">
        <v>7.19</v>
      </c>
      <c r="P49" s="115">
        <v>7.41</v>
      </c>
      <c r="Q49" s="115">
        <v>7.38</v>
      </c>
      <c r="R49" s="115">
        <v>7.26</v>
      </c>
      <c r="S49" s="115">
        <v>7.39</v>
      </c>
      <c r="T49" s="115">
        <v>7.33</v>
      </c>
      <c r="U49" s="115">
        <v>7.38</v>
      </c>
      <c r="V49" s="115">
        <v>7.35</v>
      </c>
      <c r="W49" s="115">
        <v>7.65</v>
      </c>
      <c r="X49" s="115">
        <v>7.65</v>
      </c>
      <c r="Y49" s="115">
        <v>7.68</v>
      </c>
    </row>
    <row r="50" spans="1:25">
      <c r="A50" s="46" t="s">
        <v>341</v>
      </c>
      <c r="B50" s="115">
        <v>32.97</v>
      </c>
      <c r="C50" s="115">
        <v>27.36</v>
      </c>
      <c r="D50" s="115">
        <v>25.47</v>
      </c>
      <c r="E50" s="115">
        <v>28.05</v>
      </c>
      <c r="F50" s="115">
        <v>30.14</v>
      </c>
      <c r="G50" s="115">
        <v>27.7</v>
      </c>
      <c r="H50" s="115">
        <v>68.2</v>
      </c>
      <c r="I50" s="115">
        <v>38.06</v>
      </c>
      <c r="J50" s="115">
        <v>29.3</v>
      </c>
      <c r="K50" s="115">
        <v>27.28</v>
      </c>
      <c r="L50" s="115">
        <v>25.65</v>
      </c>
      <c r="M50" s="115">
        <v>31.97</v>
      </c>
      <c r="N50" s="115">
        <v>39.85</v>
      </c>
      <c r="O50" s="115">
        <v>54.4</v>
      </c>
      <c r="P50" s="115">
        <v>40.22</v>
      </c>
      <c r="Q50" s="115">
        <v>32.64</v>
      </c>
      <c r="R50" s="115">
        <v>35.33</v>
      </c>
      <c r="S50" s="115">
        <v>35.450000000000003</v>
      </c>
      <c r="T50" s="115">
        <v>35.520000000000003</v>
      </c>
      <c r="U50" s="115">
        <v>36.869999999999997</v>
      </c>
      <c r="V50" s="115">
        <v>40.21</v>
      </c>
      <c r="W50" s="115">
        <v>38.11</v>
      </c>
      <c r="X50" s="115">
        <v>36.96</v>
      </c>
      <c r="Y50" s="115">
        <v>35.979999999999997</v>
      </c>
    </row>
    <row r="51" spans="1:25">
      <c r="A51" s="46" t="s">
        <v>342</v>
      </c>
      <c r="B51" s="115">
        <v>885.07</v>
      </c>
      <c r="C51" s="115">
        <v>880.97</v>
      </c>
      <c r="D51" s="115">
        <v>881.04</v>
      </c>
      <c r="E51" s="115">
        <v>887.05</v>
      </c>
      <c r="F51" s="115">
        <v>921.53</v>
      </c>
      <c r="G51" s="115">
        <v>905.19</v>
      </c>
      <c r="H51" s="115">
        <v>945.61</v>
      </c>
      <c r="I51" s="115">
        <v>948.72</v>
      </c>
      <c r="J51" s="115">
        <v>917.5</v>
      </c>
      <c r="K51" s="115">
        <v>944.51</v>
      </c>
      <c r="L51" s="115">
        <v>957.39</v>
      </c>
      <c r="M51" s="115">
        <v>952.15</v>
      </c>
      <c r="N51" s="115">
        <v>1129.76</v>
      </c>
      <c r="O51" s="115">
        <v>1120.56</v>
      </c>
      <c r="P51" s="115">
        <v>1134.6500000000001</v>
      </c>
      <c r="Q51" s="115">
        <v>1120.6500000000001</v>
      </c>
      <c r="R51" s="115">
        <v>1145.82</v>
      </c>
      <c r="S51" s="115">
        <v>1157.73</v>
      </c>
      <c r="T51" s="115">
        <v>1169</v>
      </c>
      <c r="U51" s="115">
        <v>1163.97</v>
      </c>
      <c r="V51" s="115">
        <v>1178.6300000000001</v>
      </c>
      <c r="W51" s="115">
        <v>1180.3499999999999</v>
      </c>
      <c r="X51" s="115">
        <v>1151.42</v>
      </c>
      <c r="Y51" s="115">
        <v>1147.3900000000001</v>
      </c>
    </row>
    <row r="52" spans="1:25" s="126" customFormat="1">
      <c r="A52" s="46" t="s">
        <v>371</v>
      </c>
      <c r="B52" s="115">
        <v>13.27</v>
      </c>
      <c r="C52" s="115">
        <v>14.27</v>
      </c>
      <c r="D52" s="115">
        <v>15.24</v>
      </c>
      <c r="E52" s="115">
        <v>16.32</v>
      </c>
      <c r="F52" s="115">
        <v>17.25</v>
      </c>
      <c r="G52" s="115">
        <v>17.32</v>
      </c>
      <c r="H52" s="115">
        <v>2.4</v>
      </c>
      <c r="I52" s="115">
        <v>2.4500000000000002</v>
      </c>
      <c r="J52" s="115">
        <v>2.33</v>
      </c>
      <c r="K52" s="115">
        <v>5.04</v>
      </c>
      <c r="L52" s="115">
        <v>3.72</v>
      </c>
      <c r="M52" s="115">
        <v>3.49</v>
      </c>
      <c r="N52" s="115">
        <v>3.15</v>
      </c>
      <c r="O52" s="115">
        <v>9.26</v>
      </c>
      <c r="P52" s="115">
        <v>9.57</v>
      </c>
      <c r="Q52" s="115">
        <v>6.06</v>
      </c>
      <c r="R52" s="115">
        <v>5.97</v>
      </c>
      <c r="S52" s="115">
        <v>3.3</v>
      </c>
      <c r="T52" s="115">
        <v>3.17</v>
      </c>
      <c r="U52" s="46">
        <v>3.04</v>
      </c>
      <c r="V52" s="115">
        <v>2.81</v>
      </c>
      <c r="W52" s="115">
        <v>2.9</v>
      </c>
      <c r="X52" s="115">
        <v>3.02</v>
      </c>
      <c r="Y52" s="115">
        <v>3.1</v>
      </c>
    </row>
    <row r="53" spans="1:25" s="126" customFormat="1">
      <c r="A53" s="46" t="s">
        <v>372</v>
      </c>
      <c r="B53" s="115">
        <v>326.63</v>
      </c>
      <c r="C53" s="115">
        <v>321.08999999999997</v>
      </c>
      <c r="D53" s="115">
        <v>315.22000000000003</v>
      </c>
      <c r="E53" s="115">
        <v>325.67</v>
      </c>
      <c r="F53" s="115">
        <v>342.96</v>
      </c>
      <c r="G53" s="115">
        <v>332.38</v>
      </c>
      <c r="H53" s="115">
        <v>358.34</v>
      </c>
      <c r="I53" s="115">
        <v>358.51</v>
      </c>
      <c r="J53" s="115">
        <v>364.05</v>
      </c>
      <c r="K53" s="115">
        <v>371.69</v>
      </c>
      <c r="L53" s="115">
        <v>383.99</v>
      </c>
      <c r="M53" s="115">
        <v>376.4</v>
      </c>
      <c r="N53" s="115">
        <v>516.65</v>
      </c>
      <c r="O53" s="115">
        <v>540.42999999999995</v>
      </c>
      <c r="P53" s="115">
        <v>515.55999999999995</v>
      </c>
      <c r="Q53" s="115">
        <v>481.09</v>
      </c>
      <c r="R53" s="115">
        <v>472.35</v>
      </c>
      <c r="S53" s="115">
        <v>453.17</v>
      </c>
      <c r="T53" s="115">
        <v>482.42</v>
      </c>
      <c r="U53" s="115">
        <v>508.44</v>
      </c>
      <c r="V53" s="115">
        <v>576.12</v>
      </c>
      <c r="W53" s="115">
        <v>594.67999999999995</v>
      </c>
      <c r="X53" s="115">
        <v>595.27</v>
      </c>
      <c r="Y53" s="115">
        <v>588.82000000000005</v>
      </c>
    </row>
    <row r="54" spans="1:25">
      <c r="A54" s="46" t="s">
        <v>373</v>
      </c>
      <c r="B54" s="115">
        <v>339.9</v>
      </c>
      <c r="C54" s="115">
        <v>335.36</v>
      </c>
      <c r="D54" s="115">
        <v>330.46</v>
      </c>
      <c r="E54" s="115">
        <v>341.99</v>
      </c>
      <c r="F54" s="115">
        <v>360.21</v>
      </c>
      <c r="G54" s="115">
        <v>349.7</v>
      </c>
      <c r="H54" s="115">
        <v>360.74</v>
      </c>
      <c r="I54" s="115">
        <v>360.96</v>
      </c>
      <c r="J54" s="115">
        <v>366.38</v>
      </c>
      <c r="K54" s="115">
        <v>376.72</v>
      </c>
      <c r="L54" s="115">
        <v>387.71</v>
      </c>
      <c r="M54" s="115">
        <v>379.89</v>
      </c>
      <c r="N54" s="115">
        <v>519.79999999999995</v>
      </c>
      <c r="O54" s="115">
        <v>549.69000000000005</v>
      </c>
      <c r="P54" s="115">
        <v>525.13</v>
      </c>
      <c r="Q54" s="115">
        <v>487.15</v>
      </c>
      <c r="R54" s="115">
        <v>478.32</v>
      </c>
      <c r="S54" s="115">
        <v>456.47</v>
      </c>
      <c r="T54" s="115">
        <v>485.59</v>
      </c>
      <c r="U54" s="115">
        <v>511.48</v>
      </c>
      <c r="V54" s="115">
        <v>578.92999999999995</v>
      </c>
      <c r="W54" s="115">
        <v>597.57000000000005</v>
      </c>
      <c r="X54" s="115">
        <v>598.29</v>
      </c>
      <c r="Y54" s="115">
        <v>591.91999999999996</v>
      </c>
    </row>
    <row r="55" spans="1:25">
      <c r="A55" s="46" t="s">
        <v>343</v>
      </c>
      <c r="B55" s="115">
        <v>44.27</v>
      </c>
      <c r="C55" s="115">
        <v>36.36</v>
      </c>
      <c r="D55" s="115">
        <v>36.770000000000003</v>
      </c>
      <c r="E55" s="115">
        <v>40.11</v>
      </c>
      <c r="F55" s="115">
        <v>42.72</v>
      </c>
      <c r="G55" s="115">
        <v>40.78</v>
      </c>
      <c r="H55" s="115">
        <v>26.09</v>
      </c>
      <c r="I55" s="115">
        <v>30.82</v>
      </c>
      <c r="J55" s="115">
        <v>34.96</v>
      </c>
      <c r="K55" s="115">
        <v>33.479999999999997</v>
      </c>
      <c r="L55" s="115">
        <v>32.47</v>
      </c>
      <c r="M55" s="115">
        <v>38.89</v>
      </c>
      <c r="N55" s="115">
        <v>35.590000000000003</v>
      </c>
      <c r="O55" s="115">
        <v>39.47</v>
      </c>
      <c r="P55" s="115">
        <v>40.880000000000003</v>
      </c>
      <c r="Q55" s="115">
        <v>48.43</v>
      </c>
      <c r="R55" s="115">
        <v>48.37</v>
      </c>
      <c r="S55" s="115">
        <v>52.44</v>
      </c>
      <c r="T55" s="115">
        <v>48.49</v>
      </c>
      <c r="U55" s="115">
        <v>60.7</v>
      </c>
      <c r="V55" s="115">
        <v>60.79</v>
      </c>
      <c r="W55" s="115">
        <v>47.81</v>
      </c>
      <c r="X55" s="115">
        <v>42.83</v>
      </c>
      <c r="Y55" s="115">
        <v>49.55</v>
      </c>
    </row>
    <row r="56" spans="1:25">
      <c r="A56" s="46" t="s">
        <v>344</v>
      </c>
      <c r="B56" s="115">
        <v>665.06</v>
      </c>
      <c r="C56" s="115">
        <v>659.07</v>
      </c>
      <c r="D56" s="115">
        <v>656.41</v>
      </c>
      <c r="E56" s="115">
        <v>671.7</v>
      </c>
      <c r="F56" s="115">
        <v>681.16</v>
      </c>
      <c r="G56" s="115">
        <v>654.25</v>
      </c>
      <c r="H56" s="115">
        <v>679.55</v>
      </c>
      <c r="I56" s="115">
        <v>676.07</v>
      </c>
      <c r="J56" s="115">
        <v>661.05</v>
      </c>
      <c r="K56" s="115">
        <v>682.92</v>
      </c>
      <c r="L56" s="115">
        <v>700.36</v>
      </c>
      <c r="M56" s="115">
        <v>688.75</v>
      </c>
      <c r="N56" s="115">
        <v>867.6</v>
      </c>
      <c r="O56" s="115">
        <v>858.62</v>
      </c>
      <c r="P56" s="115">
        <v>865.28</v>
      </c>
      <c r="Q56" s="115">
        <v>839.43</v>
      </c>
      <c r="R56" s="115">
        <v>856.96</v>
      </c>
      <c r="S56" s="115">
        <v>853.78</v>
      </c>
      <c r="T56" s="115">
        <v>887.64</v>
      </c>
      <c r="U56" s="115">
        <v>910.81</v>
      </c>
      <c r="V56" s="115">
        <v>989.83</v>
      </c>
      <c r="W56" s="115">
        <v>1012.52</v>
      </c>
      <c r="X56" s="115">
        <v>985.75</v>
      </c>
      <c r="Y56" s="115">
        <v>968.92</v>
      </c>
    </row>
    <row r="57" spans="1:25">
      <c r="A57" s="46" t="s">
        <v>345</v>
      </c>
      <c r="B57" s="115">
        <v>709.34</v>
      </c>
      <c r="C57" s="115">
        <v>695.44</v>
      </c>
      <c r="D57" s="115">
        <v>693.18</v>
      </c>
      <c r="E57" s="115">
        <v>711.81</v>
      </c>
      <c r="F57" s="115">
        <v>723.88</v>
      </c>
      <c r="G57" s="115">
        <v>695.03</v>
      </c>
      <c r="H57" s="115">
        <v>705.63</v>
      </c>
      <c r="I57" s="115">
        <v>706.89</v>
      </c>
      <c r="J57" s="115">
        <v>696.01</v>
      </c>
      <c r="K57" s="115">
        <v>716.4</v>
      </c>
      <c r="L57" s="115">
        <v>732.83</v>
      </c>
      <c r="M57" s="115">
        <v>727.64</v>
      </c>
      <c r="N57" s="115">
        <v>903.19</v>
      </c>
      <c r="O57" s="115">
        <v>898.1</v>
      </c>
      <c r="P57" s="115">
        <v>906.16</v>
      </c>
      <c r="Q57" s="115">
        <v>887.85</v>
      </c>
      <c r="R57" s="115">
        <v>905.32</v>
      </c>
      <c r="S57" s="115">
        <v>906.22</v>
      </c>
      <c r="T57" s="115">
        <v>936.13</v>
      </c>
      <c r="U57" s="115">
        <v>971.51</v>
      </c>
      <c r="V57" s="115">
        <v>1050.6199999999999</v>
      </c>
      <c r="W57" s="115">
        <v>1060.33</v>
      </c>
      <c r="X57" s="115">
        <v>1028.58</v>
      </c>
      <c r="Y57" s="115">
        <v>1018.47</v>
      </c>
    </row>
    <row r="58" spans="1:25">
      <c r="A58" s="46" t="s">
        <v>346</v>
      </c>
      <c r="B58" s="115">
        <v>175.73</v>
      </c>
      <c r="C58" s="115">
        <v>185.54</v>
      </c>
      <c r="D58" s="115">
        <v>187.86</v>
      </c>
      <c r="E58" s="115">
        <v>175.23</v>
      </c>
      <c r="F58" s="115">
        <v>197.66</v>
      </c>
      <c r="G58" s="115">
        <v>210.16</v>
      </c>
      <c r="H58" s="115">
        <v>239.98</v>
      </c>
      <c r="I58" s="115">
        <v>241.83</v>
      </c>
      <c r="J58" s="115">
        <v>221.49</v>
      </c>
      <c r="K58" s="115">
        <v>228.11</v>
      </c>
      <c r="L58" s="115">
        <v>224.56</v>
      </c>
      <c r="M58" s="115">
        <v>224.51</v>
      </c>
      <c r="N58" s="115">
        <v>226.57</v>
      </c>
      <c r="O58" s="115">
        <v>222.46</v>
      </c>
      <c r="P58" s="115">
        <v>228.49</v>
      </c>
      <c r="Q58" s="115">
        <v>232.8</v>
      </c>
      <c r="R58" s="115">
        <v>240.5</v>
      </c>
      <c r="S58" s="115">
        <v>251.5</v>
      </c>
      <c r="T58" s="115">
        <v>232.87</v>
      </c>
      <c r="U58" s="115">
        <v>192.47</v>
      </c>
      <c r="V58" s="115">
        <v>128.02000000000001</v>
      </c>
      <c r="W58" s="115">
        <v>120.02</v>
      </c>
      <c r="X58" s="115">
        <v>122.84</v>
      </c>
      <c r="Y58" s="115">
        <v>128.91999999999999</v>
      </c>
    </row>
    <row r="59" spans="1:25">
      <c r="A59" s="46" t="s">
        <v>347</v>
      </c>
      <c r="B59" s="115">
        <v>19</v>
      </c>
      <c r="C59" s="115">
        <v>18</v>
      </c>
      <c r="D59" s="115">
        <v>18</v>
      </c>
      <c r="E59" s="115">
        <v>18</v>
      </c>
      <c r="F59" s="115">
        <v>17</v>
      </c>
      <c r="G59" s="115">
        <v>18</v>
      </c>
      <c r="H59" s="115">
        <v>18</v>
      </c>
      <c r="I59" s="115">
        <v>19</v>
      </c>
      <c r="J59" s="115">
        <v>19</v>
      </c>
      <c r="K59" s="115">
        <v>18</v>
      </c>
      <c r="L59" s="115">
        <v>18</v>
      </c>
      <c r="M59" s="115">
        <v>18</v>
      </c>
      <c r="N59" s="115">
        <v>18</v>
      </c>
      <c r="O59" s="115">
        <v>18</v>
      </c>
      <c r="P59" s="115">
        <v>18</v>
      </c>
      <c r="Q59" s="115">
        <v>18</v>
      </c>
      <c r="R59" s="115">
        <v>19</v>
      </c>
      <c r="S59" s="115">
        <v>18</v>
      </c>
      <c r="T59" s="115">
        <v>19</v>
      </c>
      <c r="U59" s="115">
        <v>18</v>
      </c>
      <c r="V59" s="115">
        <v>18</v>
      </c>
      <c r="W59" s="115">
        <v>16</v>
      </c>
      <c r="X59" s="115">
        <v>16</v>
      </c>
      <c r="Y59" s="115">
        <v>16</v>
      </c>
    </row>
    <row r="60" spans="1:25">
      <c r="A60" s="46" t="s">
        <v>348</v>
      </c>
      <c r="B60" s="115">
        <v>15.2</v>
      </c>
      <c r="C60" s="115">
        <v>8.16</v>
      </c>
      <c r="D60" s="115">
        <v>12.09</v>
      </c>
      <c r="E60" s="115">
        <v>10.58</v>
      </c>
      <c r="F60" s="115">
        <v>14.41</v>
      </c>
      <c r="G60" s="115">
        <v>14.88</v>
      </c>
      <c r="H60" s="115">
        <v>11.4</v>
      </c>
      <c r="I60" s="115">
        <v>12.44</v>
      </c>
      <c r="J60" s="115">
        <v>10.28</v>
      </c>
      <c r="K60" s="115">
        <v>10.99</v>
      </c>
      <c r="L60" s="115">
        <v>10.92</v>
      </c>
      <c r="M60" s="115">
        <v>14.15</v>
      </c>
      <c r="N60" s="115">
        <v>7.16</v>
      </c>
      <c r="O60" s="115">
        <v>13.55</v>
      </c>
      <c r="P60" s="115">
        <v>17.46</v>
      </c>
      <c r="Q60" s="115">
        <v>36.82</v>
      </c>
      <c r="R60" s="115">
        <v>15.09</v>
      </c>
      <c r="S60" s="115">
        <v>26.81</v>
      </c>
      <c r="T60" s="115">
        <v>14.63</v>
      </c>
      <c r="U60" s="115">
        <v>28.26</v>
      </c>
      <c r="V60" s="115">
        <v>14.55</v>
      </c>
      <c r="W60" s="115">
        <v>15.8</v>
      </c>
      <c r="X60" s="115">
        <v>14.38</v>
      </c>
      <c r="Y60" s="115">
        <v>19.87</v>
      </c>
    </row>
    <row r="61" spans="1:25">
      <c r="A61" s="46" t="s">
        <v>349</v>
      </c>
      <c r="B61" s="46">
        <v>-12.88</v>
      </c>
      <c r="C61" s="115">
        <v>-3.73</v>
      </c>
      <c r="D61" s="46">
        <v>-5.69</v>
      </c>
      <c r="E61" s="115">
        <v>-4.03</v>
      </c>
      <c r="F61" s="115">
        <v>-26.02</v>
      </c>
      <c r="G61" s="115">
        <v>-2.0699999999999998</v>
      </c>
      <c r="H61" s="115">
        <v>-3.02</v>
      </c>
      <c r="I61" s="115">
        <v>-41.93</v>
      </c>
      <c r="J61" s="115">
        <v>-4.49</v>
      </c>
      <c r="K61" s="115">
        <v>-3.44</v>
      </c>
      <c r="L61" s="115">
        <v>-5.1100000000000003</v>
      </c>
      <c r="M61" s="115">
        <v>-0.71</v>
      </c>
      <c r="N61" s="46">
        <v>-149.62</v>
      </c>
      <c r="O61" s="46">
        <v>-30.66</v>
      </c>
      <c r="P61" s="46">
        <v>-3.06</v>
      </c>
      <c r="Q61" s="115">
        <v>3.19</v>
      </c>
      <c r="R61" s="46">
        <v>-3.89</v>
      </c>
      <c r="S61" s="115">
        <v>-1.9</v>
      </c>
      <c r="T61" s="46">
        <v>-6.05</v>
      </c>
      <c r="U61" s="115">
        <v>-3.27</v>
      </c>
      <c r="V61" s="115">
        <v>-1.32</v>
      </c>
      <c r="W61" s="46">
        <v>-7.76</v>
      </c>
      <c r="X61" s="46">
        <v>-2.4300000000000002</v>
      </c>
      <c r="Y61" s="46">
        <v>-12.52</v>
      </c>
    </row>
    <row r="62" spans="1:25">
      <c r="A62" s="46" t="s">
        <v>350</v>
      </c>
      <c r="B62" s="46">
        <v>0.79</v>
      </c>
      <c r="C62" s="115">
        <v>-5.78</v>
      </c>
      <c r="D62" s="115">
        <v>-6.17</v>
      </c>
      <c r="E62" s="115">
        <v>10.23</v>
      </c>
      <c r="F62" s="115">
        <v>12.81</v>
      </c>
      <c r="G62" s="115">
        <v>-11.98</v>
      </c>
      <c r="H62" s="115">
        <v>36.549999999999997</v>
      </c>
      <c r="I62" s="46">
        <v>-0.2</v>
      </c>
      <c r="J62" s="46">
        <v>3.15</v>
      </c>
      <c r="K62" s="115">
        <v>-6.57</v>
      </c>
      <c r="L62" s="46">
        <v>3.13</v>
      </c>
      <c r="M62" s="115">
        <v>-7.06</v>
      </c>
      <c r="N62" s="115">
        <v>141.57</v>
      </c>
      <c r="O62" s="46">
        <v>29.71</v>
      </c>
      <c r="P62" s="115">
        <v>-24.49</v>
      </c>
      <c r="Q62" s="46">
        <v>-38.64</v>
      </c>
      <c r="R62" s="46">
        <v>-9.49</v>
      </c>
      <c r="S62" s="115">
        <v>-23.11</v>
      </c>
      <c r="T62" s="46">
        <v>27.48</v>
      </c>
      <c r="U62" s="115">
        <v>6.32</v>
      </c>
      <c r="V62" s="115">
        <v>87.7</v>
      </c>
      <c r="W62" s="115">
        <v>18.7</v>
      </c>
      <c r="X62" s="46">
        <v>0.9</v>
      </c>
      <c r="Y62" s="46">
        <v>-6.31</v>
      </c>
    </row>
    <row r="63" spans="1:25">
      <c r="A63" s="46" t="s">
        <v>351</v>
      </c>
      <c r="B63" s="46">
        <v>0</v>
      </c>
      <c r="C63" s="46">
        <v>0</v>
      </c>
      <c r="D63" s="115">
        <v>0</v>
      </c>
      <c r="E63" s="115">
        <v>0</v>
      </c>
      <c r="F63" s="115">
        <v>0</v>
      </c>
      <c r="G63" s="115">
        <v>0</v>
      </c>
      <c r="H63" s="115">
        <v>0</v>
      </c>
      <c r="I63" s="115">
        <v>0</v>
      </c>
      <c r="J63" s="115">
        <v>0</v>
      </c>
      <c r="K63" s="115">
        <v>0</v>
      </c>
      <c r="L63" s="115">
        <v>0</v>
      </c>
      <c r="M63" s="46">
        <v>0</v>
      </c>
      <c r="N63" s="46">
        <v>0</v>
      </c>
      <c r="O63" s="115">
        <v>0</v>
      </c>
      <c r="P63" s="46">
        <v>0</v>
      </c>
      <c r="Q63" s="46">
        <v>0</v>
      </c>
      <c r="R63" s="46">
        <v>0</v>
      </c>
      <c r="S63" s="46">
        <v>0</v>
      </c>
      <c r="T63" s="46">
        <v>-11.56</v>
      </c>
      <c r="U63" s="46">
        <v>-50.18</v>
      </c>
      <c r="V63" s="115">
        <v>-78.3</v>
      </c>
      <c r="W63" s="46">
        <v>-25.66</v>
      </c>
      <c r="X63" s="115">
        <v>-11.01</v>
      </c>
      <c r="Y63" s="46">
        <v>0</v>
      </c>
    </row>
    <row r="64" spans="1:25">
      <c r="A64" s="46" t="s">
        <v>352</v>
      </c>
      <c r="B64" s="115">
        <v>0.11</v>
      </c>
      <c r="C64" s="115">
        <v>-6.91</v>
      </c>
      <c r="D64" s="115">
        <v>-6.77</v>
      </c>
      <c r="E64" s="115">
        <v>-6.22</v>
      </c>
      <c r="F64" s="115">
        <v>11.8</v>
      </c>
      <c r="G64" s="115">
        <v>-12.99</v>
      </c>
      <c r="H64" s="115">
        <v>31.37</v>
      </c>
      <c r="I64" s="115">
        <v>-1.57</v>
      </c>
      <c r="J64" s="115">
        <v>-14.62</v>
      </c>
      <c r="K64" s="115">
        <v>-7.52</v>
      </c>
      <c r="L64" s="115">
        <v>-5.8</v>
      </c>
      <c r="M64" s="115">
        <v>-8.31</v>
      </c>
      <c r="N64" s="115">
        <v>137.37</v>
      </c>
      <c r="O64" s="115">
        <v>28.32</v>
      </c>
      <c r="P64" s="115">
        <v>-25.62</v>
      </c>
      <c r="Q64" s="115">
        <v>-39.979999999999997</v>
      </c>
      <c r="R64" s="115">
        <v>-11.04</v>
      </c>
      <c r="S64" s="115">
        <v>-25.4</v>
      </c>
      <c r="T64" s="115">
        <v>-7.5</v>
      </c>
      <c r="U64" s="115">
        <v>-25.39</v>
      </c>
      <c r="V64" s="115">
        <v>-13.17</v>
      </c>
      <c r="W64" s="115">
        <v>-8.31</v>
      </c>
      <c r="X64" s="115">
        <v>-11.78</v>
      </c>
      <c r="Y64" s="115">
        <v>-7.59</v>
      </c>
    </row>
    <row r="65" spans="1:25">
      <c r="A65" s="46" t="s">
        <v>353</v>
      </c>
      <c r="B65" s="46">
        <v>28.64</v>
      </c>
      <c r="C65" s="46">
        <v>27.12</v>
      </c>
      <c r="D65" s="46">
        <v>26.96</v>
      </c>
      <c r="E65" s="46">
        <v>25.92</v>
      </c>
      <c r="F65" s="46">
        <v>25.71</v>
      </c>
      <c r="G65" s="46">
        <v>27.66</v>
      </c>
      <c r="H65" s="46">
        <v>24.55</v>
      </c>
      <c r="I65" s="46">
        <v>21.55</v>
      </c>
      <c r="J65" s="46">
        <v>15.5</v>
      </c>
      <c r="K65" s="46">
        <v>19.25</v>
      </c>
      <c r="L65" s="46">
        <v>19.010000000000002</v>
      </c>
      <c r="M65" s="46">
        <v>20.440000000000001</v>
      </c>
      <c r="N65" s="46">
        <v>25.6</v>
      </c>
      <c r="O65" s="46">
        <v>16.149999999999999</v>
      </c>
      <c r="P65" s="46">
        <v>18.12</v>
      </c>
      <c r="Q65" s="46">
        <v>22.31</v>
      </c>
      <c r="R65" s="46">
        <v>31.32</v>
      </c>
      <c r="S65" s="46">
        <v>35.19</v>
      </c>
      <c r="T65" s="46">
        <v>36.97</v>
      </c>
      <c r="U65" s="46">
        <v>44.59</v>
      </c>
      <c r="V65" s="46">
        <v>64.44</v>
      </c>
      <c r="W65" s="46">
        <v>53.33</v>
      </c>
      <c r="X65" s="46">
        <v>39.65</v>
      </c>
      <c r="Y65" s="46">
        <v>32.159999999999997</v>
      </c>
    </row>
    <row r="66" spans="1:25">
      <c r="A66" s="46" t="s">
        <v>375</v>
      </c>
      <c r="B66" s="115">
        <v>10.39</v>
      </c>
      <c r="C66" s="115">
        <v>4.43</v>
      </c>
      <c r="D66" s="115">
        <v>7.03</v>
      </c>
      <c r="E66" s="115">
        <v>6.24</v>
      </c>
      <c r="F66" s="115">
        <v>11.14</v>
      </c>
      <c r="G66" s="115">
        <v>12.82</v>
      </c>
      <c r="H66" s="115">
        <v>8.3800000000000008</v>
      </c>
      <c r="I66" s="115">
        <v>8.48</v>
      </c>
      <c r="J66" s="115">
        <v>5.79</v>
      </c>
      <c r="K66" s="115">
        <v>7.45</v>
      </c>
      <c r="L66" s="115">
        <v>5.81</v>
      </c>
      <c r="M66" s="115">
        <v>11.32</v>
      </c>
      <c r="N66" s="115">
        <v>3.26</v>
      </c>
      <c r="O66" s="115">
        <v>10.81</v>
      </c>
      <c r="P66" s="115">
        <v>14.41</v>
      </c>
      <c r="Q66" s="115">
        <v>32.57</v>
      </c>
      <c r="R66" s="115">
        <v>9.93</v>
      </c>
      <c r="S66" s="115">
        <v>22.46</v>
      </c>
      <c r="T66" s="115">
        <v>10.23</v>
      </c>
      <c r="U66" s="115">
        <v>21.76</v>
      </c>
      <c r="V66" s="115">
        <v>4.92</v>
      </c>
      <c r="W66" s="115">
        <v>8.92</v>
      </c>
      <c r="X66" s="115">
        <v>7.79</v>
      </c>
      <c r="Y66" s="115">
        <v>12.99</v>
      </c>
    </row>
    <row r="67" spans="1:25">
      <c r="A67" s="46" t="s">
        <v>403</v>
      </c>
      <c r="E67" s="1">
        <f>E68/E59</f>
        <v>1.5605555555555557</v>
      </c>
      <c r="F67" s="1">
        <f t="shared" ref="F67:Y67" si="0">F68/F59</f>
        <v>1.6964705882352944</v>
      </c>
      <c r="G67" s="1">
        <f t="shared" si="0"/>
        <v>2.0683333333333334</v>
      </c>
      <c r="H67" s="1">
        <f t="shared" si="0"/>
        <v>2.1433333333333335</v>
      </c>
      <c r="I67" s="1">
        <f t="shared" si="0"/>
        <v>2.1484210526315795</v>
      </c>
      <c r="J67" s="1">
        <f t="shared" si="0"/>
        <v>1.8668421052631583</v>
      </c>
      <c r="K67" s="1">
        <f t="shared" si="0"/>
        <v>1.6722222222222221</v>
      </c>
      <c r="L67" s="1">
        <f t="shared" si="0"/>
        <v>1.5294444444444444</v>
      </c>
      <c r="M67" s="1">
        <f t="shared" si="0"/>
        <v>1.6872222222222222</v>
      </c>
      <c r="N67" s="1">
        <f t="shared" si="0"/>
        <v>1.5466666666666664</v>
      </c>
      <c r="O67" s="1">
        <f t="shared" si="0"/>
        <v>1.7333333333333334</v>
      </c>
      <c r="P67" s="1">
        <f t="shared" si="0"/>
        <v>2.2111111111111108</v>
      </c>
      <c r="Q67" s="1">
        <f t="shared" si="0"/>
        <v>3.3916666666666666</v>
      </c>
      <c r="R67" s="1">
        <f t="shared" si="0"/>
        <v>3.5642105263157893</v>
      </c>
      <c r="S67" s="1">
        <f t="shared" si="0"/>
        <v>4.4094444444444445</v>
      </c>
      <c r="T67" s="1">
        <f t="shared" si="0"/>
        <v>3.9573684210526321</v>
      </c>
      <c r="U67" s="1">
        <f t="shared" si="0"/>
        <v>3.5766666666666671</v>
      </c>
      <c r="V67" s="1">
        <f t="shared" si="0"/>
        <v>3.2983333333333338</v>
      </c>
      <c r="W67" s="1">
        <f t="shared" si="0"/>
        <v>2.8643750000000003</v>
      </c>
      <c r="X67" s="1">
        <f t="shared" si="0"/>
        <v>2.711875</v>
      </c>
      <c r="Y67" s="1">
        <f t="shared" si="0"/>
        <v>2.1637499999999998</v>
      </c>
    </row>
    <row r="68" spans="1:25">
      <c r="E68" s="44">
        <f>SUM(B66:E66)</f>
        <v>28.090000000000003</v>
      </c>
      <c r="F68" s="44">
        <f t="shared" ref="F68:Y68" si="1">SUM(C66:F66)</f>
        <v>28.840000000000003</v>
      </c>
      <c r="G68" s="44">
        <f t="shared" si="1"/>
        <v>37.230000000000004</v>
      </c>
      <c r="H68" s="44">
        <f t="shared" si="1"/>
        <v>38.580000000000005</v>
      </c>
      <c r="I68" s="44">
        <f t="shared" si="1"/>
        <v>40.820000000000007</v>
      </c>
      <c r="J68" s="44">
        <f t="shared" si="1"/>
        <v>35.470000000000006</v>
      </c>
      <c r="K68" s="44">
        <f t="shared" si="1"/>
        <v>30.099999999999998</v>
      </c>
      <c r="L68" s="44">
        <f t="shared" si="1"/>
        <v>27.529999999999998</v>
      </c>
      <c r="M68" s="44">
        <f t="shared" si="1"/>
        <v>30.37</v>
      </c>
      <c r="N68" s="44">
        <f t="shared" si="1"/>
        <v>27.839999999999996</v>
      </c>
      <c r="O68" s="44">
        <f t="shared" si="1"/>
        <v>31.200000000000003</v>
      </c>
      <c r="P68" s="44">
        <f t="shared" si="1"/>
        <v>39.799999999999997</v>
      </c>
      <c r="Q68" s="44">
        <f t="shared" si="1"/>
        <v>61.05</v>
      </c>
      <c r="R68" s="44">
        <f t="shared" si="1"/>
        <v>67.72</v>
      </c>
      <c r="S68" s="44">
        <f t="shared" si="1"/>
        <v>79.37</v>
      </c>
      <c r="T68" s="44">
        <f t="shared" si="1"/>
        <v>75.190000000000012</v>
      </c>
      <c r="U68" s="44">
        <f t="shared" si="1"/>
        <v>64.38000000000001</v>
      </c>
      <c r="V68" s="44">
        <f t="shared" si="1"/>
        <v>59.370000000000005</v>
      </c>
      <c r="W68" s="44">
        <f t="shared" si="1"/>
        <v>45.830000000000005</v>
      </c>
      <c r="X68" s="44">
        <f t="shared" si="1"/>
        <v>43.39</v>
      </c>
      <c r="Y68" s="44">
        <f t="shared" si="1"/>
        <v>34.619999999999997</v>
      </c>
    </row>
    <row r="69" spans="1:25">
      <c r="F69" s="32">
        <f>F68/E68-1</f>
        <v>2.6699893200427205E-2</v>
      </c>
      <c r="G69" s="32">
        <f t="shared" ref="G69:Y69" si="2">G68/F68-1</f>
        <v>0.2909153952843273</v>
      </c>
      <c r="H69" s="32">
        <f t="shared" si="2"/>
        <v>3.6261079774375649E-2</v>
      </c>
      <c r="I69" s="32">
        <f t="shared" si="2"/>
        <v>5.8061171591498262E-2</v>
      </c>
      <c r="J69" s="32">
        <f t="shared" si="2"/>
        <v>-0.131063204311612</v>
      </c>
      <c r="K69" s="32">
        <f t="shared" si="2"/>
        <v>-0.15139554553143519</v>
      </c>
      <c r="L69" s="32">
        <f t="shared" si="2"/>
        <v>-8.5382059800664489E-2</v>
      </c>
      <c r="M69" s="32">
        <f t="shared" si="2"/>
        <v>0.10316018888485301</v>
      </c>
      <c r="N69" s="32">
        <f t="shared" si="2"/>
        <v>-8.3305893974316869E-2</v>
      </c>
      <c r="O69" s="32">
        <f t="shared" si="2"/>
        <v>0.12068965517241415</v>
      </c>
      <c r="P69" s="32">
        <f t="shared" si="2"/>
        <v>0.27564102564102533</v>
      </c>
      <c r="Q69" s="32">
        <f t="shared" si="2"/>
        <v>0.53391959798994981</v>
      </c>
      <c r="R69" s="32">
        <f t="shared" si="2"/>
        <v>0.10925470925470937</v>
      </c>
      <c r="S69" s="32">
        <f t="shared" si="2"/>
        <v>0.17203189604252822</v>
      </c>
      <c r="T69" s="32">
        <f t="shared" si="2"/>
        <v>-5.2664734786443179E-2</v>
      </c>
      <c r="U69" s="32">
        <f t="shared" si="2"/>
        <v>-0.14376911823380767</v>
      </c>
      <c r="V69" s="32">
        <f t="shared" si="2"/>
        <v>-7.7819198508853771E-2</v>
      </c>
      <c r="W69" s="32">
        <f t="shared" si="2"/>
        <v>-0.22806131042614108</v>
      </c>
      <c r="X69" s="32">
        <f t="shared" si="2"/>
        <v>-5.3240235653502221E-2</v>
      </c>
      <c r="Y69" s="32">
        <f t="shared" si="2"/>
        <v>-0.20212030421756177</v>
      </c>
    </row>
    <row r="71" spans="1:25">
      <c r="A71" t="s">
        <v>404</v>
      </c>
      <c r="E71" s="127">
        <f>E67/E65</f>
        <v>6.0206618655692733E-2</v>
      </c>
      <c r="F71" s="127">
        <f t="shared" ref="F71:Y71" si="3">F67/F65</f>
        <v>6.5984853684764463E-2</v>
      </c>
      <c r="G71" s="127">
        <f t="shared" si="3"/>
        <v>7.4777054711978791E-2</v>
      </c>
      <c r="H71" s="127">
        <f t="shared" si="3"/>
        <v>8.7304820095044131E-2</v>
      </c>
      <c r="I71" s="127">
        <f t="shared" si="3"/>
        <v>9.9694712419098816E-2</v>
      </c>
      <c r="J71" s="127">
        <f t="shared" si="3"/>
        <v>0.12044142614601021</v>
      </c>
      <c r="K71" s="127">
        <f t="shared" si="3"/>
        <v>8.6868686868686859E-2</v>
      </c>
      <c r="L71" s="127">
        <f t="shared" si="3"/>
        <v>8.0454731427903436E-2</v>
      </c>
      <c r="M71" s="127">
        <f t="shared" si="3"/>
        <v>8.2545118504022602E-2</v>
      </c>
      <c r="N71" s="127">
        <f t="shared" si="3"/>
        <v>6.0416666666666653E-2</v>
      </c>
      <c r="O71" s="127">
        <f t="shared" si="3"/>
        <v>0.10732714138286895</v>
      </c>
      <c r="P71" s="127">
        <f t="shared" si="3"/>
        <v>0.12202599950944319</v>
      </c>
      <c r="Q71" s="127">
        <f t="shared" si="3"/>
        <v>0.15202450321231137</v>
      </c>
      <c r="R71" s="127">
        <f t="shared" si="3"/>
        <v>0.11379982523358204</v>
      </c>
      <c r="S71" s="127">
        <f t="shared" si="3"/>
        <v>0.12530390578131415</v>
      </c>
      <c r="T71" s="127">
        <f t="shared" si="3"/>
        <v>0.10704269464572984</v>
      </c>
      <c r="U71" s="127">
        <f t="shared" si="3"/>
        <v>8.0212304702100626E-2</v>
      </c>
      <c r="V71" s="127">
        <f t="shared" si="3"/>
        <v>5.1184564452720883E-2</v>
      </c>
      <c r="W71" s="127">
        <f t="shared" si="3"/>
        <v>5.3710388149259339E-2</v>
      </c>
      <c r="X71" s="127">
        <f t="shared" si="3"/>
        <v>6.8395334174022701E-2</v>
      </c>
      <c r="Y71" s="127">
        <f t="shared" si="3"/>
        <v>6.7280783582089554E-2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FA4C-9F46-49AA-A9C1-4032AEC1FD90}">
  <dimension ref="A1:W187"/>
  <sheetViews>
    <sheetView zoomScale="120" zoomScaleNormal="120" workbookViewId="0">
      <selection activeCell="I15" sqref="I15"/>
    </sheetView>
  </sheetViews>
  <sheetFormatPr defaultRowHeight="15"/>
  <cols>
    <col min="1" max="1" width="20.5703125" customWidth="1"/>
    <col min="2" max="2" width="35" bestFit="1" customWidth="1"/>
    <col min="3" max="3" width="37.42578125" style="14" hidden="1" customWidth="1"/>
    <col min="4" max="8" width="12" style="1" bestFit="1" customWidth="1"/>
    <col min="9" max="9" width="15" style="1" bestFit="1" customWidth="1"/>
    <col min="10" max="10" width="15" bestFit="1" customWidth="1"/>
    <col min="11" max="11" width="1" style="81" customWidth="1"/>
    <col min="12" max="12" width="53.5703125" bestFit="1" customWidth="1"/>
    <col min="13" max="13" width="13.140625" bestFit="1" customWidth="1"/>
    <col min="14" max="17" width="16.7109375" bestFit="1" customWidth="1"/>
    <col min="18" max="18" width="17.85546875" bestFit="1" customWidth="1"/>
    <col min="19" max="19" width="49.28515625" bestFit="1" customWidth="1"/>
    <col min="20" max="20" width="11.5703125" bestFit="1" customWidth="1"/>
  </cols>
  <sheetData>
    <row r="1" spans="1:19">
      <c r="A1" s="8" t="s">
        <v>26</v>
      </c>
      <c r="B1" s="136" t="str">
        <f>UPPER(Dane2!AA2)</f>
        <v>PEP</v>
      </c>
      <c r="C1" s="136"/>
      <c r="D1" s="136"/>
      <c r="E1" s="136"/>
      <c r="F1" s="136"/>
      <c r="G1" s="136"/>
      <c r="H1" s="136"/>
      <c r="I1" s="47"/>
      <c r="L1" s="13"/>
      <c r="M1" s="8"/>
      <c r="N1" s="8"/>
      <c r="O1" s="8"/>
      <c r="P1" s="8"/>
      <c r="Q1" s="8"/>
      <c r="R1" s="8"/>
      <c r="S1" s="8"/>
    </row>
    <row r="2" spans="1:19">
      <c r="A2" s="3"/>
      <c r="B2" s="8" t="s">
        <v>27</v>
      </c>
      <c r="C2" s="52" t="s">
        <v>162</v>
      </c>
      <c r="D2" s="125" t="str">
        <f>MID(Dane2!C1,1,4)</f>
        <v>2018</v>
      </c>
      <c r="E2" s="125" t="str">
        <f>MID(Dane2!D1,1,4)</f>
        <v>2019</v>
      </c>
      <c r="F2" s="125" t="str">
        <f>MID(Dane2!E1,1,4)</f>
        <v>2020</v>
      </c>
      <c r="G2" s="125" t="str">
        <f>MID(Dane2!F1,1,4)</f>
        <v>2021</v>
      </c>
      <c r="H2" s="125">
        <f>G2+1</f>
        <v>2022</v>
      </c>
      <c r="I2" s="7" t="s">
        <v>28</v>
      </c>
      <c r="J2" s="20" t="s">
        <v>29</v>
      </c>
      <c r="K2" s="94"/>
      <c r="L2" s="3"/>
      <c r="M2" s="8" t="str">
        <f>D2</f>
        <v>2018</v>
      </c>
      <c r="N2" s="8" t="str">
        <f>E2</f>
        <v>2019</v>
      </c>
      <c r="O2" s="8" t="str">
        <f>F2</f>
        <v>2020</v>
      </c>
      <c r="P2" s="8" t="str">
        <f>G2</f>
        <v>2021</v>
      </c>
      <c r="Q2" s="8">
        <f>H2</f>
        <v>2022</v>
      </c>
      <c r="R2" s="8" t="s">
        <v>140</v>
      </c>
      <c r="S2" s="28" t="s">
        <v>30</v>
      </c>
    </row>
    <row r="3" spans="1:19">
      <c r="A3" s="11" t="s">
        <v>31</v>
      </c>
      <c r="B3" s="11" t="s">
        <v>32</v>
      </c>
      <c r="C3" s="53" t="s">
        <v>230</v>
      </c>
      <c r="D3" s="54">
        <f>SUM(Dane2!F37:'Dane2'!I37)</f>
        <v>64418</v>
      </c>
      <c r="E3" s="54">
        <f>SUM(Dane2!J37:'Dane2'!M37)</f>
        <v>65342</v>
      </c>
      <c r="F3" s="54">
        <f>SUM(Dane2!N37:'Dane2'!Q37)</f>
        <v>67654</v>
      </c>
      <c r="G3" s="54">
        <f>SUM(Dane2!R37:'Dane2'!U37)</f>
        <v>74583</v>
      </c>
      <c r="H3" s="54">
        <f>SUM(Dane2!V37:'Dane2'!Y37)</f>
        <v>81862</v>
      </c>
      <c r="I3" s="10">
        <f>IF(D3=0,CONCATENATE($D$2, " = 0"),POWER(ABS(H3/D3),1/(COUNT(D3:H3)-1))-1)</f>
        <v>6.1741464816015501E-2</v>
      </c>
      <c r="J3" s="10">
        <f>IF(D3=0,CONCATENATE(D2, " = 0"),H3/D3-1)</f>
        <v>0.27079387748765882</v>
      </c>
      <c r="K3" s="95"/>
      <c r="L3" s="7" t="s">
        <v>33</v>
      </c>
      <c r="M3" s="10">
        <f>(ABS(D12)-ABS(D10))/ABS(D10)</f>
        <v>0</v>
      </c>
      <c r="N3" s="10">
        <f t="shared" ref="N3:Q3" si="0">(ABS(E12)-ABS(E10))/ABS(E10)</f>
        <v>0</v>
      </c>
      <c r="O3" s="10">
        <f t="shared" si="0"/>
        <v>0</v>
      </c>
      <c r="P3" s="10">
        <f t="shared" si="0"/>
        <v>0</v>
      </c>
      <c r="Q3" s="10">
        <f t="shared" si="0"/>
        <v>0</v>
      </c>
      <c r="R3" s="32">
        <f>AVERAGE(M3:Q3)</f>
        <v>0</v>
      </c>
      <c r="S3" s="21" t="s">
        <v>34</v>
      </c>
    </row>
    <row r="4" spans="1:19">
      <c r="A4" s="11"/>
      <c r="B4" s="11" t="s">
        <v>1</v>
      </c>
      <c r="C4" s="55" t="s">
        <v>231</v>
      </c>
      <c r="D4" s="54">
        <f>SUM(Dane2!F38:'Dane2'!I38)</f>
        <v>13308</v>
      </c>
      <c r="E4" s="54">
        <f>SUM(Dane2!J38:'Dane2'!M38)</f>
        <v>12496</v>
      </c>
      <c r="F4" s="54">
        <f>SUM(Dane2!N38:'Dane2'!Q38)</f>
        <v>12699</v>
      </c>
      <c r="G4" s="54">
        <f>SUM(Dane2!R38:'Dane2'!U38)</f>
        <v>14817</v>
      </c>
      <c r="H4" s="54">
        <f>SUM(Dane2!V38:'Dane2'!Y38)</f>
        <v>16673</v>
      </c>
      <c r="I4" s="10">
        <f>IF(D4=0,CONCATENATE($D$2, " = 0"),POWER(ABS(H4/D4),1/(COUNT(D4:H4)-1))-1)</f>
        <v>5.7974595788243377E-2</v>
      </c>
      <c r="J4" s="10">
        <f>IF(D4=0,CONCATENATE(D2, " = 0"),H4/D4-1)</f>
        <v>0.25285542530808547</v>
      </c>
      <c r="K4" s="95"/>
      <c r="L4" s="7" t="s">
        <v>35</v>
      </c>
      <c r="M4" s="10">
        <f>(D12-D11)/D12</f>
        <v>0</v>
      </c>
      <c r="N4" s="10">
        <f>(E12-E11)/E12</f>
        <v>0</v>
      </c>
      <c r="O4" s="10">
        <f>(F12-F11)/F12</f>
        <v>0</v>
      </c>
      <c r="P4" s="10">
        <f>(G12-G11)/G12</f>
        <v>0</v>
      </c>
      <c r="Q4" s="10">
        <f>(H12-H11)/H12</f>
        <v>0</v>
      </c>
      <c r="R4" s="32">
        <f>AVERAGE(M4:Q4)</f>
        <v>0</v>
      </c>
      <c r="S4" s="21" t="s">
        <v>34</v>
      </c>
    </row>
    <row r="5" spans="1:19">
      <c r="A5" s="11"/>
      <c r="B5" s="11" t="s">
        <v>357</v>
      </c>
      <c r="C5" s="55" t="s">
        <v>232</v>
      </c>
      <c r="D5" s="54">
        <f>SUM(Dane2!F39:'Dane2'!I39)</f>
        <v>322</v>
      </c>
      <c r="E5" s="54">
        <f>SUM(Dane2!J39:'Dane2'!M39)</f>
        <v>139</v>
      </c>
      <c r="F5" s="54">
        <f>SUM(Dane2!N39:'Dane2'!Q39)</f>
        <v>0</v>
      </c>
      <c r="G5" s="54">
        <f>SUM(Dane2!R39:'Dane2'!U39)</f>
        <v>0</v>
      </c>
      <c r="H5" s="54">
        <f>SUM(Dane2!V39:'Dane2'!Y39)</f>
        <v>0</v>
      </c>
      <c r="I5" s="10">
        <f t="shared" ref="I5:I17" si="1">IF(D5=0,CONCATENATE($D$2, " = 0"),POWER(ABS(H5/D5),1/(COUNT(D5:H5)-1))-1)</f>
        <v>-1</v>
      </c>
      <c r="J5" s="10">
        <f>IF(D5=0,CONCATENATE(D2, " = 0"),H5/D5-1)</f>
        <v>-1</v>
      </c>
      <c r="K5" s="95"/>
      <c r="L5" s="7" t="s">
        <v>36</v>
      </c>
      <c r="M5" s="9">
        <f>IF(D31/D12&lt;0,0,D31/D12)</f>
        <v>33.915887850467293</v>
      </c>
      <c r="N5" s="9">
        <f t="shared" ref="N5:Q5" si="2">IF(E31/E12&lt;0,0,E31/E12)</f>
        <v>14.537694013303769</v>
      </c>
      <c r="O5" s="9">
        <f t="shared" si="2"/>
        <v>27.047034764826176</v>
      </c>
      <c r="P5" s="9">
        <f t="shared" si="2"/>
        <v>25.028716216216214</v>
      </c>
      <c r="Q5" s="9">
        <f t="shared" si="2"/>
        <v>25.099397590361445</v>
      </c>
      <c r="R5" s="6">
        <f>SUM(M5:Q5)/IF(COUNTIF(M5:Q5,"&gt; 0") = 0, 1, COUNTIF(M5:Q5,"&gt; 0"))</f>
        <v>25.12574608703498</v>
      </c>
      <c r="S5" s="21" t="s">
        <v>37</v>
      </c>
    </row>
    <row r="6" spans="1:19">
      <c r="A6" s="11"/>
      <c r="B6" s="11" t="s">
        <v>3</v>
      </c>
      <c r="C6" s="56" t="s">
        <v>233</v>
      </c>
      <c r="D6" s="54">
        <f>SUM(Dane2!F40:'Dane2'!I40)</f>
        <v>10900</v>
      </c>
      <c r="E6" s="54">
        <f>SUM(Dane2!J40:'Dane2'!M40)</f>
        <v>10111</v>
      </c>
      <c r="F6" s="54">
        <f>SUM(Dane2!N40:'Dane2'!Q40)</f>
        <v>9789</v>
      </c>
      <c r="G6" s="54">
        <f>SUM(Dane2!R40:'Dane2'!U40)</f>
        <v>11480</v>
      </c>
      <c r="H6" s="54">
        <f>SUM(Dane2!V40:'Dane2'!Y40)</f>
        <v>13473</v>
      </c>
      <c r="I6" s="10">
        <f t="shared" si="1"/>
        <v>5.440984668537352E-2</v>
      </c>
      <c r="J6" s="10">
        <f>IF(D6=0,CONCATENATE(D2, " = 0"),H6/D6-1)</f>
        <v>0.23605504587155957</v>
      </c>
      <c r="K6" s="95"/>
      <c r="L6" s="7" t="s">
        <v>171</v>
      </c>
      <c r="M6" s="6">
        <f>IF(D52/D53&lt;0,0,D52/D53)</f>
        <v>33.915887850467293</v>
      </c>
      <c r="N6" s="6">
        <f t="shared" ref="N6:Q6" si="3">IF(E52/E53&lt;0,0,E52/E53)</f>
        <v>14.537694013303769</v>
      </c>
      <c r="O6" s="6">
        <f t="shared" si="3"/>
        <v>27.047034764826176</v>
      </c>
      <c r="P6" s="6">
        <f t="shared" si="3"/>
        <v>25.028716216216214</v>
      </c>
      <c r="Q6" s="6">
        <f t="shared" si="3"/>
        <v>25.099397590361445</v>
      </c>
      <c r="R6" s="6">
        <f>SUM(M6:Q6)/IF(COUNTIF(M6:Q6,"&gt; 0") = 0, 1, COUNTIF(M6:Q6,"&gt; 0"))</f>
        <v>25.12574608703498</v>
      </c>
      <c r="S6" s="21" t="s">
        <v>37</v>
      </c>
    </row>
    <row r="7" spans="1:19">
      <c r="A7" s="11"/>
      <c r="B7" s="11" t="s">
        <v>358</v>
      </c>
      <c r="C7" s="57" t="s">
        <v>234</v>
      </c>
      <c r="D7" s="54">
        <f>SUM(Dane2!F41:'Dane2'!I41)</f>
        <v>-1236</v>
      </c>
      <c r="E7" s="54">
        <f>SUM(Dane2!J41:'Dane2'!M41)</f>
        <v>-1044</v>
      </c>
      <c r="F7" s="54">
        <f>SUM(Dane2!N41:'Dane2'!Q41)</f>
        <v>-1033</v>
      </c>
      <c r="G7" s="54">
        <f>SUM(Dane2!R41:'Dane2'!U41)</f>
        <v>-1102</v>
      </c>
      <c r="H7" s="54">
        <f>SUM(Dane2!V41:'Dane2'!Y41)</f>
        <v>-1840</v>
      </c>
      <c r="I7" s="10">
        <f t="shared" si="1"/>
        <v>0.10458677212018541</v>
      </c>
      <c r="J7" s="10">
        <f>IF(D7=0,CONCATENATE(D2, " = 0"),H7/D7-1)</f>
        <v>0.48867313915857613</v>
      </c>
      <c r="K7" s="95"/>
      <c r="L7" s="7" t="s">
        <v>395</v>
      </c>
      <c r="M7" s="6">
        <f>D31/D59</f>
        <v>2.4100192492781525</v>
      </c>
      <c r="N7" s="6">
        <f t="shared" ref="N7:Q7" si="4">E31/E59</f>
        <v>2.8276173058675891</v>
      </c>
      <c r="O7" s="6">
        <f t="shared" si="4"/>
        <v>2.7232414934815381</v>
      </c>
      <c r="P7" s="6">
        <f t="shared" si="4"/>
        <v>2.7574643015164311</v>
      </c>
      <c r="Q7" s="6">
        <f t="shared" si="4"/>
        <v>2.8278168136620168</v>
      </c>
      <c r="S7" s="21" t="s">
        <v>34</v>
      </c>
    </row>
    <row r="8" spans="1:19">
      <c r="A8" s="11"/>
      <c r="B8" s="11" t="s">
        <v>40</v>
      </c>
      <c r="C8" s="53" t="s">
        <v>235</v>
      </c>
      <c r="D8" s="54">
        <f>SUM(Dane2!F42:'Dane2'!I42)</f>
        <v>4597</v>
      </c>
      <c r="E8" s="54">
        <f>SUM(Dane2!J42:'Dane2'!M42)</f>
        <v>12800</v>
      </c>
      <c r="F8" s="54">
        <f>SUM(Dane2!N42:'Dane2'!Q42)</f>
        <v>6850</v>
      </c>
      <c r="G8" s="54">
        <f>SUM(Dane2!R42:'Dane2'!U42)</f>
        <v>8208</v>
      </c>
      <c r="H8" s="54">
        <f>SUM(Dane2!V42:'Dane2'!Y42)</f>
        <v>9236</v>
      </c>
      <c r="I8" s="10">
        <f t="shared" si="1"/>
        <v>0.19056292759090776</v>
      </c>
      <c r="J8" s="10">
        <f>IF(D8=0,CONCATENATE(D2, " = 0"),H8/D8-1)</f>
        <v>1.0091363932999782</v>
      </c>
      <c r="K8" s="95"/>
      <c r="L8" s="7" t="s">
        <v>38</v>
      </c>
      <c r="M8" s="2">
        <f>D13/D31</f>
        <v>3.0862496555524938E-2</v>
      </c>
      <c r="N8" s="2">
        <f>E13/E31</f>
        <v>2.8597574925646307E-2</v>
      </c>
      <c r="O8" s="2">
        <f>F13/F31</f>
        <v>2.9487373355511871E-2</v>
      </c>
      <c r="P8" s="2">
        <f>G13/G31</f>
        <v>2.7940878720388748E-2</v>
      </c>
      <c r="Q8" s="2">
        <f>H13/H31</f>
        <v>2.634105364214569E-2</v>
      </c>
      <c r="R8" s="32"/>
      <c r="S8" s="21" t="s">
        <v>39</v>
      </c>
    </row>
    <row r="9" spans="1:19">
      <c r="A9" s="11"/>
      <c r="B9" s="11" t="s">
        <v>43</v>
      </c>
      <c r="C9" s="53" t="s">
        <v>236</v>
      </c>
      <c r="D9" s="54">
        <f>D12*D25</f>
        <v>4577.46</v>
      </c>
      <c r="E9" s="54">
        <f t="shared" ref="E9:G9" si="5">E12*E25</f>
        <v>12709.18</v>
      </c>
      <c r="F9" s="54">
        <f t="shared" si="5"/>
        <v>6811.7699999999995</v>
      </c>
      <c r="G9" s="54">
        <f t="shared" si="5"/>
        <v>8216.9599999999991</v>
      </c>
      <c r="H9" s="54">
        <f>H12*H25</f>
        <v>9222.9599999999991</v>
      </c>
      <c r="I9" s="10">
        <f>IF(D9=0,CONCATENATE($D$2, " = 0"),POWER(ABS(H9/D9),1/(COUNT(D9:H9)-1))-1)</f>
        <v>0.19141055086968928</v>
      </c>
      <c r="J9" s="10">
        <f>IF(D9=0,CONCATENATE(D2, " = 0"),H9/D9-1)</f>
        <v>1.0148641386270985</v>
      </c>
      <c r="K9" s="95"/>
      <c r="L9" s="7" t="s">
        <v>41</v>
      </c>
      <c r="M9" s="2">
        <f>D13/D12</f>
        <v>1.0467289719626169</v>
      </c>
      <c r="N9" s="2">
        <f>E13/E12</f>
        <v>0.41574279379157431</v>
      </c>
      <c r="O9" s="2">
        <f>F13/F12</f>
        <v>0.79754601226993871</v>
      </c>
      <c r="P9" s="2">
        <f>G13/G12</f>
        <v>0.69932432432432445</v>
      </c>
      <c r="Q9" s="2">
        <f>H13/H12</f>
        <v>0.66114457831325313</v>
      </c>
      <c r="R9" s="6"/>
      <c r="S9" s="22" t="s">
        <v>42</v>
      </c>
    </row>
    <row r="10" spans="1:19">
      <c r="A10" s="11"/>
      <c r="B10" s="11" t="s">
        <v>44</v>
      </c>
      <c r="C10" s="53" t="s">
        <v>237</v>
      </c>
      <c r="D10" s="54">
        <f>SUM(Dane2!F44:'Dane2'!I44)</f>
        <v>3.21</v>
      </c>
      <c r="E10" s="54">
        <f>SUM(Dane2!J44:'Dane2'!M44)</f>
        <v>9.02</v>
      </c>
      <c r="F10" s="54">
        <f>SUM(Dane2!N44:'Dane2'!Q44)</f>
        <v>4.8899999999999997</v>
      </c>
      <c r="G10" s="54">
        <f>SUM(Dane2!R44:'Dane2'!U44)</f>
        <v>5.92</v>
      </c>
      <c r="H10" s="54">
        <f>SUM(Dane2!V44:'Dane2'!Y44)</f>
        <v>6.64</v>
      </c>
      <c r="I10" s="10">
        <f t="shared" si="1"/>
        <v>0.19926666391826586</v>
      </c>
      <c r="J10" s="10">
        <f>IF(D10=0,CONCATENATE(D2, " = 0"),H10/D10-1)</f>
        <v>1.0685358255451711</v>
      </c>
      <c r="K10" s="95"/>
      <c r="L10" s="7"/>
      <c r="M10" s="2"/>
      <c r="N10" s="2"/>
      <c r="O10" s="2"/>
      <c r="P10" s="2"/>
      <c r="Q10" s="2"/>
      <c r="S10" s="22"/>
    </row>
    <row r="11" spans="1:19">
      <c r="A11" s="11"/>
      <c r="B11" s="11" t="s">
        <v>45</v>
      </c>
      <c r="C11" s="53" t="s">
        <v>238</v>
      </c>
      <c r="D11" s="54">
        <f>SUM(Dane2!F45:'Dane2'!I45)</f>
        <v>3.21</v>
      </c>
      <c r="E11" s="54">
        <f>SUM(Dane2!J45:'Dane2'!M45)</f>
        <v>9.02</v>
      </c>
      <c r="F11" s="54">
        <f>SUM(Dane2!N45:'Dane2'!Q45)</f>
        <v>4.8899999999999997</v>
      </c>
      <c r="G11" s="54">
        <f>SUM(Dane2!R45:'Dane2'!U45)</f>
        <v>5.92</v>
      </c>
      <c r="H11" s="54">
        <f>SUM(Dane2!V45:'Dane2'!Y45)</f>
        <v>6.64</v>
      </c>
      <c r="I11" s="10">
        <f t="shared" si="1"/>
        <v>0.19926666391826586</v>
      </c>
      <c r="J11" s="10">
        <f>IF(D11=0,CONCATENATE(D2, " = 0"),H11/D11-1)</f>
        <v>1.0685358255451711</v>
      </c>
      <c r="K11" s="95"/>
      <c r="L11" s="7" t="s">
        <v>50</v>
      </c>
      <c r="M11" s="2">
        <f>D8/D3</f>
        <v>7.1362041665373036E-2</v>
      </c>
      <c r="N11" s="2">
        <f>E8/E3</f>
        <v>0.19589238162284595</v>
      </c>
      <c r="O11" s="2">
        <f>F8/F3</f>
        <v>0.10125048038549088</v>
      </c>
      <c r="P11" s="2">
        <f>G8/G3</f>
        <v>0.11005188850006034</v>
      </c>
      <c r="Q11" s="2">
        <f>H8/H3</f>
        <v>0.11282402091324424</v>
      </c>
      <c r="S11" s="21" t="s">
        <v>39</v>
      </c>
    </row>
    <row r="12" spans="1:19">
      <c r="A12" s="11"/>
      <c r="B12" s="11" t="s">
        <v>46</v>
      </c>
      <c r="C12" s="53" t="s">
        <v>239</v>
      </c>
      <c r="D12" s="54">
        <f>SUM(Dane2!F46:'Dane2'!I46)</f>
        <v>3.21</v>
      </c>
      <c r="E12" s="54">
        <f>SUM(Dane2!J46:'Dane2'!M46)</f>
        <v>9.02</v>
      </c>
      <c r="F12" s="54">
        <f>SUM(Dane2!N46:'Dane2'!Q46)</f>
        <v>4.8899999999999997</v>
      </c>
      <c r="G12" s="54">
        <f>SUM(Dane2!R46:'Dane2'!U46)</f>
        <v>5.92</v>
      </c>
      <c r="H12" s="54">
        <f>SUM(Dane2!V46:'Dane2'!Y46)</f>
        <v>6.64</v>
      </c>
      <c r="I12" s="36">
        <f t="shared" si="1"/>
        <v>0.19926666391826586</v>
      </c>
      <c r="J12" s="10">
        <f>IF(D12=0,CONCATENATE(D2, " = 0"),H12/D12-1)</f>
        <v>1.0685358255451711</v>
      </c>
      <c r="K12" s="95"/>
      <c r="L12" s="7" t="s">
        <v>51</v>
      </c>
      <c r="M12" s="2"/>
      <c r="N12" s="2">
        <f>E3/E35</f>
        <v>0.8496180476546501</v>
      </c>
      <c r="O12" s="2">
        <f>F3/F35</f>
        <v>0.8219963671488193</v>
      </c>
      <c r="P12" s="2">
        <f>G3/G35</f>
        <v>0.81999890055521962</v>
      </c>
      <c r="Q12" s="2">
        <f>H3/H35</f>
        <v>0.88266626412490301</v>
      </c>
      <c r="S12" s="23"/>
    </row>
    <row r="13" spans="1:19">
      <c r="A13" s="11"/>
      <c r="B13" s="11" t="s">
        <v>47</v>
      </c>
      <c r="C13" s="53" t="s">
        <v>240</v>
      </c>
      <c r="D13" s="54">
        <f>SUM(Dane2!F47:'Dane2'!I47)</f>
        <v>3.3600000000000003</v>
      </c>
      <c r="E13" s="54">
        <f>SUM(Dane2!J47:'Dane2'!M47)</f>
        <v>3.75</v>
      </c>
      <c r="F13" s="54">
        <f>SUM(Dane2!N47:'Dane2'!Q47)</f>
        <v>3.9</v>
      </c>
      <c r="G13" s="54">
        <f>SUM(Dane2!R47:'Dane2'!U47)</f>
        <v>4.1400000000000006</v>
      </c>
      <c r="H13" s="54">
        <f>SUM(Dane2!V47:'Dane2'!Y47)</f>
        <v>4.3900000000000006</v>
      </c>
      <c r="I13" s="10">
        <f t="shared" si="1"/>
        <v>6.9131956133891226E-2</v>
      </c>
      <c r="J13" s="10">
        <f>IF(D13=0,CONCATENATE(D2, " = 0"),H13/D13-1)</f>
        <v>0.30654761904761907</v>
      </c>
      <c r="K13" s="95"/>
      <c r="L13" s="7" t="s">
        <v>53</v>
      </c>
      <c r="M13" s="6"/>
      <c r="N13" s="6">
        <f>E35/E36</f>
        <v>6.3407947893478438</v>
      </c>
      <c r="O13" s="6">
        <f>F35/F36</f>
        <v>6.1827298677884617</v>
      </c>
      <c r="P13" s="6">
        <f>G35/G36</f>
        <v>6.5002680007146685</v>
      </c>
      <c r="Q13" s="6">
        <f>H35/H36</f>
        <v>5.4440009391876023</v>
      </c>
      <c r="S13" s="23"/>
    </row>
    <row r="14" spans="1:19">
      <c r="A14" s="12" t="s">
        <v>48</v>
      </c>
      <c r="B14" s="12" t="s">
        <v>49</v>
      </c>
      <c r="C14" s="37" t="s">
        <v>241</v>
      </c>
      <c r="D14" s="58">
        <f>Dane2!I48</f>
        <v>18129</v>
      </c>
      <c r="E14" s="58">
        <f>Dane2!M48</f>
        <v>3584</v>
      </c>
      <c r="F14" s="58">
        <f>Dane2!Q48</f>
        <v>9123</v>
      </c>
      <c r="G14" s="58">
        <f>Dane2!U48</f>
        <v>5777</v>
      </c>
      <c r="H14" s="58">
        <f>Dane2!Y48</f>
        <v>5692</v>
      </c>
      <c r="I14" s="10">
        <f t="shared" si="1"/>
        <v>-0.25144664601591882</v>
      </c>
      <c r="J14" s="10">
        <f>IF(D14=0,CONCATENATE(D2, " = 0"),H14/D14-1)</f>
        <v>-0.68602791108169225</v>
      </c>
      <c r="K14" s="95"/>
      <c r="L14" s="7" t="s">
        <v>55</v>
      </c>
      <c r="M14" s="119" t="s">
        <v>55</v>
      </c>
      <c r="N14" s="2">
        <f>N11*N12</f>
        <v>0.16643370282482203</v>
      </c>
      <c r="O14" s="2">
        <f>O11*O12</f>
        <v>8.3227527048946287E-2</v>
      </c>
      <c r="P14" s="2">
        <f>P11*P12</f>
        <v>9.0242427574075093E-2</v>
      </c>
      <c r="Q14" s="2">
        <f>Q11*Q12</f>
        <v>9.9585957043043224E-2</v>
      </c>
      <c r="S14" s="21" t="s">
        <v>39</v>
      </c>
    </row>
    <row r="15" spans="1:19">
      <c r="A15" s="25"/>
      <c r="B15" s="12" t="s">
        <v>52</v>
      </c>
      <c r="C15" s="37" t="s">
        <v>242</v>
      </c>
      <c r="D15" s="58">
        <f>Dane2!I49</f>
        <v>3491</v>
      </c>
      <c r="E15" s="58">
        <f>Dane2!M49</f>
        <v>3988</v>
      </c>
      <c r="F15" s="58">
        <f>Dane2!Q49</f>
        <v>4314</v>
      </c>
      <c r="G15" s="58">
        <f>Dane2!U49</f>
        <v>5006</v>
      </c>
      <c r="H15" s="58">
        <f>Dane2!Y49</f>
        <v>5287</v>
      </c>
      <c r="I15" s="10">
        <f t="shared" si="1"/>
        <v>0.10934049187527961</v>
      </c>
      <c r="J15" s="10">
        <f>IF(D15=0,CONCATENATE(D2, " = 0"),H15/D15-1)</f>
        <v>0.51446576912059583</v>
      </c>
      <c r="K15" s="95"/>
      <c r="L15" s="7" t="s">
        <v>57</v>
      </c>
      <c r="M15" s="119" t="s">
        <v>57</v>
      </c>
      <c r="N15" s="5">
        <f>N14*N13</f>
        <v>1.055321955643499</v>
      </c>
      <c r="O15" s="5">
        <f>O14*O13</f>
        <v>0.51457331730769229</v>
      </c>
      <c r="P15" s="5">
        <f>P14*P13</f>
        <v>0.58659996426657135</v>
      </c>
      <c r="Q15" s="5">
        <f>Q14*Q13</f>
        <v>0.54214604367222352</v>
      </c>
      <c r="S15" s="21" t="s">
        <v>58</v>
      </c>
    </row>
    <row r="16" spans="1:19">
      <c r="A16" s="12"/>
      <c r="B16" s="12" t="s">
        <v>54</v>
      </c>
      <c r="C16" s="37" t="s">
        <v>243</v>
      </c>
      <c r="D16" s="58">
        <f>Dane2!I50</f>
        <v>30370</v>
      </c>
      <c r="E16" s="58">
        <f>Dane2!M50</f>
        <v>17212</v>
      </c>
      <c r="F16" s="58">
        <f>Dane2!Q50</f>
        <v>23189</v>
      </c>
      <c r="G16" s="58">
        <f>Dane2!U50</f>
        <v>21597</v>
      </c>
      <c r="H16" s="58">
        <f>Dane2!Y50</f>
        <v>22633</v>
      </c>
      <c r="I16" s="10">
        <f t="shared" si="1"/>
        <v>-7.0874599794035209E-2</v>
      </c>
      <c r="J16" s="10">
        <f>IF(D16=0,CONCATENATE(D2, " = 0"),H16/D16-1)</f>
        <v>-0.25475798485347378</v>
      </c>
      <c r="K16" s="95"/>
      <c r="S16" s="23"/>
    </row>
    <row r="17" spans="1:19">
      <c r="A17" s="12"/>
      <c r="B17" s="12" t="s">
        <v>56</v>
      </c>
      <c r="C17" s="37" t="s">
        <v>244</v>
      </c>
      <c r="D17" s="58">
        <f>Dane2!I51</f>
        <v>78731</v>
      </c>
      <c r="E17" s="58">
        <f>Dane2!M51</f>
        <v>75084</v>
      </c>
      <c r="F17" s="58">
        <f>Dane2!Q51</f>
        <v>89525</v>
      </c>
      <c r="G17" s="58">
        <f>Dane2!U51</f>
        <v>92385</v>
      </c>
      <c r="H17" s="58">
        <f>Dane2!Y51</f>
        <v>93103</v>
      </c>
      <c r="I17" s="10">
        <f t="shared" si="1"/>
        <v>4.2808294494553589E-2</v>
      </c>
      <c r="J17" s="10">
        <f>IF(D17=0,CONCATENATE(D2, " = 0"),H17/D17-1)</f>
        <v>0.1825456300567756</v>
      </c>
      <c r="K17" s="95"/>
      <c r="L17" s="7" t="s">
        <v>61</v>
      </c>
      <c r="M17" s="6">
        <f>IF(D32&lt;0,D4/D32*(-1),"Interest &lt;= 0")</f>
        <v>14.560175054704596</v>
      </c>
      <c r="N17" s="6">
        <f>IF(E32&lt;0,E4/E32*(-1),"Interest &lt;= 0")</f>
        <v>13.807734806629835</v>
      </c>
      <c r="O17" s="6">
        <f>IF(F32&lt;0,F4/F32*(-1),"Interest &lt;= 0")</f>
        <v>12.293320425943852</v>
      </c>
      <c r="P17" s="6">
        <f>IF(G32&lt;0,G4/G32*(-1),"Interest &lt;= 0")</f>
        <v>13.445553539019963</v>
      </c>
      <c r="Q17" s="6">
        <f>IF(H32&lt;0,H4/H32*(-1),"Interest &lt;= 0")</f>
        <v>9.0614130434782609</v>
      </c>
      <c r="S17" s="23" t="s">
        <v>62</v>
      </c>
    </row>
    <row r="18" spans="1:19">
      <c r="A18" s="25"/>
      <c r="B18" s="12" t="s">
        <v>143</v>
      </c>
      <c r="C18" s="59" t="s">
        <v>256</v>
      </c>
      <c r="D18" s="58">
        <f>Dane2!I52</f>
        <v>9955</v>
      </c>
      <c r="E18" s="58">
        <f>Dane2!M52</f>
        <v>3473</v>
      </c>
      <c r="F18" s="58">
        <f>Dane2!Q52</f>
        <v>6607</v>
      </c>
      <c r="G18" s="58">
        <f>Dane2!U52</f>
        <v>4264</v>
      </c>
      <c r="H18" s="58">
        <f>Dane2!Y52</f>
        <v>6032</v>
      </c>
      <c r="I18"/>
      <c r="L18" s="7" t="s">
        <v>185</v>
      </c>
      <c r="M18" s="6">
        <f>IF(D4&lt;0,0,D20/D4)</f>
        <v>3.0502705139765554</v>
      </c>
      <c r="N18" s="6">
        <f>IF(E4&lt;0,0,E20/E4)</f>
        <v>2.495598591549296</v>
      </c>
      <c r="O18" s="6">
        <f>IF(F4&lt;0,0,F20/F4)</f>
        <v>3.5418536892668713</v>
      </c>
      <c r="P18" s="6">
        <f>IF(G4&lt;0,0,G20/G4)</f>
        <v>2.8546939326449348</v>
      </c>
      <c r="Q18" s="6">
        <f>IF(H4&lt;0,0,H20/H4)</f>
        <v>2.355844778983986</v>
      </c>
      <c r="S18" s="23" t="s">
        <v>186</v>
      </c>
    </row>
    <row r="19" spans="1:19">
      <c r="A19" s="25"/>
      <c r="B19" s="12" t="s">
        <v>144</v>
      </c>
      <c r="C19" s="59" t="s">
        <v>257</v>
      </c>
      <c r="D19" s="58">
        <f>Dane2!I53</f>
        <v>30638</v>
      </c>
      <c r="E19" s="58">
        <f>Dane2!M53</f>
        <v>27712</v>
      </c>
      <c r="F19" s="58">
        <f>Dane2!Q53</f>
        <v>38371</v>
      </c>
      <c r="G19" s="58">
        <f>Dane2!U53</f>
        <v>38034</v>
      </c>
      <c r="H19" s="58">
        <f>Dane2!Y53</f>
        <v>33247</v>
      </c>
      <c r="I19"/>
      <c r="L19" s="7" t="s">
        <v>151</v>
      </c>
      <c r="M19" s="119" t="s">
        <v>151</v>
      </c>
      <c r="N19" s="6">
        <f>E41/E35</f>
        <v>0.84229106394044795</v>
      </c>
      <c r="O19" s="6">
        <f>F41/F35</f>
        <v>0.83825914743422292</v>
      </c>
      <c r="P19" s="6">
        <f>G41/G35</f>
        <v>0.84616018910450219</v>
      </c>
      <c r="Q19" s="6">
        <f>H41/H35</f>
        <v>0.81631156732511001</v>
      </c>
      <c r="S19" s="23" t="s">
        <v>64</v>
      </c>
    </row>
    <row r="20" spans="1:19">
      <c r="A20" s="12"/>
      <c r="B20" s="12" t="s">
        <v>59</v>
      </c>
      <c r="C20" s="37" t="s">
        <v>258</v>
      </c>
      <c r="D20" s="58">
        <f>Dane2!I54</f>
        <v>40593</v>
      </c>
      <c r="E20" s="58">
        <f>Dane2!M54</f>
        <v>31185</v>
      </c>
      <c r="F20" s="58">
        <f>Dane2!Q54</f>
        <v>44978</v>
      </c>
      <c r="G20" s="58">
        <f>Dane2!U54</f>
        <v>42298</v>
      </c>
      <c r="H20" s="58">
        <f>Dane2!Y54</f>
        <v>39279</v>
      </c>
      <c r="I20" s="10">
        <f t="shared" ref="I20:I30" si="6">IF(D20=0,CONCATENATE($D$2, " = 0"),POWER(ABS(H20/D20),1/(COUNT(D20:H20)-1))-1)</f>
        <v>-8.1926589983800646E-3</v>
      </c>
      <c r="J20" s="10">
        <f>IF(D20=0,CONCATENATE(D2, " = 0"),H20/D20-1)</f>
        <v>-3.2370113073682649E-2</v>
      </c>
      <c r="K20" s="95"/>
      <c r="L20" s="7" t="s">
        <v>66</v>
      </c>
      <c r="N20" s="6">
        <f>E41/E36</f>
        <v>5.3407947893478438</v>
      </c>
      <c r="O20" s="6">
        <f>F41/F36</f>
        <v>5.1827298677884617</v>
      </c>
      <c r="P20" s="6">
        <f>G41/G36</f>
        <v>5.5002680007146685</v>
      </c>
      <c r="Q20" s="6">
        <f>H41/H36</f>
        <v>4.4440009391876023</v>
      </c>
      <c r="S20" s="23"/>
    </row>
    <row r="21" spans="1:19">
      <c r="A21" s="12"/>
      <c r="B21" s="12" t="s">
        <v>60</v>
      </c>
      <c r="C21" s="37" t="s">
        <v>245</v>
      </c>
      <c r="D21" s="58">
        <f>Dane2!I55</f>
        <v>24558</v>
      </c>
      <c r="E21" s="58">
        <f>Dane2!M55</f>
        <v>19928</v>
      </c>
      <c r="F21" s="58">
        <f>Dane2!Q55</f>
        <v>23827</v>
      </c>
      <c r="G21" s="58">
        <f>Dane2!U55</f>
        <v>23623</v>
      </c>
      <c r="H21" s="58">
        <f>Dane2!Y55</f>
        <v>27223</v>
      </c>
      <c r="I21" s="10">
        <f t="shared" si="6"/>
        <v>2.6090689710163595E-2</v>
      </c>
      <c r="J21" s="10">
        <f>IF(D21=0,CONCATENATE(D2, " = 0"),H21/D21-1)</f>
        <v>0.10851860900724808</v>
      </c>
      <c r="K21" s="95"/>
      <c r="L21" s="7" t="s">
        <v>68</v>
      </c>
      <c r="M21" s="119" t="s">
        <v>68</v>
      </c>
      <c r="N21" s="6">
        <f>E39/E36</f>
        <v>2.9589413801632451</v>
      </c>
      <c r="O21" s="6">
        <f>F39/F36</f>
        <v>2.8606896033653846</v>
      </c>
      <c r="P21" s="6">
        <f>G39/G36</f>
        <v>3.1186707164552439</v>
      </c>
      <c r="Q21" s="6">
        <f>H39/H36</f>
        <v>2.3942533458558346</v>
      </c>
      <c r="S21" s="23" t="s">
        <v>69</v>
      </c>
    </row>
    <row r="22" spans="1:19">
      <c r="A22" s="12"/>
      <c r="B22" s="12" t="s">
        <v>63</v>
      </c>
      <c r="C22" s="37" t="s">
        <v>246</v>
      </c>
      <c r="D22" s="58">
        <f>Dane2!I56</f>
        <v>43952</v>
      </c>
      <c r="E22" s="58">
        <f>Dane2!M56</f>
        <v>41119</v>
      </c>
      <c r="F22" s="58">
        <f>Dane2!Q56</f>
        <v>53111</v>
      </c>
      <c r="G22" s="58">
        <f>Dane2!U56</f>
        <v>53364</v>
      </c>
      <c r="H22" s="58">
        <f>Dane2!Y56</f>
        <v>47206</v>
      </c>
      <c r="I22" s="10">
        <f t="shared" si="6"/>
        <v>1.8016084855490888E-2</v>
      </c>
      <c r="J22" s="10">
        <f>IF(D22=0,CONCATENATE(D2, " = 0"),H22/D22-1)</f>
        <v>7.4035311248634939E-2</v>
      </c>
      <c r="K22" s="95"/>
      <c r="L22" s="7" t="s">
        <v>71</v>
      </c>
      <c r="M22" s="6"/>
      <c r="N22" s="6">
        <f>E42/E41</f>
        <v>1.313259800705481</v>
      </c>
      <c r="O22" s="6">
        <f>F42/F41</f>
        <v>1.3658006305033157</v>
      </c>
      <c r="P22" s="6">
        <f>G42/G41</f>
        <v>1.3834659736884847</v>
      </c>
      <c r="Q22" s="6">
        <f>H42/H41</f>
        <v>1.3283933005758968</v>
      </c>
      <c r="S22" s="23" t="s">
        <v>72</v>
      </c>
    </row>
    <row r="23" spans="1:19">
      <c r="A23" s="12"/>
      <c r="B23" s="12" t="s">
        <v>65</v>
      </c>
      <c r="C23" s="37" t="s">
        <v>247</v>
      </c>
      <c r="D23" s="58">
        <f>Dane2!I57</f>
        <v>68510</v>
      </c>
      <c r="E23" s="58">
        <f>Dane2!M57</f>
        <v>61047</v>
      </c>
      <c r="F23" s="58">
        <f>Dane2!Q57</f>
        <v>76938</v>
      </c>
      <c r="G23" s="58">
        <f>Dane2!U57</f>
        <v>76987</v>
      </c>
      <c r="H23" s="58">
        <f>Dane2!Y57</f>
        <v>74429</v>
      </c>
      <c r="I23" s="10">
        <f t="shared" si="6"/>
        <v>2.0932558564975334E-2</v>
      </c>
      <c r="J23" s="10">
        <f>IF(D23=0,CONCATENATE(D2, " = 0"),H23/D23-1)</f>
        <v>8.6396146547949249E-2</v>
      </c>
      <c r="K23" s="95"/>
      <c r="L23" s="7" t="s">
        <v>75</v>
      </c>
      <c r="M23" s="6"/>
      <c r="N23" s="6" t="str">
        <f>IF(D39=0,"Debt = 0",D42/D39)</f>
        <v>Debt = 0</v>
      </c>
      <c r="O23" s="6">
        <f>IF(E39=0,"Debt = 0",E42/E39)</f>
        <v>2.3703920421299007</v>
      </c>
      <c r="P23" s="6">
        <f>IF(F39=0,"Debt = 0",F42/F39)</f>
        <v>2.4744298412615051</v>
      </c>
      <c r="Q23" s="6">
        <f>IF(G39=0,"Debt = 0",G42/G39)</f>
        <v>2.439960584811403</v>
      </c>
      <c r="S23" s="23" t="s">
        <v>72</v>
      </c>
    </row>
    <row r="24" spans="1:19">
      <c r="A24" s="12"/>
      <c r="B24" s="12" t="s">
        <v>67</v>
      </c>
      <c r="C24" s="37" t="s">
        <v>248</v>
      </c>
      <c r="D24" s="58">
        <f>Dane2!I58</f>
        <v>10221</v>
      </c>
      <c r="E24" s="58">
        <f>Dane2!M58</f>
        <v>14037</v>
      </c>
      <c r="F24" s="58">
        <f>Dane2!Q58</f>
        <v>12587</v>
      </c>
      <c r="G24" s="58">
        <f>Dane2!U58</f>
        <v>15398</v>
      </c>
      <c r="H24" s="58">
        <f>Dane2!Y58</f>
        <v>18674</v>
      </c>
      <c r="I24" s="10">
        <f t="shared" si="6"/>
        <v>0.16261518643796791</v>
      </c>
      <c r="J24" s="10">
        <f>IF(D24=0,CONCATENATE(D2, " = 0"),H24/D24-1)</f>
        <v>0.82702279620389385</v>
      </c>
      <c r="K24" s="95"/>
    </row>
    <row r="25" spans="1:19">
      <c r="A25" s="12"/>
      <c r="B25" s="12" t="s">
        <v>70</v>
      </c>
      <c r="C25" s="37" t="s">
        <v>249</v>
      </c>
      <c r="D25" s="58">
        <f>Dane2!I59</f>
        <v>1426</v>
      </c>
      <c r="E25" s="58">
        <f>Dane2!M59</f>
        <v>1409</v>
      </c>
      <c r="F25" s="58">
        <f>Dane2!Q59</f>
        <v>1393</v>
      </c>
      <c r="G25" s="58">
        <f>Dane2!U59</f>
        <v>1388</v>
      </c>
      <c r="H25" s="58">
        <f>Dane2!Y59</f>
        <v>1389</v>
      </c>
      <c r="I25" s="10">
        <f t="shared" si="6"/>
        <v>-6.5507641335653677E-3</v>
      </c>
      <c r="J25" s="10">
        <f>IF(D25=0,CONCATENATE(D2, " = 0"),H25/D25-1)</f>
        <v>-2.5946704067321136E-2</v>
      </c>
      <c r="K25" s="95"/>
      <c r="L25" s="7" t="s">
        <v>77</v>
      </c>
      <c r="M25" s="6"/>
      <c r="N25" s="6">
        <f>E38/E40</f>
        <v>1.0695949287416266</v>
      </c>
      <c r="O25" s="6">
        <f>F38/F40</f>
        <v>0.92334590332533428</v>
      </c>
      <c r="P25" s="6">
        <f>G38/G40</f>
        <v>0.94385669125395155</v>
      </c>
      <c r="Q25" s="6">
        <f>H38/H40</f>
        <v>0.8698816032726272</v>
      </c>
      <c r="S25" s="23" t="s">
        <v>78</v>
      </c>
    </row>
    <row r="26" spans="1:19">
      <c r="A26" s="16" t="s">
        <v>73</v>
      </c>
      <c r="B26" s="16" t="s">
        <v>74</v>
      </c>
      <c r="C26" s="60" t="s">
        <v>250</v>
      </c>
      <c r="D26" s="89">
        <f>SUM(Dane2!F60:'Dane2'!I60)</f>
        <v>8866</v>
      </c>
      <c r="E26" s="89">
        <f>SUM(Dane2!J60:'Dane2'!M60)</f>
        <v>9716</v>
      </c>
      <c r="F26" s="89">
        <f>SUM(Dane2!N60:'Dane2'!Q60)</f>
        <v>9723</v>
      </c>
      <c r="G26" s="89">
        <f>SUM(Dane2!R60:'Dane2'!U60)</f>
        <v>11491</v>
      </c>
      <c r="H26" s="89">
        <f>SUM(Dane2!V60:'Dane2'!Y60)</f>
        <v>11157</v>
      </c>
      <c r="I26" s="36">
        <f t="shared" si="6"/>
        <v>5.9143795701463997E-2</v>
      </c>
      <c r="J26" s="10">
        <f>IF(D26=0,CONCATENATE(D2, " = 0"),H26/D26-1)</f>
        <v>0.25840288743514539</v>
      </c>
      <c r="K26" s="95"/>
      <c r="L26" s="7" t="s">
        <v>79</v>
      </c>
      <c r="M26" s="6"/>
      <c r="N26" s="6">
        <f>(E38-E37)/E40</f>
        <v>0.90147462122915079</v>
      </c>
      <c r="O26" s="6">
        <f>(F38-F37)/F40</f>
        <v>0.73360758770426238</v>
      </c>
      <c r="P26" s="6">
        <f>(G38-G37)/G40</f>
        <v>0.74743940990516333</v>
      </c>
      <c r="Q26" s="6">
        <f>(H38-H37)/H40</f>
        <v>0.66744680014160407</v>
      </c>
      <c r="S26" s="23" t="s">
        <v>80</v>
      </c>
    </row>
    <row r="27" spans="1:19">
      <c r="A27" s="18"/>
      <c r="B27" s="16" t="s">
        <v>76</v>
      </c>
      <c r="C27" s="60" t="s">
        <v>251</v>
      </c>
      <c r="D27" s="89">
        <f>SUM(Dane2!F61:'Dane2'!I61)</f>
        <v>-5</v>
      </c>
      <c r="E27" s="89">
        <f>SUM(Dane2!J61:'Dane2'!M61)</f>
        <v>-2534</v>
      </c>
      <c r="F27" s="89">
        <f>SUM(Dane2!N61:'Dane2'!Q61)</f>
        <v>-9928</v>
      </c>
      <c r="G27" s="89">
        <f>SUM(Dane2!R61:'Dane2'!U61)</f>
        <v>-4973</v>
      </c>
      <c r="H27" s="89">
        <f>SUM(Dane2!V61:'Dane2'!Y61)</f>
        <v>-981</v>
      </c>
      <c r="I27" s="10">
        <f t="shared" si="6"/>
        <v>2.7426115261825537</v>
      </c>
      <c r="J27" s="10">
        <f>IF(D27=0,CONCATENATE(D2, " = 0"),H27/D27-1)</f>
        <v>195.2</v>
      </c>
      <c r="K27" s="95"/>
      <c r="L27" s="7" t="s">
        <v>323</v>
      </c>
      <c r="M27" s="6"/>
      <c r="N27" s="6">
        <f>E26/E40</f>
        <v>0.43681158117160457</v>
      </c>
      <c r="O27" s="6">
        <f>F26/F40</f>
        <v>0.44442920809050396</v>
      </c>
      <c r="P27" s="6">
        <f>G26/G40</f>
        <v>0.48434141201264491</v>
      </c>
      <c r="Q27" s="6">
        <f>H26/H40</f>
        <v>0.43885458049797427</v>
      </c>
      <c r="S27" s="23" t="s">
        <v>142</v>
      </c>
    </row>
    <row r="28" spans="1:19">
      <c r="A28" s="18"/>
      <c r="B28" s="16" t="s">
        <v>147</v>
      </c>
      <c r="C28" s="60" t="s">
        <v>252</v>
      </c>
      <c r="D28" s="89">
        <f>SUM(Dane2!F62:'Dane2'!I62)</f>
        <v>1278</v>
      </c>
      <c r="E28" s="89">
        <f>SUM(Dane2!J62:'Dane2'!M62)</f>
        <v>-9707</v>
      </c>
      <c r="F28" s="89">
        <f>SUM(Dane2!N62:'Dane2'!Q62)</f>
        <v>13578</v>
      </c>
      <c r="G28" s="89">
        <f>SUM(Dane2!R62:'Dane2'!U62)</f>
        <v>-3471</v>
      </c>
      <c r="H28" s="89">
        <f>SUM(Dane2!V62:'Dane2'!Y62)</f>
        <v>-2551</v>
      </c>
      <c r="I28" s="10">
        <f t="shared" si="6"/>
        <v>0.18862511163995799</v>
      </c>
      <c r="J28" s="10">
        <f>IF(D28=0,CONCATENATE(D2, " = 0"),H28/D28-1)</f>
        <v>-2.9960876369327076</v>
      </c>
      <c r="K28" s="95"/>
      <c r="L28" s="7"/>
      <c r="S28" s="19"/>
    </row>
    <row r="29" spans="1:19">
      <c r="A29" s="18"/>
      <c r="B29" s="16" t="s">
        <v>148</v>
      </c>
      <c r="C29" s="60" t="s">
        <v>253</v>
      </c>
      <c r="D29" s="89">
        <f>SUM(Dane2!F63:'Dane2'!I63)</f>
        <v>-2042</v>
      </c>
      <c r="E29" s="89">
        <f>SUM(Dane2!J63:'Dane2'!M63)</f>
        <v>-2742</v>
      </c>
      <c r="F29" s="89">
        <f>SUM(Dane2!N63:'Dane2'!Q63)</f>
        <v>-2411</v>
      </c>
      <c r="G29" s="89">
        <f>SUM(Dane2!R63:'Dane2'!U63)</f>
        <v>-969</v>
      </c>
      <c r="H29" s="89">
        <f>SUM(Dane2!V63:'Dane2'!Y63)</f>
        <v>-699</v>
      </c>
      <c r="I29" s="10">
        <f t="shared" si="6"/>
        <v>-0.235098769633177</v>
      </c>
      <c r="J29" s="10">
        <f>IF(D29=0,CONCATENATE(D2, " = 0"),H29/D29-1)</f>
        <v>-0.65768854064642501</v>
      </c>
      <c r="K29" s="95"/>
      <c r="L29" s="7" t="s">
        <v>86</v>
      </c>
      <c r="O29" t="str">
        <f>CONCATENATE(N2,"-",O2)</f>
        <v>2019-2020</v>
      </c>
      <c r="P29" t="str">
        <f>CONCATENATE(O2,"-",P2)</f>
        <v>2020-2021</v>
      </c>
      <c r="Q29" t="str">
        <f>CONCATENATE(P2,"-",Q2)</f>
        <v>2021-2022</v>
      </c>
      <c r="S29" s="23" t="s">
        <v>158</v>
      </c>
    </row>
    <row r="30" spans="1:19">
      <c r="A30" s="18"/>
      <c r="B30" s="16" t="s">
        <v>81</v>
      </c>
      <c r="C30" s="60" t="s">
        <v>254</v>
      </c>
      <c r="D30" s="89">
        <f>SUM(Dane2!F64:'Dane2'!I64)</f>
        <v>-5262</v>
      </c>
      <c r="E30" s="89">
        <f>SUM(Dane2!J64:'Dane2'!M64)</f>
        <v>-17550</v>
      </c>
      <c r="F30" s="89">
        <f>SUM(Dane2!N64:'Dane2'!Q64)</f>
        <v>5921</v>
      </c>
      <c r="G30" s="89">
        <f>SUM(Dane2!R64:'Dane2'!U64)</f>
        <v>-10096</v>
      </c>
      <c r="H30" s="89">
        <f>SUM(Dane2!V64:'Dane2'!Y64)</f>
        <v>-9968</v>
      </c>
      <c r="I30" s="10">
        <f t="shared" si="6"/>
        <v>0.17317904300537501</v>
      </c>
      <c r="J30" s="10">
        <f>IF(D30=0,CONCATENATE(D2, " = 0"),H30/D30-1)</f>
        <v>0.89433675408589886</v>
      </c>
      <c r="K30" s="95"/>
      <c r="L30" s="7" t="s">
        <v>89</v>
      </c>
      <c r="O30" s="6">
        <f t="shared" ref="O30:Q32" si="7">O25-N25</f>
        <v>-0.14624902541629237</v>
      </c>
      <c r="P30" s="6">
        <f t="shared" si="7"/>
        <v>2.0510787928617269E-2</v>
      </c>
      <c r="Q30" s="6">
        <f t="shared" si="7"/>
        <v>-7.397508798132435E-2</v>
      </c>
      <c r="S30" s="23" t="s">
        <v>160</v>
      </c>
    </row>
    <row r="31" spans="1:19">
      <c r="A31" s="7" t="s">
        <v>82</v>
      </c>
      <c r="B31" s="26" t="s">
        <v>83</v>
      </c>
      <c r="C31" s="26" t="s">
        <v>255</v>
      </c>
      <c r="D31" s="90">
        <f>Dane2!I65</f>
        <v>108.87</v>
      </c>
      <c r="E31" s="90">
        <f>Dane2!M65</f>
        <v>131.13</v>
      </c>
      <c r="F31" s="90">
        <f>Dane2!Q65</f>
        <v>132.26</v>
      </c>
      <c r="G31" s="90">
        <f>Dane2!U65</f>
        <v>148.16999999999999</v>
      </c>
      <c r="H31" s="90">
        <f>Dane2!Y65</f>
        <v>166.66</v>
      </c>
      <c r="I31" s="9"/>
      <c r="L31" s="7" t="s">
        <v>91</v>
      </c>
      <c r="O31" s="6">
        <f t="shared" si="7"/>
        <v>-0.16786703352488841</v>
      </c>
      <c r="P31" s="6">
        <f t="shared" si="7"/>
        <v>1.3831822200900956E-2</v>
      </c>
      <c r="Q31" s="6">
        <f t="shared" si="7"/>
        <v>-7.9992609763559264E-2</v>
      </c>
      <c r="S31" s="23" t="s">
        <v>159</v>
      </c>
    </row>
    <row r="32" spans="1:19">
      <c r="A32" s="7" t="s">
        <v>84</v>
      </c>
      <c r="B32" s="7" t="s">
        <v>85</v>
      </c>
      <c r="C32" s="15"/>
      <c r="D32" s="33">
        <f>D5+D7</f>
        <v>-914</v>
      </c>
      <c r="E32" s="33">
        <f t="shared" ref="E32:G32" si="8">E5+E7</f>
        <v>-905</v>
      </c>
      <c r="F32" s="33">
        <f t="shared" si="8"/>
        <v>-1033</v>
      </c>
      <c r="G32" s="33">
        <f t="shared" si="8"/>
        <v>-1102</v>
      </c>
      <c r="H32" s="33">
        <f>H5+H7</f>
        <v>-1840</v>
      </c>
      <c r="I32" s="33"/>
      <c r="J32" s="27"/>
      <c r="K32" s="96"/>
      <c r="L32" s="7" t="s">
        <v>324</v>
      </c>
      <c r="O32" s="6">
        <f>O27-N27</f>
        <v>7.6176269188993895E-3</v>
      </c>
      <c r="P32" s="6">
        <f t="shared" si="7"/>
        <v>3.9912203922140954E-2</v>
      </c>
      <c r="Q32" s="6">
        <f t="shared" si="7"/>
        <v>-4.5486831514670645E-2</v>
      </c>
    </row>
    <row r="33" spans="1:19">
      <c r="A33" s="24" t="s">
        <v>87</v>
      </c>
      <c r="B33" s="7" t="s">
        <v>88</v>
      </c>
      <c r="C33" s="15"/>
      <c r="D33" s="29">
        <f>D20-D14</f>
        <v>22464</v>
      </c>
      <c r="E33" s="29">
        <f>E20-E14</f>
        <v>27601</v>
      </c>
      <c r="F33" s="29">
        <f>F20-F14</f>
        <v>35855</v>
      </c>
      <c r="G33" s="29">
        <f>G20-G14</f>
        <v>36521</v>
      </c>
      <c r="H33" s="29">
        <f>H20-H14</f>
        <v>33587</v>
      </c>
      <c r="I33" s="29"/>
      <c r="J33" s="27"/>
      <c r="K33" s="96"/>
      <c r="L33" s="17" t="s">
        <v>321</v>
      </c>
      <c r="R33" t="s">
        <v>154</v>
      </c>
      <c r="S33" s="23" t="s">
        <v>187</v>
      </c>
    </row>
    <row r="34" spans="1:19">
      <c r="A34" s="17" t="s">
        <v>90</v>
      </c>
      <c r="C34"/>
      <c r="L34" s="17" t="s">
        <v>149</v>
      </c>
      <c r="M34" s="4">
        <f>D26+D27+D30-IF(D28&gt;0,D28,0)</f>
        <v>2321</v>
      </c>
      <c r="N34" s="4">
        <f>E26+E27+E30-IF(E28&gt;0,E28,0)</f>
        <v>-10368</v>
      </c>
      <c r="O34" s="4">
        <f>F26+F27+F30-IF(F28&gt;0,F28,0)</f>
        <v>-7862</v>
      </c>
      <c r="P34" s="4">
        <f>G26+G27+G30-IF(G28&gt;0,G28,0)</f>
        <v>-3578</v>
      </c>
      <c r="Q34" s="4">
        <f>H26+H27+H30-IF(H28&gt;0,H28,0)</f>
        <v>208</v>
      </c>
      <c r="R34" s="1">
        <f>SUM(M34:Q34)</f>
        <v>-19279</v>
      </c>
      <c r="S34" s="23" t="s">
        <v>95</v>
      </c>
    </row>
    <row r="35" spans="1:19">
      <c r="B35" s="7" t="s">
        <v>92</v>
      </c>
      <c r="C35" s="9"/>
      <c r="D35" s="9"/>
      <c r="E35" s="9">
        <f>(D17+E17)/2</f>
        <v>76907.5</v>
      </c>
      <c r="F35" s="9">
        <f>(E17+F17)/2</f>
        <v>82304.5</v>
      </c>
      <c r="G35" s="9">
        <f>(F17+G17)/2</f>
        <v>90955</v>
      </c>
      <c r="H35" s="9">
        <f>(G17+H17)/2</f>
        <v>92744</v>
      </c>
      <c r="I35" s="9"/>
      <c r="J35" s="10">
        <f>IF(E35&lt;&gt;0,POWER(H35/E35,1/COUNT(D35:H35))-1,"ND")</f>
        <v>4.7922782211479165E-2</v>
      </c>
      <c r="K35" s="95"/>
      <c r="L35" s="17" t="s">
        <v>150</v>
      </c>
      <c r="M35" s="4">
        <f>D26+D27+D30-IF(D28&gt;0,D28,0)-IF(D29&lt;0,D29,0)</f>
        <v>4363</v>
      </c>
      <c r="N35" s="4">
        <f>E26+E27+E30-IF(E28&gt;0,E28,0)-IF(E29&lt;0,E29,0)</f>
        <v>-7626</v>
      </c>
      <c r="O35" s="4">
        <f>F26+F27+F30-IF(F28&gt;0,F28,0)-IF(F29&lt;0,F29,0)</f>
        <v>-5451</v>
      </c>
      <c r="P35" s="4">
        <f>G26+G27+G30-IF(G28&gt;0,G28,0)-IF(G29&lt;0,G29,0)</f>
        <v>-2609</v>
      </c>
      <c r="Q35" s="4">
        <f>H26+H27+H30-IF(H28&gt;0,H28,0)-IF(H29&lt;0,H29,0)</f>
        <v>907</v>
      </c>
      <c r="R35" s="1">
        <f>SUM(M35:Q35)</f>
        <v>-10416</v>
      </c>
      <c r="S35" s="23" t="s">
        <v>95</v>
      </c>
    </row>
    <row r="36" spans="1:19">
      <c r="B36" s="7" t="s">
        <v>93</v>
      </c>
      <c r="C36" s="9"/>
      <c r="D36" s="9"/>
      <c r="E36" s="9">
        <f>(D24+E24)/2</f>
        <v>12129</v>
      </c>
      <c r="F36" s="9">
        <f>(E24+F24)/2</f>
        <v>13312</v>
      </c>
      <c r="G36" s="9">
        <f>(F24+G24)/2</f>
        <v>13992.5</v>
      </c>
      <c r="H36" s="9">
        <f>(G24+H24)/2</f>
        <v>17036</v>
      </c>
      <c r="I36" s="9"/>
      <c r="J36" s="10">
        <f>IF(E36&lt;&gt;0,POWER(H36/E36,1/COUNT(E36:H36))-1,"ND")</f>
        <v>8.8643437275458092E-2</v>
      </c>
      <c r="K36" s="95"/>
      <c r="L36" s="7" t="s">
        <v>98</v>
      </c>
      <c r="M36" s="7" t="b">
        <f>AND(D27&lt;0,D30&lt;0,D26&gt;0)</f>
        <v>1</v>
      </c>
      <c r="N36" s="7" t="b">
        <f>AND(E27&lt;0,E30&lt;0,E26&gt;0)</f>
        <v>1</v>
      </c>
      <c r="O36" s="7" t="b">
        <f>AND(F27&lt;0,F30&lt;0,F26&gt;0)</f>
        <v>0</v>
      </c>
      <c r="P36" s="7" t="b">
        <f>AND(G27&lt;0,G30&lt;0,G26&gt;0)</f>
        <v>1</v>
      </c>
      <c r="Q36" s="7" t="b">
        <f>AND(H27&lt;0,H30&lt;0,H26&gt;0)</f>
        <v>1</v>
      </c>
      <c r="S36" s="23" t="b">
        <v>1</v>
      </c>
    </row>
    <row r="37" spans="1:19">
      <c r="B37" s="7" t="s">
        <v>94</v>
      </c>
      <c r="C37" s="15"/>
      <c r="E37" s="1">
        <f>(E15+D15)/2</f>
        <v>3739.5</v>
      </c>
      <c r="F37" s="1">
        <f>(F15+E15)/2</f>
        <v>4151</v>
      </c>
      <c r="G37" s="1">
        <f>(G15+F15)/2</f>
        <v>4660</v>
      </c>
      <c r="H37" s="1">
        <f>(H15+G15)/2</f>
        <v>5146.5</v>
      </c>
      <c r="J37" s="10">
        <f t="shared" ref="J37:J42" si="9">IF(E37&lt;&gt;0,POWER(H37/E37,1/COUNT(D37:H37))-1,"ND")</f>
        <v>8.3115098491258088E-2</v>
      </c>
      <c r="K37" s="95"/>
      <c r="L37" s="7"/>
    </row>
    <row r="38" spans="1:19">
      <c r="B38" s="7" t="s">
        <v>96</v>
      </c>
      <c r="C38" s="15"/>
      <c r="E38" s="1">
        <f>(E16+D16)/2</f>
        <v>23791</v>
      </c>
      <c r="F38" s="1">
        <f t="shared" ref="F38:G38" si="10">(F16+E16)/2</f>
        <v>20200.5</v>
      </c>
      <c r="G38" s="1">
        <f t="shared" si="10"/>
        <v>22393</v>
      </c>
      <c r="H38" s="1">
        <f>(H16+G16)/2</f>
        <v>22115</v>
      </c>
      <c r="J38" s="10">
        <f t="shared" si="9"/>
        <v>-1.8097057082184342E-2</v>
      </c>
      <c r="K38" s="95"/>
      <c r="L38" s="7" t="s">
        <v>100</v>
      </c>
      <c r="M38" s="31">
        <f>D51/D31</f>
        <v>0.14469693836892075</v>
      </c>
      <c r="N38" s="31">
        <f>E51/E31</f>
        <v>0.14938664121556919</v>
      </c>
      <c r="O38" s="31">
        <f>F51/F31</f>
        <v>0.19461221338595508</v>
      </c>
      <c r="P38" s="31">
        <f>G51/G31</f>
        <v>0.17757953468434012</v>
      </c>
      <c r="Q38" s="31">
        <f>H51/H31</f>
        <v>0.1450900368628136</v>
      </c>
      <c r="S38" s="17" t="s">
        <v>101</v>
      </c>
    </row>
    <row r="39" spans="1:19">
      <c r="B39" s="7" t="s">
        <v>97</v>
      </c>
      <c r="C39" s="15"/>
      <c r="E39" s="1">
        <f>(E20+D20)/2</f>
        <v>35889</v>
      </c>
      <c r="F39" s="1">
        <f t="shared" ref="F39:G40" si="11">(F20+E20)/2</f>
        <v>38081.5</v>
      </c>
      <c r="G39" s="1">
        <f t="shared" si="11"/>
        <v>43638</v>
      </c>
      <c r="H39" s="1">
        <f>(H20+G20)/2</f>
        <v>40788.5</v>
      </c>
      <c r="J39" s="10">
        <f t="shared" si="9"/>
        <v>3.2509590334361071E-2</v>
      </c>
      <c r="K39" s="95"/>
    </row>
    <row r="40" spans="1:19">
      <c r="B40" s="7" t="s">
        <v>99</v>
      </c>
      <c r="C40" s="15"/>
      <c r="E40" s="1">
        <f>(E21+D21)/2</f>
        <v>22243</v>
      </c>
      <c r="F40" s="1">
        <f t="shared" si="11"/>
        <v>21877.5</v>
      </c>
      <c r="G40" s="1">
        <f t="shared" si="11"/>
        <v>23725</v>
      </c>
      <c r="H40" s="1">
        <f>(H21+G21)/2</f>
        <v>25423</v>
      </c>
      <c r="J40" s="10">
        <f t="shared" si="9"/>
        <v>3.3971001719070415E-2</v>
      </c>
      <c r="K40" s="95"/>
      <c r="L40" s="7" t="s">
        <v>104</v>
      </c>
      <c r="M40" s="32">
        <f>D56/D3</f>
        <v>-3.0333136700922049E-4</v>
      </c>
      <c r="N40" s="32">
        <f>E56/E3</f>
        <v>-1.3899176639833447E-3</v>
      </c>
      <c r="O40" s="32">
        <f>F56/F3</f>
        <v>-5.6508114819523564E-4</v>
      </c>
      <c r="P40" s="32">
        <f>G56/G3</f>
        <v>1.201346151267598E-4</v>
      </c>
      <c r="Q40" s="32">
        <f>H56/H3</f>
        <v>-1.5929246781169374E-4</v>
      </c>
      <c r="R40" s="32">
        <f>AVERAGE(M40:Q40)</f>
        <v>-4.5949760637454694E-4</v>
      </c>
      <c r="S40" s="21" t="s">
        <v>34</v>
      </c>
    </row>
    <row r="41" spans="1:19">
      <c r="B41" s="7" t="s">
        <v>141</v>
      </c>
      <c r="E41" s="1">
        <f>(D23+E23)/2</f>
        <v>64778.5</v>
      </c>
      <c r="F41" s="1">
        <f>(E23+F23)/2</f>
        <v>68992.5</v>
      </c>
      <c r="G41" s="1">
        <f>(F23+G23)/2</f>
        <v>76962.5</v>
      </c>
      <c r="H41" s="1">
        <f>(G23+H23)/2</f>
        <v>75708</v>
      </c>
      <c r="J41" s="10">
        <f t="shared" si="9"/>
        <v>3.9747109091667232E-2</v>
      </c>
      <c r="K41" s="95"/>
      <c r="L41" s="7" t="s">
        <v>359</v>
      </c>
      <c r="M41" s="32">
        <f>D56/D8</f>
        <v>-4.2505982162279665E-3</v>
      </c>
      <c r="N41" s="32">
        <f t="shared" ref="N41:Q41" si="12">E56/E8</f>
        <v>-7.0953124999999775E-3</v>
      </c>
      <c r="O41" s="32">
        <f t="shared" si="12"/>
        <v>-5.5810218978102882E-3</v>
      </c>
      <c r="P41" s="32">
        <f t="shared" si="12"/>
        <v>1.0916179337230904E-3</v>
      </c>
      <c r="Q41" s="32">
        <f t="shared" si="12"/>
        <v>-1.4118666089217057E-3</v>
      </c>
    </row>
    <row r="42" spans="1:19">
      <c r="B42" s="7" t="s">
        <v>153</v>
      </c>
      <c r="E42" s="1">
        <f>(D22+E22)</f>
        <v>85071</v>
      </c>
      <c r="F42" s="1">
        <f>(E22+F22)</f>
        <v>94230</v>
      </c>
      <c r="G42" s="1">
        <f>(F22+G22)</f>
        <v>106475</v>
      </c>
      <c r="H42" s="1">
        <f>(G22+H22)</f>
        <v>100570</v>
      </c>
      <c r="J42" s="10">
        <f t="shared" si="9"/>
        <v>4.2729662436936433E-2</v>
      </c>
      <c r="K42" s="95"/>
      <c r="L42" s="7" t="s">
        <v>164</v>
      </c>
      <c r="M42" s="6">
        <f>IF(D31/D57&lt;0,0,D31/D57)</f>
        <v>17.51055944055944</v>
      </c>
      <c r="N42" s="6">
        <f>IF(E31/E57&lt;0,0,E31/E57)</f>
        <v>19.016279333058872</v>
      </c>
      <c r="O42" s="6">
        <f>IF(F31/F57&lt;0,0,F31/F57)</f>
        <v>18.948696904247658</v>
      </c>
      <c r="P42" s="6">
        <f>IF(G31/G57&lt;0,0,G31/G57)</f>
        <v>17.897481507266555</v>
      </c>
      <c r="Q42" s="6">
        <f>IF(H31/H57&lt;0,0,H31/H57)</f>
        <v>20.748475396611994</v>
      </c>
      <c r="R42" s="6">
        <f>AVERAGE(M42:Q42)</f>
        <v>18.8242985163489</v>
      </c>
      <c r="S42" s="21" t="s">
        <v>157</v>
      </c>
    </row>
    <row r="43" spans="1:19">
      <c r="E43" s="120" t="str">
        <f>_xlfn.CONCAT(MID(D2,1,4)," / ",MID(E2,1,4))</f>
        <v>2018 / 2019</v>
      </c>
      <c r="F43" s="120" t="str">
        <f t="shared" ref="F43:H43" si="13">_xlfn.CONCAT(MID(E2,1,4)," / ",MID(F2,1,4))</f>
        <v>2019 / 2020</v>
      </c>
      <c r="G43" s="120" t="str">
        <f t="shared" si="13"/>
        <v>2020 / 2021</v>
      </c>
      <c r="H43" s="120" t="str">
        <f t="shared" si="13"/>
        <v>2021 / 2022</v>
      </c>
      <c r="I43" s="34"/>
      <c r="L43" s="7" t="s">
        <v>169</v>
      </c>
      <c r="M43" s="6">
        <f>IF(IF(D51&lt;0,(D31+D51)/D57,D31/D57)&lt;0,0,IF(D51&lt;0,(D31+D51)/D57,D31/D57))</f>
        <v>17.51055944055944</v>
      </c>
      <c r="N43" s="6">
        <f>IF(IF(E51&lt;0,(E31+E51)/E57,E31/E57)&lt;0,0,IF(E51&lt;0,(E31+E51)/E57,E31/E57))</f>
        <v>19.016279333058872</v>
      </c>
      <c r="O43" s="6">
        <f>IF(IF(F51&lt;0,(F31+F51)/F57,F31/F57)&lt;0,0,IF(F51&lt;0,(F31+F51)/F57,F31/F57))</f>
        <v>18.948696904247658</v>
      </c>
      <c r="P43" s="6">
        <f>IF(IF(G51&lt;0,(G31+G51)/G57,G31/G57)&lt;0,0,IF(G51&lt;0,(G31+G51)/G57,G31/G57))</f>
        <v>17.897481507266555</v>
      </c>
      <c r="Q43" s="6">
        <f>IF(IF(H51&lt;0,(H31+H51)/H57,H31/H57)&lt;0,0,IF(H51&lt;0,(H31+H51)/H57,H31/H57))</f>
        <v>20.748475396611994</v>
      </c>
      <c r="R43" s="6">
        <f>AVERAGE(M43:Q43)</f>
        <v>18.8242985163489</v>
      </c>
      <c r="S43" s="21" t="s">
        <v>157</v>
      </c>
    </row>
    <row r="44" spans="1:19">
      <c r="B44" s="7" t="s">
        <v>102</v>
      </c>
      <c r="C44" s="7" t="s">
        <v>102</v>
      </c>
      <c r="D44" s="119" t="s">
        <v>102</v>
      </c>
      <c r="E44" s="110">
        <f>IF(OR(E8&lt;=0, D8&lt;=0),0,(E8-D8)/D8)</f>
        <v>1.7844246247552751</v>
      </c>
      <c r="F44" s="110">
        <f t="shared" ref="F44:H44" si="14">IF(OR(F8&lt;=0, E8&lt;=0),0,(F8-E8)/E8)</f>
        <v>-0.46484375</v>
      </c>
      <c r="G44" s="110">
        <f t="shared" si="14"/>
        <v>0.19824817518248175</v>
      </c>
      <c r="H44" s="110">
        <f t="shared" si="14"/>
        <v>0.12524366471734893</v>
      </c>
      <c r="I44" s="34"/>
    </row>
    <row r="45" spans="1:19">
      <c r="B45" s="7" t="s">
        <v>103</v>
      </c>
      <c r="C45" s="7" t="s">
        <v>103</v>
      </c>
      <c r="D45" s="119" t="s">
        <v>103</v>
      </c>
      <c r="E45" s="110">
        <f>(E3-D3)/D3</f>
        <v>1.4343816945574218E-2</v>
      </c>
      <c r="F45" s="110">
        <f>(F3-E3)/E3</f>
        <v>3.5383061430626549E-2</v>
      </c>
      <c r="G45" s="110">
        <f>(G3-F3)/F3</f>
        <v>0.10241818665563011</v>
      </c>
      <c r="H45" s="110">
        <f>(H3-G3)/G3</f>
        <v>9.759596690934931E-2</v>
      </c>
      <c r="I45" s="35"/>
      <c r="L45" s="7" t="s">
        <v>155</v>
      </c>
      <c r="M45" s="6">
        <f>IF(D31/D54&lt;0,0,D31/D54)</f>
        <v>11.665811541929667</v>
      </c>
      <c r="N45" s="6">
        <f>IF(E31/E54&lt;0,0,E31/E54)</f>
        <v>14.785705025608195</v>
      </c>
      <c r="O45" s="6">
        <f>IF(F31/F54&lt;0,0,F31/F54)</f>
        <v>14.508085676037483</v>
      </c>
      <c r="P45" s="6">
        <f>IF(G31/G54&lt;0,0,G31/G54)</f>
        <v>13.88</v>
      </c>
      <c r="Q45" s="6">
        <f>IF(H31/H54&lt;0,0,H31/H54)</f>
        <v>13.88416841600192</v>
      </c>
      <c r="R45" s="6">
        <f>AVERAGE(M45:Q45)</f>
        <v>13.744754131915453</v>
      </c>
      <c r="S45" s="21" t="s">
        <v>157</v>
      </c>
    </row>
    <row r="46" spans="1:19" ht="14.45" customHeight="1">
      <c r="B46" s="7" t="s">
        <v>105</v>
      </c>
      <c r="C46" s="7" t="s">
        <v>105</v>
      </c>
      <c r="D46" s="119" t="s">
        <v>105</v>
      </c>
      <c r="E46" s="111">
        <f>IF(OR(E11&lt;=0, D11 &lt;=0),0,E11/D11-1)</f>
        <v>1.809968847352025</v>
      </c>
      <c r="F46" s="111">
        <f t="shared" ref="F46:H46" si="15">IF(OR(F11&lt;=0, E11 &lt;=0),0,F11/E11-1)</f>
        <v>-0.45787139689578715</v>
      </c>
      <c r="G46" s="111">
        <f t="shared" si="15"/>
        <v>0.21063394683026582</v>
      </c>
      <c r="H46" s="111">
        <f t="shared" si="15"/>
        <v>0.12162162162162149</v>
      </c>
      <c r="I46" s="35"/>
      <c r="L46" s="7" t="s">
        <v>170</v>
      </c>
      <c r="M46" s="6">
        <f>IF(IF(D51&lt;0,(D31+D51)/D54,D31/D54)&lt;0,0,IF(D51&lt;0,(D31+D51)/D54,D31/D54))</f>
        <v>11.665811541929667</v>
      </c>
      <c r="N46" s="6">
        <f>IF(IF(E51&lt;0,(E31+E51)/E54,E31/E54)&lt;0,0,IF(E51&lt;0,(E31+E51)/E54,E31/E54))</f>
        <v>14.785705025608195</v>
      </c>
      <c r="O46" s="6">
        <f>IF(IF(F51&lt;0,(F31+F51)/F54,F31/F54)&lt;0,0,IF(F51&lt;0,(F31+F51)/F54,F31/F54))</f>
        <v>14.508085676037483</v>
      </c>
      <c r="P46" s="6">
        <f>IF(IF(G51&lt;0,(G31+G51)/G54,G31/G54)&lt;0,0,IF(G51&lt;0,(G31+G51)/G54,G31/G54))</f>
        <v>13.88</v>
      </c>
      <c r="Q46" s="6">
        <f>IF(IF(H51&lt;0,(H31+H51)/H54,H31/H54)&lt;0,0,IF(H51&lt;0,(H31+H51)/H54,H31/H54))</f>
        <v>13.88416841600192</v>
      </c>
      <c r="R46" s="6">
        <f>AVERAGE(M46:Q46)</f>
        <v>13.744754131915453</v>
      </c>
      <c r="S46" s="21" t="s">
        <v>157</v>
      </c>
    </row>
    <row r="47" spans="1:19">
      <c r="B47" s="7" t="s">
        <v>106</v>
      </c>
      <c r="C47" s="7" t="s">
        <v>106</v>
      </c>
      <c r="D47" s="119" t="s">
        <v>106</v>
      </c>
      <c r="E47" s="111">
        <f>IF(D13=0, 0, E13/D13-1)</f>
        <v>0.11607142857142838</v>
      </c>
      <c r="F47" s="111">
        <f>IF(E13=0, 0, F13/E13-1)</f>
        <v>4.0000000000000036E-2</v>
      </c>
      <c r="G47" s="111">
        <f>IF(F13=0, 0, G13/F13-1)</f>
        <v>6.1538461538461764E-2</v>
      </c>
      <c r="H47" s="111">
        <f>IF(G13=0, 0, H13/G13-1)</f>
        <v>6.0386473429951737E-2</v>
      </c>
      <c r="I47" s="35"/>
    </row>
    <row r="48" spans="1:19">
      <c r="B48" s="7" t="s">
        <v>107</v>
      </c>
      <c r="C48" s="7" t="s">
        <v>107</v>
      </c>
      <c r="D48" s="119" t="s">
        <v>107</v>
      </c>
      <c r="E48" s="111">
        <f>IF(OR(E26&lt;0, D26 &lt;= 0),0,E26/D26-1)</f>
        <v>9.5871870065418419E-2</v>
      </c>
      <c r="F48" s="111">
        <f t="shared" ref="F48:H48" si="16">IF(OR(F26&lt;0, E26 &lt;= 0),0,F26/E26-1)</f>
        <v>7.2046109510082168E-4</v>
      </c>
      <c r="G48" s="111">
        <f t="shared" si="16"/>
        <v>0.18183688162089884</v>
      </c>
      <c r="H48" s="111">
        <f t="shared" si="16"/>
        <v>-2.9066225741884999E-2</v>
      </c>
      <c r="I48" s="35"/>
      <c r="L48" s="7" t="s">
        <v>314</v>
      </c>
      <c r="M48" s="109">
        <f>IF(IF(D51&lt;0,0,D51/D54)&lt;0,0,IF(D51&lt;0,0,D51/D54))</f>
        <v>1.6880072137060416</v>
      </c>
      <c r="N48" s="109">
        <f>IF(IF(E51&lt;0,0,E51/E54)&lt;0,0,IF(E51&lt;0,0,E51/E54))</f>
        <v>2.20878681177977</v>
      </c>
      <c r="O48" s="109">
        <f>IF(IF(F51&lt;0,0,F51/F54)&lt;0,0,IF(F51&lt;0,0,F51/F54))</f>
        <v>2.8234506654067251</v>
      </c>
      <c r="P48" s="109">
        <f>IF(IF(G51&lt;0,0,G51/G54)&lt;0,0,IF(G51&lt;0,0,G51/G54))</f>
        <v>2.4648039414186411</v>
      </c>
      <c r="Q48" s="109">
        <f>IF(IF(H51&lt;0,0,H51/H54)&lt;0,0,IF(H51&lt;0,0,H51/H54))</f>
        <v>2.0144545072872311</v>
      </c>
    </row>
    <row r="49" spans="2:23">
      <c r="B49" s="7" t="s">
        <v>108</v>
      </c>
      <c r="C49" s="7" t="s">
        <v>108</v>
      </c>
      <c r="D49" s="119" t="s">
        <v>108</v>
      </c>
      <c r="E49" s="48">
        <f>IF(OR(E4&lt;=0, D4&lt;=0),0,E4/D4-1)</f>
        <v>-6.1015930267508289E-2</v>
      </c>
      <c r="F49" s="48">
        <f t="shared" ref="F49:H49" si="17">IF(OR(F4&lt;=0, E4&lt;=0),0,F4/E4-1)</f>
        <v>1.6245198463508359E-2</v>
      </c>
      <c r="G49" s="48">
        <f t="shared" si="17"/>
        <v>0.16678478620363801</v>
      </c>
      <c r="H49" s="48">
        <f t="shared" si="17"/>
        <v>0.12526152392522105</v>
      </c>
      <c r="T49" s="38"/>
    </row>
    <row r="50" spans="2:23">
      <c r="C50"/>
      <c r="R50" s="38"/>
    </row>
    <row r="51" spans="2:23">
      <c r="B51" s="30" t="s">
        <v>109</v>
      </c>
      <c r="C51"/>
      <c r="D51" s="1">
        <f>D33/D25</f>
        <v>15.753155680224404</v>
      </c>
      <c r="E51" s="1">
        <f>E33/E25</f>
        <v>19.589070262597588</v>
      </c>
      <c r="F51" s="1">
        <f>F33/F25</f>
        <v>25.739411342426418</v>
      </c>
      <c r="G51" s="1">
        <f>G33/G25</f>
        <v>26.311959654178676</v>
      </c>
      <c r="H51" s="1">
        <f>H33/H25</f>
        <v>24.180705543556517</v>
      </c>
    </row>
    <row r="52" spans="2:23">
      <c r="B52" s="7" t="s">
        <v>110</v>
      </c>
      <c r="C52"/>
      <c r="D52" s="1">
        <f>IF(D51&lt;0,D31+D51,D31)</f>
        <v>108.87</v>
      </c>
      <c r="E52" s="1">
        <f>IF(E51&lt;0,E31+E51,E31)</f>
        <v>131.13</v>
      </c>
      <c r="F52" s="1">
        <f>IF(F51&lt;0,F31+F51,F31)</f>
        <v>132.26</v>
      </c>
      <c r="G52" s="1">
        <f>IF(G51&lt;0,G31+G51,G31)</f>
        <v>148.16999999999999</v>
      </c>
      <c r="H52" s="1">
        <f>IF(H51&lt;0,H31+H51,H31)</f>
        <v>166.66</v>
      </c>
      <c r="L52" s="1"/>
    </row>
    <row r="53" spans="2:23">
      <c r="B53" s="7" t="s">
        <v>111</v>
      </c>
      <c r="C53"/>
      <c r="D53" s="1">
        <f>IF(D51&lt;0,D12-D32/D25,D12)</f>
        <v>3.21</v>
      </c>
      <c r="E53" s="1">
        <f t="shared" ref="E53:H53" si="18">IF(E51&lt;0,E12-E32/E25,E12)</f>
        <v>9.02</v>
      </c>
      <c r="F53" s="1">
        <f t="shared" si="18"/>
        <v>4.8899999999999997</v>
      </c>
      <c r="G53" s="1">
        <f t="shared" si="18"/>
        <v>5.92</v>
      </c>
      <c r="H53" s="1">
        <f t="shared" si="18"/>
        <v>6.64</v>
      </c>
    </row>
    <row r="54" spans="2:23">
      <c r="B54" s="7" t="s">
        <v>156</v>
      </c>
      <c r="D54" s="1">
        <f>D4/D25</f>
        <v>9.3323983169705471</v>
      </c>
      <c r="E54" s="1">
        <f>E4/E25</f>
        <v>8.8687012065294528</v>
      </c>
      <c r="F54" s="1">
        <f>F4/F25</f>
        <v>9.1162957645369698</v>
      </c>
      <c r="G54" s="1">
        <f>G4/G25</f>
        <v>10.675072046109509</v>
      </c>
      <c r="H54" s="1">
        <f>H4/H25</f>
        <v>12.003599712023037</v>
      </c>
      <c r="I54" s="10">
        <f t="shared" ref="I54" si="19">IF(D54=0,CONCATENATE($D$2, " = 0"),POWER(ABS(H54/D54),1/(COUNT(D54:H54)-1))-1)</f>
        <v>6.4950837538803041E-2</v>
      </c>
    </row>
    <row r="55" spans="2:23">
      <c r="C55"/>
      <c r="D55"/>
      <c r="E55"/>
      <c r="F55"/>
      <c r="G55"/>
      <c r="H55"/>
    </row>
    <row r="56" spans="2:23">
      <c r="B56" s="7" t="s">
        <v>112</v>
      </c>
      <c r="C56"/>
      <c r="D56" s="1">
        <f>D9-D8</f>
        <v>-19.539999999999964</v>
      </c>
      <c r="E56" s="1">
        <f>E9-E8</f>
        <v>-90.819999999999709</v>
      </c>
      <c r="F56" s="1">
        <f>F9-F8</f>
        <v>-38.230000000000473</v>
      </c>
      <c r="G56" s="1">
        <f>G9-G8</f>
        <v>8.9599999999991269</v>
      </c>
      <c r="H56" s="1">
        <f>H9-H8</f>
        <v>-13.040000000000873</v>
      </c>
    </row>
    <row r="57" spans="2:23">
      <c r="B57" s="7" t="s">
        <v>113</v>
      </c>
      <c r="D57" s="1">
        <f>D26/D25</f>
        <v>6.2173913043478262</v>
      </c>
      <c r="E57" s="1">
        <f>E26/E25</f>
        <v>6.8956706884315118</v>
      </c>
      <c r="F57" s="1">
        <f>F26/F25</f>
        <v>6.9798994974874375</v>
      </c>
      <c r="G57" s="1">
        <f>G26/G25</f>
        <v>8.2788184438040346</v>
      </c>
      <c r="H57" s="1">
        <f>H26/H25</f>
        <v>8.032397408207343</v>
      </c>
    </row>
    <row r="59" spans="2:23">
      <c r="B59" s="7" t="s">
        <v>320</v>
      </c>
      <c r="D59" s="1">
        <f>D3/D25</f>
        <v>45.173913043478258</v>
      </c>
      <c r="E59" s="1">
        <f t="shared" ref="E59:H59" si="20">E3/E25</f>
        <v>46.374733853797018</v>
      </c>
      <c r="F59" s="1">
        <f t="shared" si="20"/>
        <v>48.567121320890166</v>
      </c>
      <c r="G59" s="1">
        <f t="shared" si="20"/>
        <v>53.734149855907781</v>
      </c>
      <c r="H59" s="1">
        <f t="shared" si="20"/>
        <v>58.935925125989918</v>
      </c>
      <c r="I59" s="10">
        <f t="shared" ref="I59" si="21">IF(D59=0,CONCATENATE($D$2, " = 0"),POWER(ABS(H59/D59),1/(COUNT(D59:H59)-1))-1)</f>
        <v>6.8742545148791745E-2</v>
      </c>
    </row>
    <row r="64" spans="2:23">
      <c r="U64" s="1"/>
      <c r="W64" s="6"/>
    </row>
    <row r="65" spans="3:11">
      <c r="C65"/>
    </row>
    <row r="66" spans="3:11">
      <c r="C66"/>
    </row>
    <row r="67" spans="3:11">
      <c r="C67"/>
    </row>
    <row r="68" spans="3:11">
      <c r="C68"/>
    </row>
    <row r="69" spans="3:11">
      <c r="C69"/>
    </row>
    <row r="70" spans="3:11">
      <c r="C70"/>
    </row>
    <row r="71" spans="3:11">
      <c r="C71"/>
    </row>
    <row r="72" spans="3:11">
      <c r="C72"/>
    </row>
    <row r="73" spans="3:11">
      <c r="C73"/>
    </row>
    <row r="74" spans="3:11">
      <c r="C74"/>
    </row>
    <row r="75" spans="3:11">
      <c r="C75"/>
    </row>
    <row r="76" spans="3:11">
      <c r="C76"/>
    </row>
    <row r="77" spans="3:11">
      <c r="C77"/>
      <c r="J77" s="19"/>
      <c r="K77" s="97"/>
    </row>
    <row r="78" spans="3:11">
      <c r="J78" s="19"/>
      <c r="K78" s="97"/>
    </row>
    <row r="79" spans="3:11">
      <c r="C79"/>
      <c r="J79" s="19"/>
      <c r="K79" s="97"/>
    </row>
    <row r="80" spans="3:11">
      <c r="C80"/>
      <c r="J80" s="19"/>
      <c r="K80" s="97"/>
    </row>
    <row r="81" spans="2:11">
      <c r="C81"/>
      <c r="J81" s="19"/>
      <c r="K81" s="97"/>
    </row>
    <row r="82" spans="2:11">
      <c r="C82"/>
      <c r="J82" s="19"/>
      <c r="K82" s="97"/>
    </row>
    <row r="83" spans="2:11">
      <c r="C83"/>
      <c r="J83" s="19"/>
      <c r="K83" s="97"/>
    </row>
    <row r="84" spans="2:11">
      <c r="C84"/>
      <c r="J84" s="19"/>
      <c r="K84" s="97"/>
    </row>
    <row r="85" spans="2:11">
      <c r="C85"/>
      <c r="J85" s="19"/>
      <c r="K85" s="97"/>
    </row>
    <row r="86" spans="2:11">
      <c r="C86"/>
      <c r="J86" s="19"/>
      <c r="K86" s="97"/>
    </row>
    <row r="87" spans="2:11">
      <c r="C87"/>
      <c r="J87" s="19"/>
      <c r="K87" s="97"/>
    </row>
    <row r="88" spans="2:11">
      <c r="C88"/>
      <c r="J88" s="19"/>
      <c r="K88" s="97"/>
    </row>
    <row r="89" spans="2:11">
      <c r="C89"/>
      <c r="J89" s="19"/>
      <c r="K89" s="97"/>
    </row>
    <row r="90" spans="2:11">
      <c r="C90"/>
      <c r="J90" s="19"/>
      <c r="K90" s="97"/>
    </row>
    <row r="91" spans="2:11">
      <c r="C91"/>
      <c r="J91" s="19"/>
      <c r="K91" s="97"/>
    </row>
    <row r="92" spans="2:11">
      <c r="C92"/>
      <c r="J92" s="19"/>
      <c r="K92" s="97"/>
    </row>
    <row r="93" spans="2:11">
      <c r="B93" s="7"/>
      <c r="C93" s="15"/>
      <c r="J93" s="19"/>
      <c r="K93" s="97"/>
    </row>
    <row r="94" spans="2:11">
      <c r="B94" s="7"/>
      <c r="C94" s="15"/>
      <c r="J94" s="19"/>
      <c r="K94" s="97"/>
    </row>
    <row r="95" spans="2:11">
      <c r="B95" s="7"/>
      <c r="C95" s="15"/>
      <c r="J95" s="19"/>
      <c r="K95" s="97"/>
    </row>
    <row r="96" spans="2:11">
      <c r="B96" s="7"/>
      <c r="C96" s="15"/>
      <c r="J96" s="19"/>
      <c r="K96" s="97"/>
    </row>
    <row r="97" spans="2:11">
      <c r="B97" s="7"/>
      <c r="C97" s="15"/>
      <c r="J97" s="19"/>
      <c r="K97" s="97"/>
    </row>
    <row r="98" spans="2:11">
      <c r="B98" s="7"/>
      <c r="C98" s="15"/>
      <c r="J98" s="19"/>
      <c r="K98" s="97"/>
    </row>
    <row r="99" spans="2:11">
      <c r="B99" s="7"/>
      <c r="C99" s="15"/>
      <c r="J99" s="19"/>
      <c r="K99" s="97"/>
    </row>
    <row r="100" spans="2:11">
      <c r="B100" s="7"/>
      <c r="C100" s="15"/>
      <c r="J100" s="19"/>
      <c r="K100" s="97"/>
    </row>
    <row r="101" spans="2:11">
      <c r="B101" s="7"/>
      <c r="C101" s="15"/>
      <c r="J101" s="19"/>
      <c r="K101" s="97"/>
    </row>
    <row r="102" spans="2:11">
      <c r="B102" s="7"/>
      <c r="C102" s="15"/>
      <c r="J102" s="19"/>
      <c r="K102" s="97"/>
    </row>
    <row r="103" spans="2:11">
      <c r="B103" s="7"/>
      <c r="C103" s="15"/>
      <c r="J103" s="19"/>
      <c r="K103" s="97"/>
    </row>
    <row r="104" spans="2:11">
      <c r="B104" s="7"/>
      <c r="C104" s="15"/>
      <c r="J104" s="19"/>
      <c r="K104" s="97"/>
    </row>
    <row r="105" spans="2:11">
      <c r="B105" s="7"/>
      <c r="C105" s="15"/>
      <c r="J105" s="19"/>
      <c r="K105" s="97"/>
    </row>
    <row r="106" spans="2:11">
      <c r="B106" s="7"/>
      <c r="C106" s="15"/>
      <c r="J106" s="19"/>
      <c r="K106" s="97"/>
    </row>
    <row r="107" spans="2:11">
      <c r="B107" s="7"/>
      <c r="C107" s="15"/>
      <c r="J107" s="19"/>
      <c r="K107" s="97"/>
    </row>
    <row r="108" spans="2:11">
      <c r="B108" s="7"/>
      <c r="C108" s="15"/>
      <c r="J108" s="19"/>
      <c r="K108" s="97"/>
    </row>
    <row r="109" spans="2:11">
      <c r="B109" s="7"/>
      <c r="C109" s="15"/>
      <c r="J109" s="19"/>
      <c r="K109" s="97"/>
    </row>
    <row r="110" spans="2:11">
      <c r="B110" s="7"/>
      <c r="C110" s="15"/>
      <c r="J110" s="19"/>
      <c r="K110" s="97"/>
    </row>
    <row r="111" spans="2:11">
      <c r="B111" s="7"/>
      <c r="C111" s="15"/>
      <c r="J111" s="19"/>
      <c r="K111" s="97"/>
    </row>
    <row r="112" spans="2:11">
      <c r="B112" s="7"/>
      <c r="C112" s="15"/>
      <c r="J112" s="19"/>
      <c r="K112" s="97"/>
    </row>
    <row r="113" spans="2:11">
      <c r="B113" s="7"/>
      <c r="C113" s="15"/>
      <c r="J113" s="19"/>
      <c r="K113" s="97"/>
    </row>
    <row r="114" spans="2:11">
      <c r="B114" s="7"/>
      <c r="C114" s="15"/>
      <c r="J114" s="19"/>
      <c r="K114" s="97"/>
    </row>
    <row r="115" spans="2:11">
      <c r="B115" s="7"/>
      <c r="C115" s="15"/>
      <c r="J115" s="19"/>
      <c r="K115" s="97"/>
    </row>
    <row r="116" spans="2:11">
      <c r="B116" s="7"/>
      <c r="C116" s="15"/>
      <c r="J116" s="19"/>
      <c r="K116" s="97"/>
    </row>
    <row r="117" spans="2:11">
      <c r="B117" s="7"/>
      <c r="C117" s="15"/>
      <c r="J117" s="19"/>
      <c r="K117" s="97"/>
    </row>
    <row r="118" spans="2:11">
      <c r="B118" s="7"/>
      <c r="C118" s="15"/>
      <c r="J118" s="19"/>
      <c r="K118" s="97"/>
    </row>
    <row r="119" spans="2:11">
      <c r="B119" s="7"/>
      <c r="C119" s="15"/>
      <c r="J119" s="19"/>
      <c r="K119" s="97"/>
    </row>
    <row r="120" spans="2:11">
      <c r="B120" s="7"/>
      <c r="C120" s="15"/>
      <c r="J120" s="19"/>
      <c r="K120" s="97"/>
    </row>
    <row r="121" spans="2:11">
      <c r="B121" s="7"/>
      <c r="C121" s="15"/>
      <c r="J121" s="19"/>
      <c r="K121" s="97"/>
    </row>
    <row r="122" spans="2:11">
      <c r="B122" s="7"/>
      <c r="C122" s="15"/>
      <c r="J122" s="19"/>
      <c r="K122" s="97"/>
    </row>
    <row r="123" spans="2:11">
      <c r="B123" s="7"/>
      <c r="C123" s="15"/>
      <c r="J123" s="19"/>
      <c r="K123" s="97"/>
    </row>
    <row r="124" spans="2:11">
      <c r="B124" s="7"/>
      <c r="C124" s="15"/>
      <c r="J124" s="19"/>
      <c r="K124" s="97"/>
    </row>
    <row r="125" spans="2:11">
      <c r="B125" s="7"/>
      <c r="C125" s="15"/>
      <c r="J125" s="19"/>
      <c r="K125" s="97"/>
    </row>
    <row r="126" spans="2:11">
      <c r="B126" s="7"/>
      <c r="C126" s="15"/>
      <c r="J126" s="19"/>
      <c r="K126" s="97"/>
    </row>
    <row r="127" spans="2:11">
      <c r="B127" s="7"/>
      <c r="C127" s="15"/>
      <c r="J127" s="19"/>
      <c r="K127" s="97"/>
    </row>
    <row r="128" spans="2:11">
      <c r="B128" s="7"/>
      <c r="C128" s="15"/>
      <c r="J128" s="19"/>
      <c r="K128" s="97"/>
    </row>
    <row r="129" spans="2:11">
      <c r="B129" s="7"/>
      <c r="C129" s="15"/>
      <c r="J129" s="19"/>
      <c r="K129" s="97"/>
    </row>
    <row r="130" spans="2:11">
      <c r="B130" s="7"/>
      <c r="C130" s="15"/>
      <c r="J130" s="19"/>
      <c r="K130" s="97"/>
    </row>
    <row r="131" spans="2:11">
      <c r="B131" s="7"/>
      <c r="C131" s="15"/>
      <c r="J131" s="19"/>
      <c r="K131" s="97"/>
    </row>
    <row r="132" spans="2:11">
      <c r="B132" s="7"/>
      <c r="C132" s="15"/>
      <c r="J132" s="19"/>
      <c r="K132" s="97"/>
    </row>
    <row r="133" spans="2:11">
      <c r="B133" s="7"/>
      <c r="C133" s="15"/>
      <c r="J133" s="19"/>
      <c r="K133" s="97"/>
    </row>
    <row r="134" spans="2:11">
      <c r="B134" s="7"/>
      <c r="C134" s="15"/>
      <c r="J134" s="19"/>
      <c r="K134" s="97"/>
    </row>
    <row r="135" spans="2:11">
      <c r="B135" s="7"/>
      <c r="C135" s="15"/>
      <c r="J135" s="19"/>
      <c r="K135" s="97"/>
    </row>
    <row r="136" spans="2:11">
      <c r="B136" s="7"/>
      <c r="C136" s="15"/>
      <c r="J136" s="19"/>
      <c r="K136" s="97"/>
    </row>
    <row r="137" spans="2:11">
      <c r="B137" s="7"/>
      <c r="C137" s="15"/>
      <c r="J137" s="19"/>
      <c r="K137" s="97"/>
    </row>
    <row r="138" spans="2:11">
      <c r="B138" s="7"/>
      <c r="C138" s="15"/>
      <c r="J138" s="19"/>
      <c r="K138" s="97"/>
    </row>
    <row r="139" spans="2:11">
      <c r="B139" s="7"/>
      <c r="C139" s="15"/>
      <c r="J139" s="19"/>
      <c r="K139" s="97"/>
    </row>
    <row r="140" spans="2:11">
      <c r="B140" s="7"/>
      <c r="C140" s="15"/>
      <c r="J140" s="19"/>
      <c r="K140" s="97"/>
    </row>
    <row r="141" spans="2:11">
      <c r="B141" s="7"/>
      <c r="C141" s="15"/>
      <c r="J141" s="19"/>
      <c r="K141" s="97"/>
    </row>
    <row r="142" spans="2:11">
      <c r="B142" s="7"/>
      <c r="C142" s="15"/>
      <c r="J142" s="19"/>
      <c r="K142" s="97"/>
    </row>
    <row r="143" spans="2:11">
      <c r="B143" s="7"/>
      <c r="C143" s="15"/>
      <c r="J143" s="19"/>
      <c r="K143" s="97"/>
    </row>
    <row r="144" spans="2:11">
      <c r="B144" s="7"/>
      <c r="C144" s="15"/>
      <c r="J144" s="19"/>
      <c r="K144" s="97"/>
    </row>
    <row r="145" spans="2:11">
      <c r="B145" s="7"/>
      <c r="C145" s="15"/>
      <c r="J145" s="19"/>
      <c r="K145" s="97"/>
    </row>
    <row r="146" spans="2:11">
      <c r="B146" s="7"/>
      <c r="C146" s="15"/>
      <c r="J146" s="19"/>
      <c r="K146" s="97"/>
    </row>
    <row r="147" spans="2:11">
      <c r="B147" s="7"/>
      <c r="C147" s="15"/>
      <c r="J147" s="19"/>
      <c r="K147" s="97"/>
    </row>
    <row r="148" spans="2:11">
      <c r="B148" s="7"/>
      <c r="C148" s="15"/>
      <c r="J148" s="19"/>
      <c r="K148" s="97"/>
    </row>
    <row r="149" spans="2:11">
      <c r="B149" s="7"/>
      <c r="C149" s="15"/>
      <c r="J149" s="19"/>
      <c r="K149" s="97"/>
    </row>
    <row r="150" spans="2:11">
      <c r="B150" s="7"/>
      <c r="C150" s="15"/>
    </row>
    <row r="151" spans="2:11">
      <c r="B151" s="7"/>
      <c r="C151" s="15"/>
    </row>
    <row r="152" spans="2:11">
      <c r="B152" s="7"/>
      <c r="C152" s="15"/>
    </row>
    <row r="153" spans="2:11">
      <c r="B153" s="7"/>
      <c r="C153" s="15"/>
    </row>
    <row r="154" spans="2:11">
      <c r="B154" s="7"/>
      <c r="C154" s="15"/>
    </row>
    <row r="155" spans="2:11">
      <c r="B155" s="7"/>
      <c r="C155" s="15"/>
    </row>
    <row r="156" spans="2:11">
      <c r="B156" s="7"/>
      <c r="C156" s="15"/>
    </row>
    <row r="157" spans="2:11">
      <c r="B157" s="7"/>
      <c r="C157" s="15"/>
    </row>
    <row r="158" spans="2:11">
      <c r="B158" s="7"/>
      <c r="C158" s="15"/>
    </row>
    <row r="159" spans="2:11">
      <c r="B159" s="7"/>
      <c r="C159" s="15"/>
    </row>
    <row r="160" spans="2:11">
      <c r="B160" s="7"/>
      <c r="C160" s="15"/>
    </row>
    <row r="161" spans="2:3">
      <c r="B161" s="7"/>
      <c r="C161" s="15"/>
    </row>
    <row r="162" spans="2:3">
      <c r="B162" s="7"/>
      <c r="C162" s="15"/>
    </row>
    <row r="163" spans="2:3">
      <c r="B163" s="7"/>
      <c r="C163" s="15"/>
    </row>
    <row r="164" spans="2:3">
      <c r="B164" s="7"/>
      <c r="C164" s="15"/>
    </row>
    <row r="165" spans="2:3">
      <c r="B165" s="7"/>
      <c r="C165" s="15"/>
    </row>
    <row r="166" spans="2:3">
      <c r="B166" s="7"/>
      <c r="C166" s="15"/>
    </row>
    <row r="167" spans="2:3">
      <c r="B167" s="7"/>
      <c r="C167" s="15"/>
    </row>
    <row r="168" spans="2:3">
      <c r="B168" s="7"/>
      <c r="C168" s="15"/>
    </row>
    <row r="169" spans="2:3">
      <c r="B169" s="7"/>
      <c r="C169" s="15"/>
    </row>
    <row r="170" spans="2:3">
      <c r="B170" s="7"/>
      <c r="C170" s="15"/>
    </row>
    <row r="171" spans="2:3">
      <c r="B171" s="7"/>
      <c r="C171" s="15"/>
    </row>
    <row r="172" spans="2:3">
      <c r="B172" s="7"/>
      <c r="C172" s="15"/>
    </row>
    <row r="173" spans="2:3">
      <c r="B173" s="7"/>
      <c r="C173" s="15"/>
    </row>
    <row r="174" spans="2:3">
      <c r="B174" s="7"/>
      <c r="C174" s="15"/>
    </row>
    <row r="175" spans="2:3">
      <c r="B175" s="7"/>
      <c r="C175" s="15"/>
    </row>
    <row r="176" spans="2:3">
      <c r="B176" s="7"/>
      <c r="C176" s="15"/>
    </row>
    <row r="177" spans="2:3">
      <c r="B177" s="7"/>
      <c r="C177" s="15"/>
    </row>
    <row r="178" spans="2:3">
      <c r="B178" s="7"/>
      <c r="C178" s="15"/>
    </row>
    <row r="179" spans="2:3">
      <c r="B179" s="7"/>
      <c r="C179" s="15"/>
    </row>
    <row r="180" spans="2:3">
      <c r="B180" s="7"/>
      <c r="C180" s="15"/>
    </row>
    <row r="181" spans="2:3">
      <c r="B181" s="7"/>
      <c r="C181" s="15"/>
    </row>
    <row r="182" spans="2:3">
      <c r="B182" s="7"/>
      <c r="C182" s="15"/>
    </row>
    <row r="183" spans="2:3">
      <c r="B183" s="7"/>
      <c r="C183" s="15"/>
    </row>
    <row r="184" spans="2:3">
      <c r="B184" s="7"/>
      <c r="C184" s="15"/>
    </row>
    <row r="185" spans="2:3">
      <c r="B185" s="7"/>
      <c r="C185" s="15"/>
    </row>
    <row r="186" spans="2:3">
      <c r="B186" s="7"/>
      <c r="C186" s="15"/>
    </row>
    <row r="187" spans="2:3">
      <c r="B187" s="7"/>
      <c r="C187" s="15"/>
    </row>
  </sheetData>
  <protectedRanges>
    <protectedRange sqref="B1:H1 L48:R70" name="Ticker oraz pole do edycji własnych wskaźników"/>
  </protectedRanges>
  <mergeCells count="1">
    <mergeCell ref="B1:H1"/>
  </mergeCells>
  <conditionalFormatting sqref="I26:K26 I8:K12 I3:K4">
    <cfRule type="cellIs" dxfId="40" priority="41" operator="greaterThan">
      <formula>0.05</formula>
    </cfRule>
  </conditionalFormatting>
  <conditionalFormatting sqref="N15:Q15 I26:K26 I8:K14 I3:K4">
    <cfRule type="cellIs" dxfId="39" priority="40" operator="greaterThan">
      <formula>0.1</formula>
    </cfRule>
  </conditionalFormatting>
  <conditionalFormatting sqref="I25:K25">
    <cfRule type="cellIs" dxfId="38" priority="38" operator="lessThan">
      <formula>0</formula>
    </cfRule>
    <cfRule type="cellIs" dxfId="37" priority="39" operator="greaterThan">
      <formula>0</formula>
    </cfRule>
  </conditionalFormatting>
  <conditionalFormatting sqref="I8:K14 I3:K4">
    <cfRule type="cellIs" dxfId="36" priority="36" operator="lessThan">
      <formula>-0.05</formula>
    </cfRule>
    <cfRule type="cellIs" dxfId="35" priority="37" operator="lessThan">
      <formula>0</formula>
    </cfRule>
  </conditionalFormatting>
  <conditionalFormatting sqref="M3:Q4">
    <cfRule type="cellIs" dxfId="34" priority="35" operator="equal">
      <formula>0</formula>
    </cfRule>
  </conditionalFormatting>
  <conditionalFormatting sqref="N27:Q27">
    <cfRule type="cellIs" dxfId="33" priority="33" operator="greaterThan">
      <formula>1</formula>
    </cfRule>
    <cfRule type="cellIs" dxfId="32" priority="34" operator="lessThan">
      <formula>1</formula>
    </cfRule>
  </conditionalFormatting>
  <conditionalFormatting sqref="N25:Q25">
    <cfRule type="cellIs" dxfId="31" priority="31" operator="lessThan">
      <formula>1.3</formula>
    </cfRule>
    <cfRule type="cellIs" dxfId="30" priority="32" operator="between">
      <formula>1.3</formula>
      <formula>2</formula>
    </cfRule>
  </conditionalFormatting>
  <conditionalFormatting sqref="N21:Q21">
    <cfRule type="cellIs" dxfId="29" priority="27" operator="lessThan">
      <formula>1</formula>
    </cfRule>
    <cfRule type="cellIs" dxfId="28" priority="28" operator="greaterThan">
      <formula>1</formula>
    </cfRule>
  </conditionalFormatting>
  <conditionalFormatting sqref="N19:Q19">
    <cfRule type="cellIs" dxfId="27" priority="25" operator="lessThan">
      <formula>0.67</formula>
    </cfRule>
    <cfRule type="cellIs" dxfId="26" priority="26" operator="greaterThan">
      <formula>0.67</formula>
    </cfRule>
  </conditionalFormatting>
  <conditionalFormatting sqref="M5:Q5">
    <cfRule type="cellIs" dxfId="25" priority="23" operator="lessThan">
      <formula>20</formula>
    </cfRule>
    <cfRule type="cellIs" dxfId="24" priority="24" operator="greaterThan">
      <formula>20</formula>
    </cfRule>
  </conditionalFormatting>
  <conditionalFormatting sqref="M9:Q10">
    <cfRule type="cellIs" dxfId="23" priority="22" operator="greaterThan">
      <formula>0.6</formula>
    </cfRule>
  </conditionalFormatting>
  <conditionalFormatting sqref="A31">
    <cfRule type="containsText" dxfId="22" priority="21" operator="containsText" text="Wartość pożądana">
      <formula>NOT(ISERROR(SEARCH("Wartość pożądana",A31)))</formula>
    </cfRule>
  </conditionalFormatting>
  <conditionalFormatting sqref="A32">
    <cfRule type="containsText" dxfId="21" priority="20" operator="containsText" text="Wartość niepożądana">
      <formula>NOT(ISERROR(SEARCH("Wartość niepożądana",A32)))</formula>
    </cfRule>
  </conditionalFormatting>
  <conditionalFormatting sqref="N22:Q22">
    <cfRule type="cellIs" dxfId="20" priority="29" operator="lessThan">
      <formula>0.5</formula>
    </cfRule>
    <cfRule type="cellIs" dxfId="19" priority="30" operator="greaterThan">
      <formula>0.5</formula>
    </cfRule>
  </conditionalFormatting>
  <conditionalFormatting sqref="M34:Q35">
    <cfRule type="cellIs" dxfId="18" priority="18" operator="greaterThan">
      <formula>0</formula>
    </cfRule>
    <cfRule type="cellIs" dxfId="17" priority="19" operator="lessThan">
      <formula>0</formula>
    </cfRule>
  </conditionalFormatting>
  <conditionalFormatting sqref="M36:Q36">
    <cfRule type="cellIs" dxfId="16" priority="16" operator="lessThan">
      <formula>TRUE</formula>
    </cfRule>
    <cfRule type="cellIs" dxfId="15" priority="17" operator="equal">
      <formula>TRUE</formula>
    </cfRule>
  </conditionalFormatting>
  <conditionalFormatting sqref="D33:I33">
    <cfRule type="cellIs" dxfId="14" priority="15" operator="lessThan">
      <formula>0</formula>
    </cfRule>
  </conditionalFormatting>
  <conditionalFormatting sqref="M38:Q38">
    <cfRule type="cellIs" dxfId="13" priority="14" operator="lessThan">
      <formula>-0.000001</formula>
    </cfRule>
  </conditionalFormatting>
  <conditionalFormatting sqref="M40:Q40">
    <cfRule type="cellIs" dxfId="12" priority="12" operator="greaterThan">
      <formula>-0.05</formula>
    </cfRule>
  </conditionalFormatting>
  <conditionalFormatting sqref="R34">
    <cfRule type="cellIs" dxfId="11" priority="11" operator="lessThan">
      <formula>0</formula>
    </cfRule>
  </conditionalFormatting>
  <conditionalFormatting sqref="R35">
    <cfRule type="cellIs" dxfId="10" priority="10" operator="greaterThan">
      <formula>0</formula>
    </cfRule>
  </conditionalFormatting>
  <conditionalFormatting sqref="M18:Q18">
    <cfRule type="cellIs" dxfId="9" priority="8" stopIfTrue="1" operator="lessThan">
      <formula>3</formula>
    </cfRule>
    <cfRule type="cellIs" dxfId="8" priority="9" operator="greaterThanOrEqual">
      <formula>3</formula>
    </cfRule>
  </conditionalFormatting>
  <conditionalFormatting sqref="M17:Q17">
    <cfRule type="cellIs" dxfId="7" priority="6" stopIfTrue="1" operator="lessThan">
      <formula>3</formula>
    </cfRule>
    <cfRule type="cellIs" dxfId="6" priority="7" operator="lessThan">
      <formula>1</formula>
    </cfRule>
  </conditionalFormatting>
  <conditionalFormatting sqref="M17:Q17">
    <cfRule type="cellIs" dxfId="5" priority="5" operator="equal">
      <formula>"Interest &lt;= 0"</formula>
    </cfRule>
  </conditionalFormatting>
  <conditionalFormatting sqref="N23:Q23">
    <cfRule type="cellIs" dxfId="4" priority="3" operator="lessThan">
      <formula>0.5</formula>
    </cfRule>
    <cfRule type="cellIs" dxfId="3" priority="4" operator="greaterThan">
      <formula>0.5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3" operator="containsText" id="{F7F43D20-C51F-46B0-A0A5-A666FC371AEF}">
            <xm:f>NOT(ISERROR(SEARCH("=",I3)))</xm:f>
            <xm:f>"="</xm:f>
            <x14:dxf>
              <font>
                <color auto="1"/>
              </font>
              <fill>
                <patternFill>
                  <bgColor theme="0" tint="-0.34998626667073579"/>
                </patternFill>
              </fill>
            </x14:dxf>
          </x14:cfRule>
          <xm:sqref>I20:K30 I3:K17</xm:sqref>
        </x14:conditionalFormatting>
        <x14:conditionalFormatting xmlns:xm="http://schemas.microsoft.com/office/excel/2006/main">
          <x14:cfRule type="containsText" priority="2" operator="containsText" id="{F0AC4548-C2E5-4A09-8DF5-0D74AE0E6B8E}">
            <xm:f>NOT(ISERROR(SEARCH("=",I54)))</xm:f>
            <xm:f>"="</xm:f>
            <x14:dxf>
              <font>
                <color auto="1"/>
              </font>
              <fill>
                <patternFill>
                  <bgColor theme="0" tint="-0.34998626667073579"/>
                </patternFill>
              </fill>
            </x14:dxf>
          </x14:cfRule>
          <xm:sqref>I54</xm:sqref>
        </x14:conditionalFormatting>
        <x14:conditionalFormatting xmlns:xm="http://schemas.microsoft.com/office/excel/2006/main">
          <x14:cfRule type="containsText" priority="1" operator="containsText" id="{01B83908-B099-443E-98B9-38FE2078A833}">
            <xm:f>NOT(ISERROR(SEARCH("=",I59)))</xm:f>
            <xm:f>"="</xm:f>
            <x14:dxf>
              <font>
                <color auto="1"/>
              </font>
              <fill>
                <patternFill>
                  <bgColor theme="0" tint="-0.34998626667073579"/>
                </patternFill>
              </fill>
            </x14:dxf>
          </x14:cfRule>
          <xm:sqref>I59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3DF9-8AB6-4427-928A-3BD85ADB7E44}">
  <sheetPr>
    <tabColor theme="8" tint="0.39997558519241921"/>
  </sheetPr>
  <dimension ref="A1:AA66"/>
  <sheetViews>
    <sheetView zoomScale="120" zoomScaleNormal="120" workbookViewId="0">
      <selection activeCell="J11" sqref="J11"/>
    </sheetView>
  </sheetViews>
  <sheetFormatPr defaultRowHeight="15"/>
  <cols>
    <col min="1" max="1" width="38.28515625" bestFit="1" customWidth="1"/>
    <col min="2" max="6" width="12" style="44" bestFit="1" customWidth="1"/>
    <col min="7" max="7" width="10.42578125" bestFit="1" customWidth="1"/>
    <col min="8" max="9" width="9.140625" customWidth="1"/>
    <col min="11" max="11" width="28.28515625" bestFit="1" customWidth="1"/>
    <col min="12" max="12" width="12.7109375" customWidth="1"/>
    <col min="13" max="13" width="13.7109375" bestFit="1" customWidth="1"/>
    <col min="14" max="14" width="22.5703125" customWidth="1"/>
  </cols>
  <sheetData>
    <row r="1" spans="1:27" ht="15.75" thickBot="1">
      <c r="A1" s="114" t="s">
        <v>370</v>
      </c>
      <c r="B1" s="114" t="s">
        <v>362</v>
      </c>
      <c r="C1" s="114" t="s">
        <v>363</v>
      </c>
      <c r="D1" s="114" t="s">
        <v>364</v>
      </c>
      <c r="E1" s="114" t="s">
        <v>365</v>
      </c>
      <c r="F1" s="114" t="s">
        <v>366</v>
      </c>
      <c r="G1" s="114" t="s">
        <v>308</v>
      </c>
    </row>
    <row r="2" spans="1:27" ht="15.75" thickBot="1">
      <c r="A2" s="46" t="s">
        <v>230</v>
      </c>
      <c r="B2" s="115">
        <v>63525</v>
      </c>
      <c r="C2" s="115">
        <v>64661</v>
      </c>
      <c r="D2" s="115">
        <v>67161</v>
      </c>
      <c r="E2" s="115">
        <v>70372</v>
      </c>
      <c r="F2" s="115">
        <v>79474</v>
      </c>
      <c r="G2" s="115">
        <v>81862</v>
      </c>
      <c r="Z2" t="s">
        <v>295</v>
      </c>
      <c r="AA2" s="62" t="s">
        <v>400</v>
      </c>
    </row>
    <row r="3" spans="1:27">
      <c r="A3" s="46" t="s">
        <v>231</v>
      </c>
      <c r="B3" s="115">
        <v>13122</v>
      </c>
      <c r="C3" s="115">
        <v>12807</v>
      </c>
      <c r="D3" s="115">
        <v>13091</v>
      </c>
      <c r="E3" s="115">
        <v>13223</v>
      </c>
      <c r="F3" s="115">
        <v>14899</v>
      </c>
      <c r="G3" s="115">
        <v>16673</v>
      </c>
    </row>
    <row r="4" spans="1:27">
      <c r="A4" s="46" t="s">
        <v>232</v>
      </c>
      <c r="B4" s="46">
        <v>244</v>
      </c>
      <c r="C4" s="46">
        <v>306</v>
      </c>
      <c r="D4" s="46">
        <v>200</v>
      </c>
      <c r="E4" s="46">
        <v>0</v>
      </c>
      <c r="F4" s="46">
        <v>0</v>
      </c>
      <c r="G4" s="46">
        <v>0</v>
      </c>
      <c r="Z4" t="s">
        <v>296</v>
      </c>
      <c r="AA4" t="str">
        <f>Instrukcja!$C$5</f>
        <v>https://usstocks.pl/dividends/public/data/csv?token=&amp;region=en</v>
      </c>
    </row>
    <row r="5" spans="1:27">
      <c r="A5" s="46" t="s">
        <v>233</v>
      </c>
      <c r="B5" s="115">
        <v>10753</v>
      </c>
      <c r="C5" s="115">
        <v>10408</v>
      </c>
      <c r="D5" s="115">
        <v>10247</v>
      </c>
      <c r="E5" s="115">
        <v>10197</v>
      </c>
      <c r="F5" s="115">
        <v>11684</v>
      </c>
      <c r="G5" s="115">
        <v>13473</v>
      </c>
      <c r="Z5" t="s">
        <v>297</v>
      </c>
    </row>
    <row r="6" spans="1:27">
      <c r="A6" s="46" t="s">
        <v>234</v>
      </c>
      <c r="B6" s="115">
        <v>-1151</v>
      </c>
      <c r="C6" s="115">
        <v>-1219</v>
      </c>
      <c r="D6" s="46">
        <v>-935</v>
      </c>
      <c r="E6" s="115">
        <v>-1128</v>
      </c>
      <c r="F6" s="115">
        <v>-1863</v>
      </c>
      <c r="G6" s="115">
        <v>-1840</v>
      </c>
    </row>
    <row r="7" spans="1:27">
      <c r="A7" s="46" t="s">
        <v>235</v>
      </c>
      <c r="B7" s="115">
        <v>4857</v>
      </c>
      <c r="C7" s="115">
        <v>12515</v>
      </c>
      <c r="D7" s="115">
        <v>7314</v>
      </c>
      <c r="E7" s="115">
        <v>7120</v>
      </c>
      <c r="F7" s="115">
        <v>7618</v>
      </c>
      <c r="G7" s="115">
        <v>9236</v>
      </c>
    </row>
    <row r="8" spans="1:27">
      <c r="A8" s="46" t="s">
        <v>335</v>
      </c>
      <c r="B8" s="46">
        <v>0</v>
      </c>
      <c r="C8" s="46">
        <v>0</v>
      </c>
      <c r="D8" s="46">
        <v>0</v>
      </c>
      <c r="E8" s="46">
        <v>0</v>
      </c>
      <c r="F8" s="46">
        <v>0</v>
      </c>
      <c r="G8" s="46">
        <v>0</v>
      </c>
    </row>
    <row r="9" spans="1:27">
      <c r="A9" s="46" t="s">
        <v>336</v>
      </c>
      <c r="B9" s="46">
        <v>3.38</v>
      </c>
      <c r="C9" s="46">
        <v>8.7799999999999994</v>
      </c>
      <c r="D9" s="46">
        <v>5.2</v>
      </c>
      <c r="E9" s="46">
        <v>5.12</v>
      </c>
      <c r="F9" s="46">
        <v>5.49</v>
      </c>
      <c r="G9" s="46">
        <v>6.64</v>
      </c>
    </row>
    <row r="10" spans="1:27">
      <c r="A10" s="46" t="s">
        <v>337</v>
      </c>
      <c r="B10" s="46">
        <v>3.38</v>
      </c>
      <c r="C10" s="46">
        <v>8.7799999999999994</v>
      </c>
      <c r="D10" s="46">
        <v>5.2</v>
      </c>
      <c r="E10" s="46">
        <v>5.12</v>
      </c>
      <c r="F10" s="46">
        <v>5.49</v>
      </c>
      <c r="G10" s="46">
        <v>6.64</v>
      </c>
    </row>
    <row r="11" spans="1:27">
      <c r="A11" s="46" t="s">
        <v>338</v>
      </c>
      <c r="B11" s="46">
        <v>3.38</v>
      </c>
      <c r="C11" s="46">
        <v>8.7799999999999994</v>
      </c>
      <c r="D11" s="46">
        <v>5.2</v>
      </c>
      <c r="E11" s="46">
        <v>5.12</v>
      </c>
      <c r="F11" s="46">
        <v>5.49</v>
      </c>
      <c r="G11" s="46">
        <v>6.64</v>
      </c>
    </row>
    <row r="12" spans="1:27">
      <c r="A12" s="46" t="s">
        <v>339</v>
      </c>
      <c r="B12" s="46">
        <v>3.17</v>
      </c>
      <c r="C12" s="46">
        <v>3.59</v>
      </c>
      <c r="D12" s="46">
        <v>3.79</v>
      </c>
      <c r="E12" s="46">
        <v>4.0199999999999996</v>
      </c>
      <c r="F12" s="46">
        <v>4.25</v>
      </c>
      <c r="G12" s="46">
        <v>4.38</v>
      </c>
    </row>
    <row r="13" spans="1:27" ht="30">
      <c r="A13" s="46" t="s">
        <v>340</v>
      </c>
      <c r="B13" s="115">
        <v>19510</v>
      </c>
      <c r="C13" s="115">
        <v>8993</v>
      </c>
      <c r="D13" s="115">
        <v>5738</v>
      </c>
      <c r="E13" s="115">
        <v>9551</v>
      </c>
      <c r="F13" s="115">
        <v>5988</v>
      </c>
      <c r="G13" s="115">
        <v>5692</v>
      </c>
    </row>
    <row r="14" spans="1:27">
      <c r="A14" s="46" t="s">
        <v>242</v>
      </c>
      <c r="B14" s="115">
        <v>2947</v>
      </c>
      <c r="C14" s="115">
        <v>3128</v>
      </c>
      <c r="D14" s="115">
        <v>3338</v>
      </c>
      <c r="E14" s="115">
        <v>4172</v>
      </c>
      <c r="F14" s="115">
        <v>4347</v>
      </c>
      <c r="G14" s="115">
        <v>5287</v>
      </c>
    </row>
    <row r="15" spans="1:27">
      <c r="A15" s="46" t="s">
        <v>341</v>
      </c>
      <c r="B15" s="115">
        <v>31027</v>
      </c>
      <c r="C15" s="115">
        <v>21893</v>
      </c>
      <c r="D15" s="115">
        <v>17645</v>
      </c>
      <c r="E15" s="115">
        <v>23001</v>
      </c>
      <c r="F15" s="115">
        <v>21783</v>
      </c>
      <c r="G15" s="115">
        <v>22633</v>
      </c>
    </row>
    <row r="16" spans="1:27">
      <c r="A16" s="46" t="s">
        <v>342</v>
      </c>
      <c r="B16" s="115">
        <v>79804</v>
      </c>
      <c r="C16" s="115">
        <v>77648</v>
      </c>
      <c r="D16" s="115">
        <v>78547</v>
      </c>
      <c r="E16" s="115">
        <v>92918</v>
      </c>
      <c r="F16" s="115">
        <v>92377</v>
      </c>
      <c r="G16" s="115">
        <v>93103</v>
      </c>
    </row>
    <row r="17" spans="1:9">
      <c r="A17" s="46" t="s">
        <v>371</v>
      </c>
      <c r="B17" s="115">
        <v>5485</v>
      </c>
      <c r="C17" s="115">
        <v>4026</v>
      </c>
      <c r="D17" s="115">
        <v>3362</v>
      </c>
      <c r="E17" s="115">
        <v>4240</v>
      </c>
      <c r="F17" s="115">
        <v>4754</v>
      </c>
      <c r="G17" s="115">
        <v>6032</v>
      </c>
    </row>
    <row r="18" spans="1:9">
      <c r="A18" s="46" t="s">
        <v>372</v>
      </c>
      <c r="B18" s="115">
        <v>33796</v>
      </c>
      <c r="C18" s="115">
        <v>28295</v>
      </c>
      <c r="D18" s="115">
        <v>29148</v>
      </c>
      <c r="E18" s="115">
        <v>40370</v>
      </c>
      <c r="F18" s="115">
        <v>36026</v>
      </c>
      <c r="G18" s="115">
        <v>33247</v>
      </c>
    </row>
    <row r="19" spans="1:9">
      <c r="A19" s="46" t="s">
        <v>373</v>
      </c>
      <c r="B19" s="115">
        <v>39281</v>
      </c>
      <c r="C19" s="115">
        <v>32321</v>
      </c>
      <c r="D19" s="115">
        <v>32510</v>
      </c>
      <c r="E19" s="115">
        <v>44610</v>
      </c>
      <c r="F19" s="115">
        <v>40780</v>
      </c>
      <c r="G19" s="115">
        <v>39279</v>
      </c>
    </row>
    <row r="20" spans="1:9">
      <c r="A20" s="46" t="s">
        <v>343</v>
      </c>
      <c r="B20" s="115">
        <v>20502</v>
      </c>
      <c r="C20" s="115">
        <v>22138</v>
      </c>
      <c r="D20" s="115">
        <v>20461</v>
      </c>
      <c r="E20" s="115">
        <v>23372</v>
      </c>
      <c r="F20" s="115">
        <v>26220</v>
      </c>
      <c r="G20" s="115">
        <v>27223</v>
      </c>
    </row>
    <row r="21" spans="1:9">
      <c r="A21" s="46" t="s">
        <v>344</v>
      </c>
      <c r="B21" s="115">
        <v>48321</v>
      </c>
      <c r="C21" s="115">
        <v>40908</v>
      </c>
      <c r="D21" s="115">
        <v>43218</v>
      </c>
      <c r="E21" s="115">
        <v>55994</v>
      </c>
      <c r="F21" s="115">
        <v>50006</v>
      </c>
      <c r="G21" s="115">
        <v>47206</v>
      </c>
    </row>
    <row r="22" spans="1:9">
      <c r="A22" s="46" t="s">
        <v>345</v>
      </c>
      <c r="B22" s="115">
        <v>68823</v>
      </c>
      <c r="C22" s="115">
        <v>63046</v>
      </c>
      <c r="D22" s="115">
        <v>63679</v>
      </c>
      <c r="E22" s="115">
        <v>79366</v>
      </c>
      <c r="F22" s="115">
        <v>76226</v>
      </c>
      <c r="G22" s="115">
        <v>74429</v>
      </c>
    </row>
    <row r="23" spans="1:9">
      <c r="A23" s="46" t="s">
        <v>346</v>
      </c>
      <c r="B23" s="115">
        <v>10981</v>
      </c>
      <c r="C23" s="115">
        <v>14602</v>
      </c>
      <c r="D23" s="115">
        <v>14868</v>
      </c>
      <c r="E23" s="115">
        <v>13552</v>
      </c>
      <c r="F23" s="115">
        <v>16151</v>
      </c>
      <c r="G23" s="115">
        <v>18674</v>
      </c>
    </row>
    <row r="24" spans="1:9">
      <c r="A24" s="46" t="s">
        <v>347</v>
      </c>
      <c r="B24" s="115">
        <v>1438</v>
      </c>
      <c r="C24" s="115">
        <v>1425</v>
      </c>
      <c r="D24" s="115">
        <v>1407</v>
      </c>
      <c r="E24" s="115">
        <v>1392</v>
      </c>
      <c r="F24" s="115">
        <v>1389</v>
      </c>
      <c r="G24" s="115">
        <v>1389</v>
      </c>
    </row>
    <row r="25" spans="1:9">
      <c r="A25" s="46" t="s">
        <v>348</v>
      </c>
      <c r="B25" s="115">
        <v>10030</v>
      </c>
      <c r="C25" s="115">
        <v>9415</v>
      </c>
      <c r="D25" s="115">
        <v>9649</v>
      </c>
      <c r="E25" s="115">
        <v>10613</v>
      </c>
      <c r="F25" s="115">
        <v>11616</v>
      </c>
      <c r="G25" s="115">
        <v>11157</v>
      </c>
    </row>
    <row r="26" spans="1:9">
      <c r="A26" s="46" t="s">
        <v>349</v>
      </c>
      <c r="B26" s="115">
        <v>-4403</v>
      </c>
      <c r="C26" s="115">
        <v>4564</v>
      </c>
      <c r="D26" s="115">
        <v>-6437</v>
      </c>
      <c r="E26" s="115">
        <v>-11619</v>
      </c>
      <c r="F26" s="115">
        <v>-3269</v>
      </c>
      <c r="G26" s="46">
        <v>-981</v>
      </c>
    </row>
    <row r="27" spans="1:9">
      <c r="A27" s="46" t="s">
        <v>350</v>
      </c>
      <c r="B27" s="115">
        <v>2050</v>
      </c>
      <c r="C27" s="115">
        <v>-6962</v>
      </c>
      <c r="D27" s="46">
        <v>-355</v>
      </c>
      <c r="E27" s="115">
        <v>11293</v>
      </c>
      <c r="F27" s="115">
        <v>-4132</v>
      </c>
      <c r="G27" s="115">
        <v>-2551</v>
      </c>
    </row>
    <row r="28" spans="1:9">
      <c r="A28" s="46" t="s">
        <v>351</v>
      </c>
      <c r="B28" s="115">
        <v>-2000</v>
      </c>
      <c r="C28" s="115">
        <v>-2000</v>
      </c>
      <c r="D28" s="115">
        <v>-3000</v>
      </c>
      <c r="E28" s="115">
        <v>-2000</v>
      </c>
      <c r="F28" s="46">
        <v>-106</v>
      </c>
      <c r="G28" s="46">
        <v>-699</v>
      </c>
    </row>
    <row r="29" spans="1:9">
      <c r="A29" s="46" t="s">
        <v>352</v>
      </c>
      <c r="B29" s="115">
        <v>-4186</v>
      </c>
      <c r="C29" s="115">
        <v>-13769</v>
      </c>
      <c r="D29" s="115">
        <v>-8489</v>
      </c>
      <c r="E29" s="115">
        <v>3819</v>
      </c>
      <c r="F29" s="115">
        <v>-10780</v>
      </c>
      <c r="G29" s="115">
        <v>-9968</v>
      </c>
    </row>
    <row r="30" spans="1:9">
      <c r="A30" s="46" t="s">
        <v>353</v>
      </c>
      <c r="B30" s="46">
        <v>119.92</v>
      </c>
      <c r="C30" s="46">
        <v>110.48</v>
      </c>
      <c r="D30" s="46">
        <v>136.66999999999999</v>
      </c>
      <c r="E30" s="46">
        <v>148.30000000000001</v>
      </c>
      <c r="F30" s="46">
        <v>173.71</v>
      </c>
      <c r="G30" s="46">
        <v>172.85</v>
      </c>
    </row>
    <row r="31" spans="1:9" ht="13.5" customHeight="1">
      <c r="A31" s="46" t="s">
        <v>355</v>
      </c>
      <c r="B31" s="46"/>
      <c r="C31" s="46"/>
      <c r="D31" s="46"/>
      <c r="E31" s="46"/>
      <c r="F31" s="46"/>
      <c r="G31" s="46" t="s">
        <v>367</v>
      </c>
      <c r="H31" s="46" t="s">
        <v>368</v>
      </c>
      <c r="I31" s="46" t="s">
        <v>374</v>
      </c>
    </row>
    <row r="32" spans="1:9">
      <c r="A32" s="46" t="s">
        <v>354</v>
      </c>
      <c r="B32" s="46"/>
      <c r="C32" s="46"/>
      <c r="D32" s="46"/>
      <c r="E32" s="46"/>
      <c r="F32" s="46"/>
      <c r="G32" s="46">
        <v>7.05</v>
      </c>
      <c r="H32" s="46">
        <v>7.18</v>
      </c>
      <c r="I32" s="46">
        <v>8.0500000000000007</v>
      </c>
    </row>
    <row r="33" spans="1:25">
      <c r="A33" s="46" t="s">
        <v>375</v>
      </c>
      <c r="B33" s="115">
        <v>7061</v>
      </c>
      <c r="C33" s="115">
        <v>6133</v>
      </c>
      <c r="D33" s="115">
        <v>5417</v>
      </c>
      <c r="E33" s="115">
        <v>6373</v>
      </c>
      <c r="F33" s="115">
        <v>6991</v>
      </c>
      <c r="G33" s="115">
        <v>6338</v>
      </c>
    </row>
    <row r="34" spans="1:25">
      <c r="B34"/>
      <c r="C34"/>
      <c r="D34"/>
      <c r="E34"/>
      <c r="F34"/>
    </row>
    <row r="35" spans="1:25">
      <c r="B35"/>
      <c r="C35"/>
      <c r="D35"/>
      <c r="E35"/>
      <c r="F35"/>
    </row>
    <row r="36" spans="1:25">
      <c r="A36" s="114" t="s">
        <v>376</v>
      </c>
      <c r="B36" s="114" t="s">
        <v>377</v>
      </c>
      <c r="C36" s="114" t="s">
        <v>378</v>
      </c>
      <c r="D36" s="114" t="s">
        <v>379</v>
      </c>
      <c r="E36" s="114" t="s">
        <v>380</v>
      </c>
      <c r="F36" s="114" t="s">
        <v>381</v>
      </c>
      <c r="G36" s="114" t="s">
        <v>362</v>
      </c>
      <c r="H36" s="114" t="s">
        <v>382</v>
      </c>
      <c r="I36" s="114" t="s">
        <v>383</v>
      </c>
      <c r="J36" s="114" t="s">
        <v>384</v>
      </c>
      <c r="K36" s="114" t="s">
        <v>363</v>
      </c>
      <c r="L36" s="114" t="s">
        <v>385</v>
      </c>
      <c r="M36" s="114" t="s">
        <v>386</v>
      </c>
      <c r="N36" s="114" t="s">
        <v>387</v>
      </c>
      <c r="O36" s="114" t="s">
        <v>364</v>
      </c>
      <c r="P36" s="114" t="s">
        <v>388</v>
      </c>
      <c r="Q36" s="114" t="s">
        <v>389</v>
      </c>
      <c r="R36" s="114" t="s">
        <v>390</v>
      </c>
      <c r="S36" s="114" t="s">
        <v>365</v>
      </c>
      <c r="T36" s="114" t="s">
        <v>391</v>
      </c>
      <c r="U36" s="114" t="s">
        <v>392</v>
      </c>
      <c r="V36" s="114" t="s">
        <v>393</v>
      </c>
      <c r="W36" s="114" t="s">
        <v>366</v>
      </c>
      <c r="X36" s="114" t="s">
        <v>394</v>
      </c>
      <c r="Y36" s="114" t="s">
        <v>397</v>
      </c>
    </row>
    <row r="37" spans="1:25">
      <c r="A37" s="46" t="s">
        <v>230</v>
      </c>
      <c r="B37" s="115">
        <v>16027</v>
      </c>
      <c r="C37" s="115">
        <v>19515</v>
      </c>
      <c r="D37" s="115">
        <v>12049</v>
      </c>
      <c r="E37" s="115">
        <v>15710</v>
      </c>
      <c r="F37" s="115">
        <v>16240</v>
      </c>
      <c r="G37" s="115">
        <v>19526</v>
      </c>
      <c r="H37" s="115">
        <v>12562</v>
      </c>
      <c r="I37" s="115">
        <v>16090</v>
      </c>
      <c r="J37" s="115">
        <v>16485</v>
      </c>
      <c r="K37" s="115">
        <v>19524</v>
      </c>
      <c r="L37" s="115">
        <v>12884</v>
      </c>
      <c r="M37" s="115">
        <v>16449</v>
      </c>
      <c r="N37" s="115">
        <v>17188</v>
      </c>
      <c r="O37" s="115">
        <v>20640</v>
      </c>
      <c r="P37" s="115">
        <v>13881</v>
      </c>
      <c r="Q37" s="115">
        <v>15945</v>
      </c>
      <c r="R37" s="115">
        <v>18091</v>
      </c>
      <c r="S37" s="115">
        <v>22455</v>
      </c>
      <c r="T37" s="115">
        <v>14820</v>
      </c>
      <c r="U37" s="115">
        <v>19217</v>
      </c>
      <c r="V37" s="115">
        <v>20189</v>
      </c>
      <c r="W37" s="115">
        <v>25248</v>
      </c>
      <c r="X37" s="115">
        <v>16200</v>
      </c>
      <c r="Y37" s="115">
        <v>20225</v>
      </c>
    </row>
    <row r="38" spans="1:25">
      <c r="A38" s="46" t="s">
        <v>231</v>
      </c>
      <c r="B38" s="115">
        <v>3418</v>
      </c>
      <c r="C38" s="115">
        <v>3182</v>
      </c>
      <c r="D38" s="115">
        <v>2450</v>
      </c>
      <c r="E38" s="115">
        <v>3593</v>
      </c>
      <c r="F38" s="115">
        <v>3618</v>
      </c>
      <c r="G38" s="115">
        <v>3461</v>
      </c>
      <c r="H38" s="115">
        <v>2447</v>
      </c>
      <c r="I38" s="115">
        <v>3782</v>
      </c>
      <c r="J38" s="115">
        <v>3565</v>
      </c>
      <c r="K38" s="115">
        <v>3013</v>
      </c>
      <c r="L38" s="115">
        <v>2570</v>
      </c>
      <c r="M38" s="115">
        <v>3348</v>
      </c>
      <c r="N38" s="115">
        <v>3471</v>
      </c>
      <c r="O38" s="115">
        <v>3702</v>
      </c>
      <c r="P38" s="115">
        <v>2534</v>
      </c>
      <c r="Q38" s="115">
        <v>2992</v>
      </c>
      <c r="R38" s="115">
        <v>3706</v>
      </c>
      <c r="S38" s="115">
        <v>3991</v>
      </c>
      <c r="T38" s="115">
        <v>3091</v>
      </c>
      <c r="U38" s="115">
        <v>4029</v>
      </c>
      <c r="V38" s="115">
        <v>3707</v>
      </c>
      <c r="W38" s="115">
        <v>4072</v>
      </c>
      <c r="X38" s="115">
        <v>6059</v>
      </c>
      <c r="Y38" s="115">
        <v>2835</v>
      </c>
    </row>
    <row r="39" spans="1:25">
      <c r="A39" s="46" t="s">
        <v>232</v>
      </c>
      <c r="B39" s="46">
        <v>30</v>
      </c>
      <c r="C39" s="46">
        <v>44</v>
      </c>
      <c r="D39" s="46">
        <v>40</v>
      </c>
      <c r="E39" s="46">
        <v>49</v>
      </c>
      <c r="F39" s="46">
        <v>52</v>
      </c>
      <c r="G39" s="46">
        <v>103</v>
      </c>
      <c r="H39" s="46">
        <v>69</v>
      </c>
      <c r="I39" s="46">
        <v>98</v>
      </c>
      <c r="J39" s="46">
        <v>81</v>
      </c>
      <c r="K39" s="46">
        <v>58</v>
      </c>
      <c r="L39" s="46">
        <v>0</v>
      </c>
      <c r="M39" s="46">
        <v>0</v>
      </c>
      <c r="N39" s="46">
        <v>0</v>
      </c>
      <c r="O39" s="46">
        <v>0</v>
      </c>
      <c r="P39" s="46">
        <v>0</v>
      </c>
      <c r="Q39" s="46">
        <v>0</v>
      </c>
      <c r="R39" s="46">
        <v>0</v>
      </c>
      <c r="S39" s="46">
        <v>0</v>
      </c>
      <c r="T39" s="46">
        <v>0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</row>
    <row r="40" spans="1:25">
      <c r="A40" s="46" t="s">
        <v>233</v>
      </c>
      <c r="B40" s="115">
        <v>2851</v>
      </c>
      <c r="C40" s="115">
        <v>2425</v>
      </c>
      <c r="D40" s="115">
        <v>1973</v>
      </c>
      <c r="E40" s="115">
        <v>3039</v>
      </c>
      <c r="F40" s="115">
        <v>3045</v>
      </c>
      <c r="G40" s="115">
        <v>2696</v>
      </c>
      <c r="H40" s="115">
        <v>1951</v>
      </c>
      <c r="I40" s="115">
        <v>3208</v>
      </c>
      <c r="J40" s="115">
        <v>2999</v>
      </c>
      <c r="K40" s="115">
        <v>2250</v>
      </c>
      <c r="L40" s="115">
        <v>2072</v>
      </c>
      <c r="M40" s="115">
        <v>2790</v>
      </c>
      <c r="N40" s="115">
        <v>2893</v>
      </c>
      <c r="O40" s="115">
        <v>2492</v>
      </c>
      <c r="P40" s="115">
        <v>2001</v>
      </c>
      <c r="Q40" s="115">
        <v>2403</v>
      </c>
      <c r="R40" s="115">
        <v>3097</v>
      </c>
      <c r="S40" s="115">
        <v>2696</v>
      </c>
      <c r="T40" s="115">
        <v>2432</v>
      </c>
      <c r="U40" s="115">
        <v>3255</v>
      </c>
      <c r="V40" s="115">
        <v>3277</v>
      </c>
      <c r="W40" s="115">
        <v>2720</v>
      </c>
      <c r="X40" s="115">
        <v>5401</v>
      </c>
      <c r="Y40" s="115">
        <v>2075</v>
      </c>
    </row>
    <row r="41" spans="1:25">
      <c r="A41" s="46" t="s">
        <v>234</v>
      </c>
      <c r="B41" s="46">
        <v>-247</v>
      </c>
      <c r="C41" s="46">
        <v>-594</v>
      </c>
      <c r="D41" s="46">
        <v>-252</v>
      </c>
      <c r="E41" s="46">
        <v>-265</v>
      </c>
      <c r="F41" s="46">
        <v>-269</v>
      </c>
      <c r="G41" s="46">
        <v>-365</v>
      </c>
      <c r="H41" s="46">
        <v>-294</v>
      </c>
      <c r="I41" s="46">
        <v>-308</v>
      </c>
      <c r="J41" s="46">
        <v>-302</v>
      </c>
      <c r="K41" s="46">
        <v>-315</v>
      </c>
      <c r="L41" s="46">
        <v>-204</v>
      </c>
      <c r="M41" s="46">
        <v>-223</v>
      </c>
      <c r="N41" s="46">
        <v>-224</v>
      </c>
      <c r="O41" s="46">
        <v>-284</v>
      </c>
      <c r="P41" s="46">
        <v>-290</v>
      </c>
      <c r="Q41" s="46">
        <v>-235</v>
      </c>
      <c r="R41" s="46">
        <v>-264</v>
      </c>
      <c r="S41" s="46">
        <v>-339</v>
      </c>
      <c r="T41" s="46">
        <v>-258</v>
      </c>
      <c r="U41" s="46">
        <v>-241</v>
      </c>
      <c r="V41" s="46">
        <v>-232</v>
      </c>
      <c r="W41" s="115">
        <v>-1132</v>
      </c>
      <c r="X41" s="46">
        <v>-240</v>
      </c>
      <c r="Y41" s="46">
        <v>-236</v>
      </c>
    </row>
    <row r="42" spans="1:25">
      <c r="A42" s="46" t="s">
        <v>235</v>
      </c>
      <c r="B42" s="115">
        <v>1992</v>
      </c>
      <c r="C42" s="115">
        <v>1401</v>
      </c>
      <c r="D42" s="115">
        <v>1318</v>
      </c>
      <c r="E42" s="115">
        <v>2105</v>
      </c>
      <c r="F42" s="115">
        <v>2144</v>
      </c>
      <c r="G42" s="46">
        <v>-710</v>
      </c>
      <c r="H42" s="115">
        <v>1343</v>
      </c>
      <c r="I42" s="115">
        <v>1820</v>
      </c>
      <c r="J42" s="115">
        <v>2498</v>
      </c>
      <c r="K42" s="115">
        <v>6854</v>
      </c>
      <c r="L42" s="115">
        <v>1413</v>
      </c>
      <c r="M42" s="115">
        <v>2035</v>
      </c>
      <c r="N42" s="115">
        <v>2100</v>
      </c>
      <c r="O42" s="115">
        <v>1766</v>
      </c>
      <c r="P42" s="115">
        <v>1338</v>
      </c>
      <c r="Q42" s="115">
        <v>1646</v>
      </c>
      <c r="R42" s="115">
        <v>2291</v>
      </c>
      <c r="S42" s="115">
        <v>1845</v>
      </c>
      <c r="T42" s="115">
        <v>1714</v>
      </c>
      <c r="U42" s="115">
        <v>2358</v>
      </c>
      <c r="V42" s="115">
        <v>2224</v>
      </c>
      <c r="W42" s="115">
        <v>1322</v>
      </c>
      <c r="X42" s="115">
        <v>4261</v>
      </c>
      <c r="Y42" s="115">
        <v>1429</v>
      </c>
    </row>
    <row r="43" spans="1:25">
      <c r="A43" s="46" t="s">
        <v>335</v>
      </c>
      <c r="B43" s="46">
        <v>0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0</v>
      </c>
      <c r="P43" s="46">
        <v>0</v>
      </c>
      <c r="Q43" s="46">
        <v>0</v>
      </c>
      <c r="R43" s="46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</row>
    <row r="44" spans="1:25">
      <c r="A44" s="46" t="s">
        <v>336</v>
      </c>
      <c r="B44" s="46">
        <v>1.37</v>
      </c>
      <c r="C44" s="46">
        <v>0.97</v>
      </c>
      <c r="D44" s="46">
        <v>0.91</v>
      </c>
      <c r="E44" s="46">
        <v>1.46</v>
      </c>
      <c r="F44" s="46">
        <v>1.49</v>
      </c>
      <c r="G44" s="46">
        <v>-0.5</v>
      </c>
      <c r="H44" s="46">
        <v>0.94</v>
      </c>
      <c r="I44" s="46">
        <v>1.28</v>
      </c>
      <c r="J44" s="46">
        <v>1.75</v>
      </c>
      <c r="K44" s="46">
        <v>4.83</v>
      </c>
      <c r="L44" s="46">
        <v>1</v>
      </c>
      <c r="M44" s="46">
        <v>1.44</v>
      </c>
      <c r="N44" s="46">
        <v>1.49</v>
      </c>
      <c r="O44" s="46">
        <v>1.26</v>
      </c>
      <c r="P44" s="46">
        <v>0.96</v>
      </c>
      <c r="Q44" s="46">
        <v>1.18</v>
      </c>
      <c r="R44" s="46">
        <v>1.65</v>
      </c>
      <c r="S44" s="46">
        <v>1.33</v>
      </c>
      <c r="T44" s="46">
        <v>1.24</v>
      </c>
      <c r="U44" s="46">
        <v>1.7</v>
      </c>
      <c r="V44" s="46">
        <v>1.6</v>
      </c>
      <c r="W44" s="46">
        <v>0.95</v>
      </c>
      <c r="X44" s="46">
        <v>3.06</v>
      </c>
      <c r="Y44" s="46">
        <v>1.03</v>
      </c>
    </row>
    <row r="45" spans="1:25">
      <c r="A45" s="46" t="s">
        <v>337</v>
      </c>
      <c r="B45" s="46">
        <v>1.37</v>
      </c>
      <c r="C45" s="46">
        <v>0.97</v>
      </c>
      <c r="D45" s="46">
        <v>0.91</v>
      </c>
      <c r="E45" s="46">
        <v>1.46</v>
      </c>
      <c r="F45" s="46">
        <v>1.49</v>
      </c>
      <c r="G45" s="46">
        <v>-0.5</v>
      </c>
      <c r="H45" s="46">
        <v>0.94</v>
      </c>
      <c r="I45" s="46">
        <v>1.28</v>
      </c>
      <c r="J45" s="46">
        <v>1.75</v>
      </c>
      <c r="K45" s="46">
        <v>4.83</v>
      </c>
      <c r="L45" s="46">
        <v>1</v>
      </c>
      <c r="M45" s="46">
        <v>1.44</v>
      </c>
      <c r="N45" s="46">
        <v>1.49</v>
      </c>
      <c r="O45" s="46">
        <v>1.26</v>
      </c>
      <c r="P45" s="46">
        <v>0.96</v>
      </c>
      <c r="Q45" s="46">
        <v>1.18</v>
      </c>
      <c r="R45" s="46">
        <v>1.65</v>
      </c>
      <c r="S45" s="46">
        <v>1.33</v>
      </c>
      <c r="T45" s="46">
        <v>1.24</v>
      </c>
      <c r="U45" s="46">
        <v>1.7</v>
      </c>
      <c r="V45" s="46">
        <v>1.6</v>
      </c>
      <c r="W45" s="46">
        <v>0.95</v>
      </c>
      <c r="X45" s="46">
        <v>3.06</v>
      </c>
      <c r="Y45" s="46">
        <v>1.03</v>
      </c>
    </row>
    <row r="46" spans="1:25">
      <c r="A46" s="46" t="s">
        <v>338</v>
      </c>
      <c r="B46" s="46">
        <v>1.37</v>
      </c>
      <c r="C46" s="46">
        <v>0.97</v>
      </c>
      <c r="D46" s="46">
        <v>0.91</v>
      </c>
      <c r="E46" s="46">
        <v>1.46</v>
      </c>
      <c r="F46" s="46">
        <v>1.49</v>
      </c>
      <c r="G46" s="46">
        <v>-0.5</v>
      </c>
      <c r="H46" s="46">
        <v>0.94</v>
      </c>
      <c r="I46" s="46">
        <v>1.28</v>
      </c>
      <c r="J46" s="46">
        <v>1.75</v>
      </c>
      <c r="K46" s="46">
        <v>4.83</v>
      </c>
      <c r="L46" s="46">
        <v>1</v>
      </c>
      <c r="M46" s="46">
        <v>1.44</v>
      </c>
      <c r="N46" s="46">
        <v>1.49</v>
      </c>
      <c r="O46" s="46">
        <v>1.26</v>
      </c>
      <c r="P46" s="46">
        <v>0.96</v>
      </c>
      <c r="Q46" s="46">
        <v>1.18</v>
      </c>
      <c r="R46" s="46">
        <v>1.65</v>
      </c>
      <c r="S46" s="46">
        <v>1.33</v>
      </c>
      <c r="T46" s="46">
        <v>1.24</v>
      </c>
      <c r="U46" s="46">
        <v>1.7</v>
      </c>
      <c r="V46" s="46">
        <v>1.6</v>
      </c>
      <c r="W46" s="46">
        <v>0.95</v>
      </c>
      <c r="X46" s="46">
        <v>3.06</v>
      </c>
      <c r="Y46" s="46">
        <v>1.03</v>
      </c>
    </row>
    <row r="47" spans="1:25">
      <c r="A47" s="46" t="s">
        <v>339</v>
      </c>
      <c r="B47" s="46">
        <v>0.75</v>
      </c>
      <c r="C47" s="46">
        <v>0.75</v>
      </c>
      <c r="D47" s="46">
        <v>0.75</v>
      </c>
      <c r="E47" s="46">
        <v>0.81</v>
      </c>
      <c r="F47" s="46">
        <v>0.81</v>
      </c>
      <c r="G47" s="46">
        <v>0.81</v>
      </c>
      <c r="H47" s="46">
        <v>0.81</v>
      </c>
      <c r="I47" s="46">
        <v>0.93</v>
      </c>
      <c r="J47" s="46">
        <v>0.93</v>
      </c>
      <c r="K47" s="46">
        <v>0.93</v>
      </c>
      <c r="L47" s="46">
        <v>0.93</v>
      </c>
      <c r="M47" s="46">
        <v>0.96</v>
      </c>
      <c r="N47" s="46">
        <v>0.96</v>
      </c>
      <c r="O47" s="46">
        <v>0.96</v>
      </c>
      <c r="P47" s="46">
        <v>0.96</v>
      </c>
      <c r="Q47" s="46">
        <v>1.02</v>
      </c>
      <c r="R47" s="46">
        <v>1.02</v>
      </c>
      <c r="S47" s="46">
        <v>1.02</v>
      </c>
      <c r="T47" s="46">
        <v>1.02</v>
      </c>
      <c r="U47" s="46">
        <v>1.08</v>
      </c>
      <c r="V47" s="46">
        <v>1.08</v>
      </c>
      <c r="W47" s="46">
        <v>1.08</v>
      </c>
      <c r="X47" s="46">
        <v>1.08</v>
      </c>
      <c r="Y47" s="46">
        <v>1.1499999999999999</v>
      </c>
    </row>
    <row r="48" spans="1:25" ht="30">
      <c r="A48" s="46" t="s">
        <v>340</v>
      </c>
      <c r="B48" s="115">
        <v>14780</v>
      </c>
      <c r="C48" s="115">
        <v>16125</v>
      </c>
      <c r="D48" s="115">
        <v>15989</v>
      </c>
      <c r="E48" s="115">
        <v>17160</v>
      </c>
      <c r="F48" s="115">
        <v>18278</v>
      </c>
      <c r="G48" s="115">
        <v>19510</v>
      </c>
      <c r="H48" s="115">
        <v>20610</v>
      </c>
      <c r="I48" s="115">
        <v>18129</v>
      </c>
      <c r="J48" s="115">
        <v>13898</v>
      </c>
      <c r="K48" s="115">
        <v>8993</v>
      </c>
      <c r="L48" s="115">
        <v>5361</v>
      </c>
      <c r="M48" s="115">
        <v>3584</v>
      </c>
      <c r="N48" s="115">
        <v>5781</v>
      </c>
      <c r="O48" s="115">
        <v>5738</v>
      </c>
      <c r="P48" s="115">
        <v>11247</v>
      </c>
      <c r="Q48" s="115">
        <v>9123</v>
      </c>
      <c r="R48" s="115">
        <v>9705</v>
      </c>
      <c r="S48" s="115">
        <v>9551</v>
      </c>
      <c r="T48" s="115">
        <v>6625</v>
      </c>
      <c r="U48" s="115">
        <v>5777</v>
      </c>
      <c r="V48" s="115">
        <v>6850</v>
      </c>
      <c r="W48" s="115">
        <v>5988</v>
      </c>
      <c r="X48" s="115">
        <v>6904</v>
      </c>
      <c r="Y48" s="115">
        <v>5692</v>
      </c>
    </row>
    <row r="49" spans="1:25">
      <c r="A49" s="46" t="s">
        <v>242</v>
      </c>
      <c r="B49" s="115">
        <v>3120</v>
      </c>
      <c r="C49" s="115">
        <v>2723</v>
      </c>
      <c r="D49" s="115">
        <v>3282</v>
      </c>
      <c r="E49" s="115">
        <v>3612</v>
      </c>
      <c r="F49" s="115">
        <v>3251</v>
      </c>
      <c r="G49" s="115">
        <v>2947</v>
      </c>
      <c r="H49" s="115">
        <v>3335</v>
      </c>
      <c r="I49" s="115">
        <v>3491</v>
      </c>
      <c r="J49" s="115">
        <v>3142</v>
      </c>
      <c r="K49" s="115">
        <v>3128</v>
      </c>
      <c r="L49" s="115">
        <v>3554</v>
      </c>
      <c r="M49" s="115">
        <v>3988</v>
      </c>
      <c r="N49" s="115">
        <v>3667</v>
      </c>
      <c r="O49" s="115">
        <v>3338</v>
      </c>
      <c r="P49" s="115">
        <v>3600</v>
      </c>
      <c r="Q49" s="115">
        <v>4314</v>
      </c>
      <c r="R49" s="115">
        <v>4135</v>
      </c>
      <c r="S49" s="115">
        <v>4172</v>
      </c>
      <c r="T49" s="115">
        <v>4556</v>
      </c>
      <c r="U49" s="115">
        <v>5006</v>
      </c>
      <c r="V49" s="115">
        <v>4364</v>
      </c>
      <c r="W49" s="115">
        <v>4347</v>
      </c>
      <c r="X49" s="115">
        <v>4762</v>
      </c>
      <c r="Y49" s="115">
        <v>5287</v>
      </c>
    </row>
    <row r="50" spans="1:25">
      <c r="A50" s="46" t="s">
        <v>341</v>
      </c>
      <c r="B50" s="115">
        <v>27099</v>
      </c>
      <c r="C50" s="115">
        <v>26450</v>
      </c>
      <c r="D50" s="115">
        <v>27150</v>
      </c>
      <c r="E50" s="115">
        <v>29248</v>
      </c>
      <c r="F50" s="115">
        <v>30197</v>
      </c>
      <c r="G50" s="115">
        <v>31027</v>
      </c>
      <c r="H50" s="115">
        <v>33047</v>
      </c>
      <c r="I50" s="115">
        <v>30370</v>
      </c>
      <c r="J50" s="115">
        <v>25842</v>
      </c>
      <c r="K50" s="115">
        <v>21893</v>
      </c>
      <c r="L50" s="115">
        <v>17917</v>
      </c>
      <c r="M50" s="115">
        <v>17212</v>
      </c>
      <c r="N50" s="115">
        <v>19198</v>
      </c>
      <c r="O50" s="115">
        <v>17645</v>
      </c>
      <c r="P50" s="115">
        <v>24268</v>
      </c>
      <c r="Q50" s="115">
        <v>23189</v>
      </c>
      <c r="R50" s="115">
        <v>24060</v>
      </c>
      <c r="S50" s="115">
        <v>23001</v>
      </c>
      <c r="T50" s="115">
        <v>21196</v>
      </c>
      <c r="U50" s="115">
        <v>21597</v>
      </c>
      <c r="V50" s="115">
        <v>23710</v>
      </c>
      <c r="W50" s="115">
        <v>21783</v>
      </c>
      <c r="X50" s="115">
        <v>22342</v>
      </c>
      <c r="Y50" s="115">
        <v>22633</v>
      </c>
    </row>
    <row r="51" spans="1:25">
      <c r="A51" s="46" t="s">
        <v>342</v>
      </c>
      <c r="B51" s="115">
        <v>73897</v>
      </c>
      <c r="C51" s="115">
        <v>73490</v>
      </c>
      <c r="D51" s="115">
        <v>74622</v>
      </c>
      <c r="E51" s="115">
        <v>76943</v>
      </c>
      <c r="F51" s="115">
        <v>78463</v>
      </c>
      <c r="G51" s="115">
        <v>79804</v>
      </c>
      <c r="H51" s="115">
        <v>81887</v>
      </c>
      <c r="I51" s="115">
        <v>78731</v>
      </c>
      <c r="J51" s="115">
        <v>73632</v>
      </c>
      <c r="K51" s="115">
        <v>77648</v>
      </c>
      <c r="L51" s="115">
        <v>75466</v>
      </c>
      <c r="M51" s="115">
        <v>75084</v>
      </c>
      <c r="N51" s="115">
        <v>77444</v>
      </c>
      <c r="O51" s="115">
        <v>78547</v>
      </c>
      <c r="P51" s="115">
        <v>85062</v>
      </c>
      <c r="Q51" s="115">
        <v>89525</v>
      </c>
      <c r="R51" s="115">
        <v>92041</v>
      </c>
      <c r="S51" s="115">
        <v>92918</v>
      </c>
      <c r="T51" s="115">
        <v>91224</v>
      </c>
      <c r="U51" s="115">
        <v>92385</v>
      </c>
      <c r="V51" s="115">
        <v>93254</v>
      </c>
      <c r="W51" s="115">
        <v>92377</v>
      </c>
      <c r="X51" s="115">
        <v>92962</v>
      </c>
      <c r="Y51" s="115">
        <v>93103</v>
      </c>
    </row>
    <row r="52" spans="1:25">
      <c r="A52" s="46" t="s">
        <v>371</v>
      </c>
      <c r="B52" s="115">
        <v>6284</v>
      </c>
      <c r="C52" s="115">
        <v>6892</v>
      </c>
      <c r="D52" s="115">
        <v>8577</v>
      </c>
      <c r="E52" s="115">
        <v>8279</v>
      </c>
      <c r="F52" s="115">
        <v>7717</v>
      </c>
      <c r="G52" s="115">
        <v>5485</v>
      </c>
      <c r="H52" s="115">
        <v>11600</v>
      </c>
      <c r="I52" s="115">
        <v>9955</v>
      </c>
      <c r="J52" s="115">
        <v>4474</v>
      </c>
      <c r="K52" s="115">
        <v>4026</v>
      </c>
      <c r="L52" s="115">
        <v>3291</v>
      </c>
      <c r="M52" s="115">
        <v>3473</v>
      </c>
      <c r="N52" s="115">
        <v>2924</v>
      </c>
      <c r="O52" s="115">
        <v>3362</v>
      </c>
      <c r="P52" s="115">
        <v>5882</v>
      </c>
      <c r="Q52" s="115">
        <v>6607</v>
      </c>
      <c r="R52" s="115">
        <v>6692</v>
      </c>
      <c r="S52" s="115">
        <v>4240</v>
      </c>
      <c r="T52" s="115">
        <v>4674</v>
      </c>
      <c r="U52" s="115">
        <v>4264</v>
      </c>
      <c r="V52" s="115">
        <v>4234</v>
      </c>
      <c r="W52" s="115">
        <v>4754</v>
      </c>
      <c r="X52" s="115">
        <v>5459</v>
      </c>
      <c r="Y52" s="115">
        <v>6032</v>
      </c>
    </row>
    <row r="53" spans="1:25">
      <c r="A53" s="46" t="s">
        <v>372</v>
      </c>
      <c r="B53" s="115">
        <v>29322</v>
      </c>
      <c r="C53" s="115">
        <v>30053</v>
      </c>
      <c r="D53" s="115">
        <v>30081</v>
      </c>
      <c r="E53" s="115">
        <v>31205</v>
      </c>
      <c r="F53" s="115">
        <v>31452</v>
      </c>
      <c r="G53" s="115">
        <v>33796</v>
      </c>
      <c r="H53" s="115">
        <v>31931</v>
      </c>
      <c r="I53" s="115">
        <v>30638</v>
      </c>
      <c r="J53" s="115">
        <v>30643</v>
      </c>
      <c r="K53" s="115">
        <v>28295</v>
      </c>
      <c r="L53" s="115">
        <v>28458</v>
      </c>
      <c r="M53" s="115">
        <v>27712</v>
      </c>
      <c r="N53" s="115">
        <v>29630</v>
      </c>
      <c r="O53" s="115">
        <v>29148</v>
      </c>
      <c r="P53" s="115">
        <v>35361</v>
      </c>
      <c r="Q53" s="115">
        <v>38371</v>
      </c>
      <c r="R53" s="115">
        <v>37879</v>
      </c>
      <c r="S53" s="115">
        <v>40370</v>
      </c>
      <c r="T53" s="115">
        <v>38991</v>
      </c>
      <c r="U53" s="115">
        <v>38034</v>
      </c>
      <c r="V53" s="115">
        <v>37023</v>
      </c>
      <c r="W53" s="115">
        <v>36026</v>
      </c>
      <c r="X53" s="115">
        <v>34590</v>
      </c>
      <c r="Y53" s="115">
        <v>33247</v>
      </c>
    </row>
    <row r="54" spans="1:25">
      <c r="A54" s="46" t="s">
        <v>373</v>
      </c>
      <c r="B54" s="115">
        <v>35606</v>
      </c>
      <c r="C54" s="115">
        <v>36945</v>
      </c>
      <c r="D54" s="115">
        <v>38658</v>
      </c>
      <c r="E54" s="115">
        <v>39484</v>
      </c>
      <c r="F54" s="115">
        <v>39169</v>
      </c>
      <c r="G54" s="115">
        <v>39281</v>
      </c>
      <c r="H54" s="115">
        <v>43531</v>
      </c>
      <c r="I54" s="115">
        <v>40593</v>
      </c>
      <c r="J54" s="115">
        <v>35117</v>
      </c>
      <c r="K54" s="115">
        <v>32321</v>
      </c>
      <c r="L54" s="115">
        <v>31749</v>
      </c>
      <c r="M54" s="115">
        <v>31185</v>
      </c>
      <c r="N54" s="115">
        <v>32554</v>
      </c>
      <c r="O54" s="115">
        <v>32510</v>
      </c>
      <c r="P54" s="115">
        <v>41243</v>
      </c>
      <c r="Q54" s="115">
        <v>44978</v>
      </c>
      <c r="R54" s="115">
        <v>44571</v>
      </c>
      <c r="S54" s="115">
        <v>44610</v>
      </c>
      <c r="T54" s="115">
        <v>43665</v>
      </c>
      <c r="U54" s="115">
        <v>42298</v>
      </c>
      <c r="V54" s="115">
        <v>41257</v>
      </c>
      <c r="W54" s="115">
        <v>40780</v>
      </c>
      <c r="X54" s="115">
        <v>40049</v>
      </c>
      <c r="Y54" s="115">
        <v>39279</v>
      </c>
    </row>
    <row r="55" spans="1:25">
      <c r="A55" s="46" t="s">
        <v>343</v>
      </c>
      <c r="B55" s="115">
        <v>20589</v>
      </c>
      <c r="C55" s="115">
        <v>21135</v>
      </c>
      <c r="D55" s="115">
        <v>21644</v>
      </c>
      <c r="E55" s="115">
        <v>22113</v>
      </c>
      <c r="F55" s="115">
        <v>22358</v>
      </c>
      <c r="G55" s="115">
        <v>20502</v>
      </c>
      <c r="H55" s="115">
        <v>25885</v>
      </c>
      <c r="I55" s="115">
        <v>24558</v>
      </c>
      <c r="J55" s="115">
        <v>19704</v>
      </c>
      <c r="K55" s="115">
        <v>22138</v>
      </c>
      <c r="L55" s="115">
        <v>19090</v>
      </c>
      <c r="M55" s="115">
        <v>19928</v>
      </c>
      <c r="N55" s="115">
        <v>20131</v>
      </c>
      <c r="O55" s="115">
        <v>20461</v>
      </c>
      <c r="P55" s="115">
        <v>22078</v>
      </c>
      <c r="Q55" s="115">
        <v>23827</v>
      </c>
      <c r="R55" s="115">
        <v>26009</v>
      </c>
      <c r="S55" s="115">
        <v>23372</v>
      </c>
      <c r="T55" s="115">
        <v>22693</v>
      </c>
      <c r="U55" s="115">
        <v>23623</v>
      </c>
      <c r="V55" s="115">
        <v>25077</v>
      </c>
      <c r="W55" s="115">
        <v>26220</v>
      </c>
      <c r="X55" s="115">
        <v>25824</v>
      </c>
      <c r="Y55" s="115">
        <v>27223</v>
      </c>
    </row>
    <row r="56" spans="1:25">
      <c r="A56" s="46" t="s">
        <v>344</v>
      </c>
      <c r="B56" s="115">
        <v>40590</v>
      </c>
      <c r="C56" s="115">
        <v>41156</v>
      </c>
      <c r="D56" s="115">
        <v>41295</v>
      </c>
      <c r="E56" s="115">
        <v>42300</v>
      </c>
      <c r="F56" s="115">
        <v>42694</v>
      </c>
      <c r="G56" s="115">
        <v>48321</v>
      </c>
      <c r="H56" s="115">
        <v>45017</v>
      </c>
      <c r="I56" s="115">
        <v>43952</v>
      </c>
      <c r="J56" s="115">
        <v>43539</v>
      </c>
      <c r="K56" s="115">
        <v>40908</v>
      </c>
      <c r="L56" s="115">
        <v>42080</v>
      </c>
      <c r="M56" s="115">
        <v>41119</v>
      </c>
      <c r="N56" s="115">
        <v>43089</v>
      </c>
      <c r="O56" s="115">
        <v>43218</v>
      </c>
      <c r="P56" s="115">
        <v>49425</v>
      </c>
      <c r="Q56" s="115">
        <v>53111</v>
      </c>
      <c r="R56" s="115">
        <v>52437</v>
      </c>
      <c r="S56" s="115">
        <v>55994</v>
      </c>
      <c r="T56" s="115">
        <v>54478</v>
      </c>
      <c r="U56" s="115">
        <v>53364</v>
      </c>
      <c r="V56" s="115">
        <v>52187</v>
      </c>
      <c r="W56" s="115">
        <v>50006</v>
      </c>
      <c r="X56" s="115">
        <v>48818</v>
      </c>
      <c r="Y56" s="115">
        <v>47206</v>
      </c>
    </row>
    <row r="57" spans="1:25">
      <c r="A57" s="46" t="s">
        <v>345</v>
      </c>
      <c r="B57" s="115">
        <v>61179</v>
      </c>
      <c r="C57" s="115">
        <v>62291</v>
      </c>
      <c r="D57" s="115">
        <v>62939</v>
      </c>
      <c r="E57" s="115">
        <v>64413</v>
      </c>
      <c r="F57" s="115">
        <v>65052</v>
      </c>
      <c r="G57" s="115">
        <v>68823</v>
      </c>
      <c r="H57" s="115">
        <v>70902</v>
      </c>
      <c r="I57" s="115">
        <v>68510</v>
      </c>
      <c r="J57" s="115">
        <v>63243</v>
      </c>
      <c r="K57" s="115">
        <v>63046</v>
      </c>
      <c r="L57" s="115">
        <v>61170</v>
      </c>
      <c r="M57" s="115">
        <v>61047</v>
      </c>
      <c r="N57" s="115">
        <v>63220</v>
      </c>
      <c r="O57" s="115">
        <v>63679</v>
      </c>
      <c r="P57" s="115">
        <v>71503</v>
      </c>
      <c r="Q57" s="115">
        <v>76938</v>
      </c>
      <c r="R57" s="115">
        <v>78446</v>
      </c>
      <c r="S57" s="115">
        <v>79366</v>
      </c>
      <c r="T57" s="115">
        <v>77171</v>
      </c>
      <c r="U57" s="115">
        <v>76987</v>
      </c>
      <c r="V57" s="115">
        <v>77264</v>
      </c>
      <c r="W57" s="115">
        <v>76226</v>
      </c>
      <c r="X57" s="115">
        <v>74642</v>
      </c>
      <c r="Y57" s="115">
        <v>74429</v>
      </c>
    </row>
    <row r="58" spans="1:25">
      <c r="A58" s="46" t="s">
        <v>346</v>
      </c>
      <c r="B58" s="115">
        <v>12718</v>
      </c>
      <c r="C58" s="115">
        <v>11199</v>
      </c>
      <c r="D58" s="115">
        <v>11683</v>
      </c>
      <c r="E58" s="115">
        <v>12530</v>
      </c>
      <c r="F58" s="115">
        <v>13411</v>
      </c>
      <c r="G58" s="115">
        <v>10981</v>
      </c>
      <c r="H58" s="115">
        <v>10985</v>
      </c>
      <c r="I58" s="115">
        <v>10221</v>
      </c>
      <c r="J58" s="115">
        <v>10389</v>
      </c>
      <c r="K58" s="115">
        <v>14602</v>
      </c>
      <c r="L58" s="115">
        <v>14296</v>
      </c>
      <c r="M58" s="115">
        <v>14037</v>
      </c>
      <c r="N58" s="115">
        <v>14224</v>
      </c>
      <c r="O58" s="115">
        <v>14868</v>
      </c>
      <c r="P58" s="115">
        <v>13559</v>
      </c>
      <c r="Q58" s="115">
        <v>12587</v>
      </c>
      <c r="R58" s="115">
        <v>13595</v>
      </c>
      <c r="S58" s="115">
        <v>13552</v>
      </c>
      <c r="T58" s="115">
        <v>14053</v>
      </c>
      <c r="U58" s="115">
        <v>15398</v>
      </c>
      <c r="V58" s="115">
        <v>15990</v>
      </c>
      <c r="W58" s="115">
        <v>16151</v>
      </c>
      <c r="X58" s="115">
        <v>18320</v>
      </c>
      <c r="Y58" s="115">
        <v>18674</v>
      </c>
    </row>
    <row r="59" spans="1:25">
      <c r="A59" s="46" t="s">
        <v>347</v>
      </c>
      <c r="B59" s="115">
        <v>1452</v>
      </c>
      <c r="C59" s="115">
        <v>1440</v>
      </c>
      <c r="D59" s="115">
        <v>1440</v>
      </c>
      <c r="E59" s="115">
        <v>1441</v>
      </c>
      <c r="F59" s="115">
        <v>1438</v>
      </c>
      <c r="G59" s="115">
        <v>1432</v>
      </c>
      <c r="H59" s="115">
        <v>1430</v>
      </c>
      <c r="I59" s="115">
        <v>1426</v>
      </c>
      <c r="J59" s="115">
        <v>1424</v>
      </c>
      <c r="K59" s="115">
        <v>1419</v>
      </c>
      <c r="L59" s="115">
        <v>1413</v>
      </c>
      <c r="M59" s="115">
        <v>1409</v>
      </c>
      <c r="N59" s="115">
        <v>1405</v>
      </c>
      <c r="O59" s="115">
        <v>1401</v>
      </c>
      <c r="P59" s="115">
        <v>1396</v>
      </c>
      <c r="Q59" s="115">
        <v>1393</v>
      </c>
      <c r="R59" s="115">
        <v>1390</v>
      </c>
      <c r="S59" s="115">
        <v>1389</v>
      </c>
      <c r="T59" s="115">
        <v>1387</v>
      </c>
      <c r="U59" s="115">
        <v>1388</v>
      </c>
      <c r="V59" s="115">
        <v>1389</v>
      </c>
      <c r="W59" s="115">
        <v>1392</v>
      </c>
      <c r="X59" s="115">
        <v>1391</v>
      </c>
      <c r="Y59" s="115">
        <v>1389</v>
      </c>
    </row>
    <row r="60" spans="1:25">
      <c r="A60" s="46" t="s">
        <v>348</v>
      </c>
      <c r="B60" s="115">
        <v>3717</v>
      </c>
      <c r="C60" s="115">
        <v>3839</v>
      </c>
      <c r="D60" s="46">
        <v>-193</v>
      </c>
      <c r="E60" s="115">
        <v>2444</v>
      </c>
      <c r="F60" s="115">
        <v>3836</v>
      </c>
      <c r="G60" s="115">
        <v>3943</v>
      </c>
      <c r="H60" s="115">
        <v>-1309</v>
      </c>
      <c r="I60" s="115">
        <v>2396</v>
      </c>
      <c r="J60" s="115">
        <v>3645</v>
      </c>
      <c r="K60" s="115">
        <v>4683</v>
      </c>
      <c r="L60" s="46">
        <v>-345</v>
      </c>
      <c r="M60" s="115">
        <v>1733</v>
      </c>
      <c r="N60" s="115">
        <v>3675</v>
      </c>
      <c r="O60" s="115">
        <v>4586</v>
      </c>
      <c r="P60" s="46">
        <v>-749</v>
      </c>
      <c r="Q60" s="115">
        <v>2211</v>
      </c>
      <c r="R60" s="115">
        <v>4661</v>
      </c>
      <c r="S60" s="115">
        <v>4490</v>
      </c>
      <c r="T60" s="46">
        <v>-719</v>
      </c>
      <c r="U60" s="115">
        <v>3059</v>
      </c>
      <c r="V60" s="115">
        <v>4294</v>
      </c>
      <c r="W60" s="115">
        <v>4982</v>
      </c>
      <c r="X60" s="46">
        <v>-174</v>
      </c>
      <c r="Y60" s="115">
        <v>2055</v>
      </c>
    </row>
    <row r="61" spans="1:25">
      <c r="A61" s="46" t="s">
        <v>349</v>
      </c>
      <c r="B61" s="115">
        <v>-1423</v>
      </c>
      <c r="C61" s="115">
        <v>-4119</v>
      </c>
      <c r="D61" s="46">
        <v>269</v>
      </c>
      <c r="E61" s="46">
        <v>-840</v>
      </c>
      <c r="F61" s="115">
        <v>-1707</v>
      </c>
      <c r="G61" s="115">
        <v>-2125</v>
      </c>
      <c r="H61" s="115">
        <v>1396</v>
      </c>
      <c r="I61" s="115">
        <v>2431</v>
      </c>
      <c r="J61" s="115">
        <v>1771</v>
      </c>
      <c r="K61" s="115">
        <v>-1034</v>
      </c>
      <c r="L61" s="115">
        <v>-2300</v>
      </c>
      <c r="M61" s="46">
        <v>-971</v>
      </c>
      <c r="N61" s="115">
        <v>-1014</v>
      </c>
      <c r="O61" s="115">
        <v>-2152</v>
      </c>
      <c r="P61" s="46">
        <v>-925</v>
      </c>
      <c r="Q61" s="115">
        <v>-5837</v>
      </c>
      <c r="R61" s="115">
        <v>-1999</v>
      </c>
      <c r="S61" s="115">
        <v>-2858</v>
      </c>
      <c r="T61" s="46">
        <v>94</v>
      </c>
      <c r="U61" s="46">
        <v>-210</v>
      </c>
      <c r="V61" s="46">
        <v>-914</v>
      </c>
      <c r="W61" s="115">
        <v>-2239</v>
      </c>
      <c r="X61" s="115">
        <v>2955</v>
      </c>
      <c r="Y61" s="46">
        <v>-783</v>
      </c>
    </row>
    <row r="62" spans="1:25">
      <c r="A62" s="46" t="s">
        <v>350</v>
      </c>
      <c r="B62" s="46">
        <v>71</v>
      </c>
      <c r="C62" s="115">
        <v>1407</v>
      </c>
      <c r="D62" s="115">
        <v>1672</v>
      </c>
      <c r="E62" s="46">
        <v>672</v>
      </c>
      <c r="F62" s="46">
        <v>-563</v>
      </c>
      <c r="G62" s="46">
        <v>269</v>
      </c>
      <c r="H62" s="115">
        <v>4290</v>
      </c>
      <c r="I62" s="115">
        <v>-2718</v>
      </c>
      <c r="J62" s="115">
        <v>-5477</v>
      </c>
      <c r="K62" s="115">
        <v>-3057</v>
      </c>
      <c r="L62" s="46">
        <v>-612</v>
      </c>
      <c r="M62" s="46">
        <v>-561</v>
      </c>
      <c r="N62" s="115">
        <v>1417</v>
      </c>
      <c r="O62" s="46">
        <v>-599</v>
      </c>
      <c r="P62" s="115">
        <v>9384</v>
      </c>
      <c r="Q62" s="115">
        <v>3376</v>
      </c>
      <c r="R62" s="46">
        <v>-753</v>
      </c>
      <c r="S62" s="46">
        <v>-714</v>
      </c>
      <c r="T62" s="46">
        <v>-344</v>
      </c>
      <c r="U62" s="115">
        <v>-1660</v>
      </c>
      <c r="V62" s="46">
        <v>-828</v>
      </c>
      <c r="W62" s="115">
        <v>-1300</v>
      </c>
      <c r="X62" s="46">
        <v>-45</v>
      </c>
      <c r="Y62" s="46">
        <v>-378</v>
      </c>
    </row>
    <row r="63" spans="1:25">
      <c r="A63" s="46" t="s">
        <v>351</v>
      </c>
      <c r="B63" s="46">
        <v>-750</v>
      </c>
      <c r="C63" s="46">
        <v>-921</v>
      </c>
      <c r="D63" s="46">
        <v>-444</v>
      </c>
      <c r="E63" s="46">
        <v>-498</v>
      </c>
      <c r="F63" s="46">
        <v>-522</v>
      </c>
      <c r="G63" s="46">
        <v>-536</v>
      </c>
      <c r="H63" s="46">
        <v>-493</v>
      </c>
      <c r="I63" s="46">
        <v>-491</v>
      </c>
      <c r="J63" s="46">
        <v>-458</v>
      </c>
      <c r="K63" s="46">
        <v>-558</v>
      </c>
      <c r="L63" s="46">
        <v>-940</v>
      </c>
      <c r="M63" s="46">
        <v>-786</v>
      </c>
      <c r="N63" s="46">
        <v>-542</v>
      </c>
      <c r="O63" s="46">
        <v>-732</v>
      </c>
      <c r="P63" s="46">
        <v>-573</v>
      </c>
      <c r="Q63" s="46">
        <v>-564</v>
      </c>
      <c r="R63" s="46">
        <v>-406</v>
      </c>
      <c r="S63" s="46">
        <v>-457</v>
      </c>
      <c r="T63" s="46">
        <v>-106</v>
      </c>
      <c r="U63" s="46">
        <v>0</v>
      </c>
      <c r="V63" s="46">
        <v>0</v>
      </c>
      <c r="W63" s="46">
        <v>0</v>
      </c>
      <c r="X63" s="46">
        <v>-193</v>
      </c>
      <c r="Y63" s="46">
        <v>-506</v>
      </c>
    </row>
    <row r="64" spans="1:25">
      <c r="A64" s="46" t="s">
        <v>352</v>
      </c>
      <c r="B64" s="115">
        <v>-1679</v>
      </c>
      <c r="C64" s="46">
        <v>-596</v>
      </c>
      <c r="D64" s="46">
        <v>257</v>
      </c>
      <c r="E64" s="46">
        <v>-839</v>
      </c>
      <c r="F64" s="115">
        <v>-2193</v>
      </c>
      <c r="G64" s="115">
        <v>-1411</v>
      </c>
      <c r="H64" s="115">
        <v>2682</v>
      </c>
      <c r="I64" s="115">
        <v>-4340</v>
      </c>
      <c r="J64" s="115">
        <v>-7213</v>
      </c>
      <c r="K64" s="115">
        <v>-4898</v>
      </c>
      <c r="L64" s="115">
        <v>-2876</v>
      </c>
      <c r="M64" s="115">
        <v>-2563</v>
      </c>
      <c r="N64" s="46">
        <v>-390</v>
      </c>
      <c r="O64" s="115">
        <v>-2660</v>
      </c>
      <c r="P64" s="115">
        <v>7462</v>
      </c>
      <c r="Q64" s="115">
        <v>1509</v>
      </c>
      <c r="R64" s="115">
        <v>-2560</v>
      </c>
      <c r="S64" s="115">
        <v>-2592</v>
      </c>
      <c r="T64" s="115">
        <v>-1888</v>
      </c>
      <c r="U64" s="115">
        <v>-3056</v>
      </c>
      <c r="V64" s="115">
        <v>-2277</v>
      </c>
      <c r="W64" s="115">
        <v>-3559</v>
      </c>
      <c r="X64" s="115">
        <v>-1780</v>
      </c>
      <c r="Y64" s="115">
        <v>-2352</v>
      </c>
    </row>
    <row r="65" spans="1:25">
      <c r="A65" s="46" t="s">
        <v>353</v>
      </c>
      <c r="B65" s="46">
        <v>108.77</v>
      </c>
      <c r="C65" s="46">
        <v>104.63</v>
      </c>
      <c r="D65" s="46">
        <v>111.86</v>
      </c>
      <c r="E65" s="46">
        <v>115.49</v>
      </c>
      <c r="F65" s="46">
        <v>111.43</v>
      </c>
      <c r="G65" s="46">
        <v>119.92</v>
      </c>
      <c r="H65" s="46">
        <v>109.15</v>
      </c>
      <c r="I65" s="46">
        <v>108.87</v>
      </c>
      <c r="J65" s="46">
        <v>111.8</v>
      </c>
      <c r="K65" s="46">
        <v>110.48</v>
      </c>
      <c r="L65" s="46">
        <v>122.55</v>
      </c>
      <c r="M65" s="46">
        <v>131.13</v>
      </c>
      <c r="N65" s="46">
        <v>137.1</v>
      </c>
      <c r="O65" s="46">
        <v>136.66999999999999</v>
      </c>
      <c r="P65" s="46">
        <v>120.1</v>
      </c>
      <c r="Q65" s="46">
        <v>132.26</v>
      </c>
      <c r="R65" s="46">
        <v>138.6</v>
      </c>
      <c r="S65" s="46">
        <v>148.30000000000001</v>
      </c>
      <c r="T65" s="46">
        <v>141.44999999999999</v>
      </c>
      <c r="U65" s="46">
        <v>148.16999999999999</v>
      </c>
      <c r="V65" s="46">
        <v>150.41</v>
      </c>
      <c r="W65" s="46">
        <v>173.71</v>
      </c>
      <c r="X65" s="46">
        <v>167.38</v>
      </c>
      <c r="Y65" s="46">
        <v>166.66</v>
      </c>
    </row>
    <row r="66" spans="1:25">
      <c r="A66" s="46" t="s">
        <v>375</v>
      </c>
      <c r="B66" s="115">
        <v>3070</v>
      </c>
      <c r="C66" s="115">
        <v>2365</v>
      </c>
      <c r="D66" s="46">
        <v>-510</v>
      </c>
      <c r="E66" s="115">
        <v>1883</v>
      </c>
      <c r="F66" s="115">
        <v>3240</v>
      </c>
      <c r="G66" s="115">
        <v>2448</v>
      </c>
      <c r="H66" s="115">
        <v>-1661</v>
      </c>
      <c r="I66" s="115">
        <v>1803</v>
      </c>
      <c r="J66" s="115">
        <v>3012</v>
      </c>
      <c r="K66" s="115">
        <v>2979</v>
      </c>
      <c r="L66" s="46">
        <v>-787</v>
      </c>
      <c r="M66" s="115">
        <v>1008</v>
      </c>
      <c r="N66" s="115">
        <v>2883</v>
      </c>
      <c r="O66" s="115">
        <v>2313</v>
      </c>
      <c r="P66" s="115">
        <v>-1233</v>
      </c>
      <c r="Q66" s="115">
        <v>1507</v>
      </c>
      <c r="R66" s="115">
        <v>3775</v>
      </c>
      <c r="S66" s="115">
        <v>2324</v>
      </c>
      <c r="T66" s="115">
        <v>-1190</v>
      </c>
      <c r="U66" s="115">
        <v>2225</v>
      </c>
      <c r="V66" s="115">
        <v>3323</v>
      </c>
      <c r="W66" s="115">
        <v>2633</v>
      </c>
      <c r="X66" s="46">
        <v>-696</v>
      </c>
      <c r="Y66" s="115">
        <v>1078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3E899-E47D-4FDB-A16B-DE4EAEA049A2}">
  <dimension ref="A1:J60"/>
  <sheetViews>
    <sheetView zoomScale="70" zoomScaleNormal="70" workbookViewId="0">
      <selection activeCell="AE26" sqref="AE26"/>
    </sheetView>
  </sheetViews>
  <sheetFormatPr defaultRowHeight="15"/>
  <cols>
    <col min="2" max="2" width="37.28515625" bestFit="1" customWidth="1"/>
    <col min="10" max="10" width="29.28515625" bestFit="1" customWidth="1"/>
  </cols>
  <sheetData>
    <row r="1" spans="1:10">
      <c r="C1" t="str">
        <f>'Wybrane dane i wskaźniki'!M2</f>
        <v>2018</v>
      </c>
      <c r="D1" t="str">
        <f>'Wybrane dane i wskaźniki'!N2</f>
        <v>2019</v>
      </c>
      <c r="E1" t="str">
        <f>'Wybrane dane i wskaźniki'!O2</f>
        <v>2020</v>
      </c>
      <c r="F1" t="str">
        <f>'Wybrane dane i wskaźniki'!P2</f>
        <v>2021</v>
      </c>
      <c r="G1">
        <f>'Wybrane dane i wskaźniki'!Q2</f>
        <v>2022</v>
      </c>
      <c r="J1" s="118"/>
    </row>
    <row r="2" spans="1:10">
      <c r="A2" t="str">
        <f>'Wybrane dane i wskaźniki'!$B$1</f>
        <v>CSV</v>
      </c>
      <c r="B2" t="str" cm="1">
        <f t="array" ref="B2:G2">'Wybrane dane i wskaźniki'!L5:Q5</f>
        <v>P/E</v>
      </c>
      <c r="C2" s="6">
        <v>10.311004784688997</v>
      </c>
      <c r="D2" s="6">
        <v>39.307692307692307</v>
      </c>
      <c r="E2" s="6">
        <v>38.465517241379303</v>
      </c>
      <c r="F2" s="6">
        <v>28.95454545454546</v>
      </c>
      <c r="G2" s="6">
        <v>11.32394366197183</v>
      </c>
      <c r="J2" s="118"/>
    </row>
    <row r="3" spans="1:10">
      <c r="A3" t="str">
        <f>'Wybrane dane i wskaźniki (2)'!$B$1</f>
        <v>PEP</v>
      </c>
      <c r="B3" t="str" cm="1">
        <f t="array" ref="B3:G3">'Wybrane dane i wskaźniki (2)'!L5:Q5</f>
        <v>P/E</v>
      </c>
      <c r="C3" s="6">
        <v>33.915887850467293</v>
      </c>
      <c r="D3" s="6">
        <v>14.537694013303769</v>
      </c>
      <c r="E3" s="6">
        <v>27.047034764826176</v>
      </c>
      <c r="F3" s="6">
        <v>25.028716216216214</v>
      </c>
      <c r="G3" s="6">
        <v>25.099397590361445</v>
      </c>
      <c r="J3" s="118"/>
    </row>
    <row r="4" spans="1:10">
      <c r="A4" t="str">
        <f>'Wybrane dane i wskaźniki'!$B$1</f>
        <v>CSV</v>
      </c>
      <c r="B4" t="str" cm="1">
        <f t="array" ref="B4:G4">'Wybrane dane i wskaźniki'!L6:Q6</f>
        <v>P/E exc. $</v>
      </c>
      <c r="C4" s="6">
        <v>10.311004784688997</v>
      </c>
      <c r="D4" s="6">
        <v>39.307692307692307</v>
      </c>
      <c r="E4" s="6">
        <v>38.465517241379303</v>
      </c>
      <c r="F4" s="6">
        <v>28.95454545454546</v>
      </c>
      <c r="G4" s="6">
        <v>11.32394366197183</v>
      </c>
      <c r="J4" s="118"/>
    </row>
    <row r="5" spans="1:10">
      <c r="A5" t="str">
        <f>'Wybrane dane i wskaźniki (2)'!$B$1</f>
        <v>PEP</v>
      </c>
      <c r="B5" t="str" cm="1">
        <f t="array" ref="B5:G5">'Wybrane dane i wskaźniki (2)'!L6:Q6</f>
        <v>P/E exc. $</v>
      </c>
      <c r="C5" s="6">
        <v>33.915887850467293</v>
      </c>
      <c r="D5" s="6">
        <v>14.537694013303769</v>
      </c>
      <c r="E5" s="6">
        <v>27.047034764826176</v>
      </c>
      <c r="F5" s="6">
        <v>25.028716216216214</v>
      </c>
      <c r="G5" s="6">
        <v>25.099397590361445</v>
      </c>
      <c r="J5" s="118"/>
    </row>
    <row r="6" spans="1:10">
      <c r="A6" t="str">
        <f>'Wybrane dane i wskaźniki'!$B$1</f>
        <v>CSV</v>
      </c>
      <c r="B6" t="str" cm="1">
        <f t="array" ref="B6:G6">'Wybrane dane i wskaźniki'!L7:Q7</f>
        <v>P/S</v>
      </c>
      <c r="C6" s="6">
        <v>1.5360519207683074</v>
      </c>
      <c r="D6" s="6">
        <v>1.36529612587205</v>
      </c>
      <c r="E6" s="6">
        <v>1.2932916814273292</v>
      </c>
      <c r="F6" s="6">
        <v>2.1689501418727199</v>
      </c>
      <c r="G6" s="6">
        <v>1.3825196808081892</v>
      </c>
      <c r="J6" s="118"/>
    </row>
    <row r="7" spans="1:10">
      <c r="A7" t="str">
        <f>'Wybrane dane i wskaźniki (2)'!$B$1</f>
        <v>PEP</v>
      </c>
      <c r="B7" t="str" cm="1">
        <f t="array" ref="B7:G7">'Wybrane dane i wskaźniki (2)'!L7:Q7</f>
        <v>P/S</v>
      </c>
      <c r="C7" s="6">
        <v>2.4100192492781525</v>
      </c>
      <c r="D7" s="6">
        <v>2.8276173058675891</v>
      </c>
      <c r="E7" s="6">
        <v>2.7232414934815381</v>
      </c>
      <c r="F7" s="6">
        <v>2.7574643015164311</v>
      </c>
      <c r="G7" s="6">
        <v>2.8278168136620168</v>
      </c>
      <c r="J7" s="118"/>
    </row>
    <row r="8" spans="1:10">
      <c r="A8" t="str">
        <f>'Wybrane dane i wskaźniki'!$B$1</f>
        <v>CSV</v>
      </c>
      <c r="B8" t="str" cm="1">
        <f t="array" ref="B8:G8">'Wybrane dane i wskaźniki'!L8:Q8</f>
        <v>Stopa dywidendy</v>
      </c>
      <c r="C8" s="32">
        <v>1.4849187935034803E-2</v>
      </c>
      <c r="D8" s="32">
        <v>1.5655577299412915E-2</v>
      </c>
      <c r="E8" s="32">
        <v>1.4791573285522186E-2</v>
      </c>
      <c r="F8" s="32">
        <v>8.9706212155191752E-3</v>
      </c>
      <c r="G8" s="32">
        <v>1.3681592039800997E-2</v>
      </c>
      <c r="J8" s="118"/>
    </row>
    <row r="9" spans="1:10">
      <c r="A9" t="str">
        <f>'Wybrane dane i wskaźniki (2)'!$B$1</f>
        <v>PEP</v>
      </c>
      <c r="B9" t="str" cm="1">
        <f t="array" ref="B9:G9">'Wybrane dane i wskaźniki (2)'!L8:Q8</f>
        <v>Stopa dywidendy</v>
      </c>
      <c r="C9" s="32">
        <v>3.0862496555524938E-2</v>
      </c>
      <c r="D9" s="32">
        <v>2.8597574925646307E-2</v>
      </c>
      <c r="E9" s="32">
        <v>2.9487373355511871E-2</v>
      </c>
      <c r="F9" s="32">
        <v>2.7940878720388748E-2</v>
      </c>
      <c r="G9" s="32">
        <v>2.634105364214569E-2</v>
      </c>
      <c r="J9" s="118"/>
    </row>
    <row r="10" spans="1:10">
      <c r="A10" t="str">
        <f>'Wybrane dane i wskaźniki'!$B$1</f>
        <v>CSV</v>
      </c>
      <c r="B10" t="str" cm="1">
        <f t="array" ref="B10:G10">'Wybrane dane i wskaźniki'!L9:Q9</f>
        <v>% zysku wypłacony w formie dywidendy</v>
      </c>
      <c r="C10" s="32">
        <v>0.15311004784688997</v>
      </c>
      <c r="D10" s="32">
        <v>0.61538461538461542</v>
      </c>
      <c r="E10" s="32">
        <v>0.56896551724137923</v>
      </c>
      <c r="F10" s="32">
        <v>0.25974025974025977</v>
      </c>
      <c r="G10" s="32">
        <v>0.15492957746478875</v>
      </c>
      <c r="J10" s="118"/>
    </row>
    <row r="11" spans="1:10">
      <c r="A11" t="str">
        <f>'Wybrane dane i wskaźniki (2)'!$B$1</f>
        <v>PEP</v>
      </c>
      <c r="B11" t="str" cm="1">
        <f t="array" ref="B11:G11">'Wybrane dane i wskaźniki (2)'!L9:Q9</f>
        <v>% zysku wypłacony w formie dywidendy</v>
      </c>
      <c r="C11" s="32">
        <v>1.0467289719626169</v>
      </c>
      <c r="D11" s="32">
        <v>0.41574279379157431</v>
      </c>
      <c r="E11" s="32">
        <v>0.79754601226993871</v>
      </c>
      <c r="F11" s="32">
        <v>0.69932432432432445</v>
      </c>
      <c r="G11" s="32">
        <v>0.66114457831325313</v>
      </c>
      <c r="J11" s="118"/>
    </row>
    <row r="12" spans="1:10">
      <c r="A12" t="str">
        <f>'Wybrane dane i wskaźniki'!$B$1</f>
        <v>CSV</v>
      </c>
      <c r="B12" t="str" cm="1">
        <f t="array" ref="B12:G12">'Wybrane dane i wskaźniki'!L10:Q10</f>
        <v>Marża zysku netto</v>
      </c>
      <c r="C12" s="32">
        <v>0.13869297719087634</v>
      </c>
      <c r="D12" s="32">
        <v>3.4548018405818615E-2</v>
      </c>
      <c r="E12" s="32">
        <v>3.3171234420791604E-2</v>
      </c>
      <c r="F12" s="32">
        <v>7.6151871368733956E-2</v>
      </c>
      <c r="G12" s="32">
        <v>0.1249630565033988</v>
      </c>
      <c r="J12" s="118"/>
    </row>
    <row r="13" spans="1:10">
      <c r="A13" t="str">
        <f>'Wybrane dane i wskaźniki (2)'!$B$1</f>
        <v>PEP</v>
      </c>
      <c r="B13" t="str" cm="1">
        <f t="array" ref="B13:G13">'Wybrane dane i wskaźniki (2)'!L11:Q11</f>
        <v>Marża zysku netto</v>
      </c>
      <c r="C13" s="32">
        <v>7.1362041665373036E-2</v>
      </c>
      <c r="D13" s="32">
        <v>0.19589238162284595</v>
      </c>
      <c r="E13" s="32">
        <v>0.10125048038549088</v>
      </c>
      <c r="F13" s="32">
        <v>0.11005188850006034</v>
      </c>
      <c r="G13" s="32">
        <v>0.11282402091324424</v>
      </c>
    </row>
    <row r="14" spans="1:10">
      <c r="A14" t="str">
        <f>'Wybrane dane i wskaźniki'!$B$1</f>
        <v>CSV</v>
      </c>
      <c r="B14" t="str" cm="1">
        <f t="array" ref="B14:G14">'Wybrane dane i wskaźniki'!L11:Q11</f>
        <v>Rotacja Aktywów</v>
      </c>
      <c r="C14" s="6">
        <v>0</v>
      </c>
      <c r="D14" s="6">
        <v>0.28353332947545073</v>
      </c>
      <c r="E14" s="6">
        <v>0.29960439984561943</v>
      </c>
      <c r="F14" s="6">
        <v>0.32394884050739292</v>
      </c>
      <c r="G14" s="6">
        <v>0.32205281738889657</v>
      </c>
    </row>
    <row r="15" spans="1:10">
      <c r="A15" t="str">
        <f>'Wybrane dane i wskaźniki (2)'!$B$1</f>
        <v>PEP</v>
      </c>
      <c r="B15" t="str" cm="1">
        <f t="array" ref="B15:G15">'Wybrane dane i wskaźniki (2)'!L12:Q12</f>
        <v>Rotacja Aktywów</v>
      </c>
      <c r="C15" s="6">
        <v>0</v>
      </c>
      <c r="D15" s="6">
        <v>0.8496180476546501</v>
      </c>
      <c r="E15" s="6">
        <v>0.8219963671488193</v>
      </c>
      <c r="F15" s="6">
        <v>0.81999890055521962</v>
      </c>
      <c r="G15" s="6">
        <v>0.88266626412490301</v>
      </c>
    </row>
    <row r="16" spans="1:10">
      <c r="A16" t="str">
        <f>'Wybrane dane i wskaźniki'!$B$1</f>
        <v>CSV</v>
      </c>
      <c r="B16" t="str" cm="1">
        <f t="array" ref="B16:G16">'Wybrane dane i wskaźniki'!L12:Q12</f>
        <v>Mnożnik kapitału własnego</v>
      </c>
      <c r="C16" s="6">
        <v>0</v>
      </c>
      <c r="D16" s="6">
        <v>4.076146159454475</v>
      </c>
      <c r="E16" s="6">
        <v>4.5325927707681881</v>
      </c>
      <c r="F16" s="6">
        <v>5.3721635666752885</v>
      </c>
      <c r="G16" s="6">
        <v>7.1917607890724673</v>
      </c>
    </row>
    <row r="17" spans="1:7">
      <c r="A17" t="str">
        <f>'Wybrane dane i wskaźniki (2)'!$B$1</f>
        <v>PEP</v>
      </c>
      <c r="B17" t="str" cm="1">
        <f t="array" ref="B17:G17">'Wybrane dane i wskaźniki (2)'!L13:Q13</f>
        <v>Mnożnik kapitału własnego</v>
      </c>
      <c r="C17" s="6">
        <v>0</v>
      </c>
      <c r="D17" s="6">
        <v>6.3407947893478438</v>
      </c>
      <c r="E17" s="6">
        <v>6.1827298677884617</v>
      </c>
      <c r="F17" s="6">
        <v>6.5002680007146685</v>
      </c>
      <c r="G17" s="6">
        <v>5.4440009391876023</v>
      </c>
    </row>
    <row r="18" spans="1:7">
      <c r="A18" t="str">
        <f>'Wybrane dane i wskaźniki'!$B$1</f>
        <v>CSV</v>
      </c>
      <c r="C18" s="6" t="str" cm="1">
        <f t="array" ref="C18:G18">'Wybrane dane i wskaźniki'!M13:Q13</f>
        <v>ROA</v>
      </c>
      <c r="D18" s="6">
        <v>9.7955146853809048E-3</v>
      </c>
      <c r="E18" s="6">
        <v>9.9382477807796223E-3</v>
      </c>
      <c r="F18" s="6">
        <v>2.4669310432369498E-2</v>
      </c>
      <c r="G18" s="6">
        <v>4.0244704416447459E-2</v>
      </c>
    </row>
    <row r="19" spans="1:7">
      <c r="A19" t="str">
        <f>'Wybrane dane i wskaźniki (2)'!$B$1</f>
        <v>PEP</v>
      </c>
      <c r="C19" s="6" t="str" cm="1">
        <f t="array" ref="C19:G19">'Wybrane dane i wskaźniki (2)'!M14:Q14</f>
        <v>ROA</v>
      </c>
      <c r="D19" s="6">
        <v>0.16643370282482203</v>
      </c>
      <c r="E19" s="6">
        <v>8.3227527048946287E-2</v>
      </c>
      <c r="F19" s="6">
        <v>9.0242427574075093E-2</v>
      </c>
      <c r="G19" s="6">
        <v>9.9585957043043224E-2</v>
      </c>
    </row>
    <row r="20" spans="1:7">
      <c r="A20" t="str">
        <f>'Wybrane dane i wskaźniki'!$B$1</f>
        <v>CSV</v>
      </c>
      <c r="C20" s="6" t="str" cm="1">
        <f t="array" ref="C20:G20">'Wybrane dane i wskaźniki'!M14:Q14</f>
        <v>ROE</v>
      </c>
      <c r="D20" s="6">
        <v>3.9927949564695288E-2</v>
      </c>
      <c r="E20" s="6">
        <v>4.5046030045264703E-2</v>
      </c>
      <c r="F20" s="6">
        <v>0.13252757071977803</v>
      </c>
      <c r="G20" s="6">
        <v>0.2894302871900184</v>
      </c>
    </row>
    <row r="21" spans="1:7">
      <c r="A21" t="str">
        <f>'Wybrane dane i wskaźniki (2)'!$B$1</f>
        <v>PEP</v>
      </c>
      <c r="C21" s="6" t="str" cm="1">
        <f t="array" ref="C21:G21">'Wybrane dane i wskaźniki (2)'!M15:Q15</f>
        <v>ROE</v>
      </c>
      <c r="D21" s="6">
        <v>1.055321955643499</v>
      </c>
      <c r="E21" s="6">
        <v>0.51457331730769229</v>
      </c>
      <c r="F21" s="6">
        <v>0.58659996426657135</v>
      </c>
      <c r="G21" s="6">
        <v>0.54214604367222352</v>
      </c>
    </row>
    <row r="22" spans="1:7">
      <c r="A22" t="str">
        <f>'Wybrane dane i wskaźniki'!$B$1</f>
        <v>CSV</v>
      </c>
      <c r="B22" t="str" cm="1">
        <f t="array" ref="B22:G22">'Wybrane dane i wskaźniki'!L16:Q16</f>
        <v>Pokrycie odsetek zyskiem</v>
      </c>
      <c r="C22" s="6">
        <v>3.138562705495537</v>
      </c>
      <c r="D22" s="6">
        <v>2.3365796649785744</v>
      </c>
      <c r="E22" s="6">
        <v>2.1834543732238711</v>
      </c>
      <c r="F22" s="6">
        <v>3.1874551971326168</v>
      </c>
      <c r="G22" s="6">
        <v>4.5752551020408161</v>
      </c>
    </row>
    <row r="23" spans="1:7">
      <c r="A23" t="str">
        <f>'Wybrane dane i wskaźniki (2)'!$B$1</f>
        <v>PEP</v>
      </c>
      <c r="B23" t="str" cm="1">
        <f t="array" ref="B23:G23">'Wybrane dane i wskaźniki (2)'!L17:Q17</f>
        <v>Pokrycie odsetek zyskiem</v>
      </c>
      <c r="C23" s="6">
        <v>14.560175054704596</v>
      </c>
      <c r="D23" s="6">
        <v>13.807734806629835</v>
      </c>
      <c r="E23" s="6">
        <v>12.293320425943852</v>
      </c>
      <c r="F23" s="6">
        <v>13.445553539019963</v>
      </c>
      <c r="G23" s="6">
        <v>9.0614130434782609</v>
      </c>
    </row>
    <row r="24" spans="1:7">
      <c r="A24" t="str">
        <f>'Wybrane dane i wskaźniki'!$B$1</f>
        <v>CSV</v>
      </c>
      <c r="B24" t="str" cm="1">
        <f t="array" ref="B24:G24">'Wybrane dane i wskaźniki'!L17:Q17</f>
        <v>Debt/EBITDA</v>
      </c>
      <c r="C24" s="6">
        <v>5.401975456450165</v>
      </c>
      <c r="D24" s="6">
        <v>6.333611203734578</v>
      </c>
      <c r="E24" s="6">
        <v>7.0448300795372374</v>
      </c>
      <c r="F24" s="6">
        <v>5.7514899359046439</v>
      </c>
      <c r="G24" s="6">
        <v>5.5006040330824266</v>
      </c>
    </row>
    <row r="25" spans="1:7">
      <c r="A25" t="str">
        <f>'Wybrane dane i wskaźniki (2)'!$B$1</f>
        <v>PEP</v>
      </c>
      <c r="B25" t="str" cm="1">
        <f t="array" ref="B25:G25">'Wybrane dane i wskaźniki (2)'!L18:Q18</f>
        <v>Debt/EBITDA</v>
      </c>
      <c r="C25" s="6">
        <v>3.0502705139765554</v>
      </c>
      <c r="D25" s="6">
        <v>2.495598591549296</v>
      </c>
      <c r="E25" s="6">
        <v>3.5418536892668713</v>
      </c>
      <c r="F25" s="6">
        <v>2.8546939326449348</v>
      </c>
      <c r="G25" s="6">
        <v>2.355844778983986</v>
      </c>
    </row>
    <row r="26" spans="1:7">
      <c r="A26" t="str">
        <f>'Wybrane dane i wskaźniki'!$B$1</f>
        <v>CSV</v>
      </c>
      <c r="C26" s="6" t="str" cm="1">
        <f t="array" ref="C26:G26">'Wybrane dane i wskaźniki'!M18:Q18</f>
        <v>Ogólne zadłużenie</v>
      </c>
      <c r="D26" s="6">
        <v>0.7546702299473399</v>
      </c>
      <c r="E26" s="6">
        <v>0.77937572365881891</v>
      </c>
      <c r="F26" s="6">
        <v>0.81385963530040017</v>
      </c>
      <c r="G26" s="6">
        <v>0.86095632008860579</v>
      </c>
    </row>
    <row r="27" spans="1:7">
      <c r="A27" t="str">
        <f>'Wybrane dane i wskaźniki (2)'!$B$1</f>
        <v>PEP</v>
      </c>
      <c r="C27" s="6" t="str" cm="1">
        <f t="array" ref="C27:G27">'Wybrane dane i wskaźniki (2)'!M19:Q19</f>
        <v>Ogólne zadłużenie</v>
      </c>
      <c r="D27" s="6">
        <v>0.84229106394044795</v>
      </c>
      <c r="E27" s="6">
        <v>0.83825914743422292</v>
      </c>
      <c r="F27" s="6">
        <v>0.84616018910450219</v>
      </c>
      <c r="G27" s="6">
        <v>0.81631156732511001</v>
      </c>
    </row>
    <row r="28" spans="1:7">
      <c r="A28" t="str">
        <f>'Wybrane dane i wskaźniki'!$B$1</f>
        <v>CSV</v>
      </c>
      <c r="B28" t="str" cm="1">
        <f t="array" ref="B28:G28">'Wybrane dane i wskaźniki'!L19:Q19</f>
        <v>Zobowiązania do k. własnych</v>
      </c>
      <c r="C28" s="6">
        <v>0</v>
      </c>
      <c r="D28" s="6">
        <v>3.076146159454475</v>
      </c>
      <c r="E28" s="6">
        <v>3.5325927707681877</v>
      </c>
      <c r="F28" s="6">
        <v>4.3721870811484473</v>
      </c>
      <c r="G28" s="6">
        <v>6.191791903917359</v>
      </c>
    </row>
    <row r="29" spans="1:7">
      <c r="A29" t="str">
        <f>'Wybrane dane i wskaźniki (2)'!$B$1</f>
        <v>PEP</v>
      </c>
      <c r="B29" t="str" cm="1">
        <f t="array" ref="B29:G29">'Wybrane dane i wskaźniki (2)'!L20:Q20</f>
        <v>Zobowiązania do k. własnych</v>
      </c>
      <c r="C29" s="6">
        <v>0</v>
      </c>
      <c r="D29" s="6">
        <v>5.3407947893478438</v>
      </c>
      <c r="E29" s="6">
        <v>5.1827298677884617</v>
      </c>
      <c r="F29" s="6">
        <v>5.5002680007146685</v>
      </c>
      <c r="G29" s="6">
        <v>4.4440009391876023</v>
      </c>
    </row>
    <row r="30" spans="1:7">
      <c r="A30" t="str">
        <f>'Wybrane dane i wskaźniki'!$B$1</f>
        <v>CSV</v>
      </c>
      <c r="B30" t="str" cm="1">
        <f t="array" ref="B30:G30">'Wybrane dane i wskaźniki'!L20:Q20</f>
        <v>Debt/equity</v>
      </c>
      <c r="C30" s="6" t="str">
        <v>Debt/equity</v>
      </c>
      <c r="D30" s="6">
        <v>1.5886477677231201</v>
      </c>
      <c r="E30" s="6">
        <v>1.8959567907983643</v>
      </c>
      <c r="F30" s="6">
        <v>2.3482258330002117</v>
      </c>
      <c r="G30" s="6">
        <v>3.4332119854382532</v>
      </c>
    </row>
    <row r="31" spans="1:7">
      <c r="A31" t="str">
        <f>'Wybrane dane i wskaźniki (2)'!$B$1</f>
        <v>PEP</v>
      </c>
      <c r="B31" t="str" cm="1">
        <f t="array" ref="B31:G31">'Wybrane dane i wskaźniki (2)'!L21:Q21</f>
        <v>Debt/equity</v>
      </c>
      <c r="C31" s="6" t="str">
        <v>Debt/equity</v>
      </c>
      <c r="D31" s="6">
        <v>2.9589413801632451</v>
      </c>
      <c r="E31" s="6">
        <v>2.8606896033653846</v>
      </c>
      <c r="F31" s="6">
        <v>3.1186707164552439</v>
      </c>
      <c r="G31" s="6">
        <v>2.3942533458558346</v>
      </c>
    </row>
    <row r="32" spans="1:7">
      <c r="A32" t="str">
        <f>'Wybrane dane i wskaźniki'!$B$1</f>
        <v>CSV</v>
      </c>
      <c r="B32" t="str" cm="1">
        <f t="array" ref="B32:G32">'Wybrane dane i wskaźniki'!L21:Q21</f>
        <v>Struktura zobowiązań</v>
      </c>
      <c r="C32" s="6">
        <v>0</v>
      </c>
      <c r="D32" s="6">
        <v>1.9028113737600472</v>
      </c>
      <c r="E32" s="6">
        <v>1.8919089564157003</v>
      </c>
      <c r="F32" s="6">
        <v>1.8826262800103257</v>
      </c>
      <c r="G32" s="6">
        <v>1.8891948662800631</v>
      </c>
    </row>
    <row r="33" spans="1:7">
      <c r="A33" t="str">
        <f>'Wybrane dane i wskaźniki (2)'!$B$1</f>
        <v>PEP</v>
      </c>
      <c r="B33" t="str" cm="1">
        <f t="array" ref="B33:G33">'Wybrane dane i wskaźniki (2)'!L22:Q22</f>
        <v>Struktura zobowiązań</v>
      </c>
      <c r="C33" s="6">
        <v>0</v>
      </c>
      <c r="D33" s="6">
        <v>1.313259800705481</v>
      </c>
      <c r="E33" s="6">
        <v>1.3658006305033157</v>
      </c>
      <c r="F33" s="6">
        <v>1.3834659736884847</v>
      </c>
      <c r="G33" s="6">
        <v>1.3283933005758968</v>
      </c>
    </row>
    <row r="34" spans="1:7">
      <c r="A34" t="str">
        <f>'Wybrane dane i wskaźniki'!$B$1</f>
        <v>CSV</v>
      </c>
      <c r="B34" t="str" cm="1">
        <f t="array" ref="B34:G34">'Wybrane dane i wskaźniki'!L22:Q22</f>
        <v>Struktura zadłużenia</v>
      </c>
      <c r="C34" s="6">
        <v>0</v>
      </c>
      <c r="D34" s="6" t="str">
        <v>Debt = 0</v>
      </c>
      <c r="E34" s="6">
        <v>3.6844705405952629</v>
      </c>
      <c r="F34" s="6">
        <v>3.5250507473703632</v>
      </c>
      <c r="G34" s="6">
        <v>3.5052822366642298</v>
      </c>
    </row>
    <row r="35" spans="1:7">
      <c r="A35" t="str">
        <f>'Wybrane dane i wskaźniki (2)'!$B$1</f>
        <v>PEP</v>
      </c>
      <c r="B35" t="str" cm="1">
        <f t="array" ref="B35:G35">'Wybrane dane i wskaźniki (2)'!L23:Q23</f>
        <v>Struktura zadłużenia</v>
      </c>
      <c r="C35" s="6">
        <v>0</v>
      </c>
      <c r="D35" s="6" t="str">
        <v>Debt = 0</v>
      </c>
      <c r="E35" s="6">
        <v>2.3703920421299007</v>
      </c>
      <c r="F35" s="6">
        <v>2.4744298412615051</v>
      </c>
      <c r="G35" s="6">
        <v>2.439960584811403</v>
      </c>
    </row>
    <row r="36" spans="1:7">
      <c r="A36" t="str">
        <f>'Wybrane dane i wskaźniki'!$B$1</f>
        <v>CSV</v>
      </c>
      <c r="B36" t="str" cm="1">
        <f t="array" ref="B36:G36">'Wybrane dane i wskaźniki'!L37:Q37</f>
        <v>Zadłużenie netto jako % kapitalizacji</v>
      </c>
      <c r="C36" s="32">
        <v>0.85844425448772732</v>
      </c>
      <c r="D36" s="32">
        <v>1.0167427701674276</v>
      </c>
      <c r="E36" s="32">
        <v>1.2112655012699836</v>
      </c>
      <c r="F36" s="32">
        <v>0.63590491141511551</v>
      </c>
      <c r="G36" s="32">
        <v>1.1487484452736318</v>
      </c>
    </row>
    <row r="37" spans="1:7">
      <c r="A37" t="str">
        <f>'Wybrane dane i wskaźniki (2)'!$B$1</f>
        <v>PEP</v>
      </c>
      <c r="B37" t="str" cm="1">
        <f t="array" ref="B37:G37">'Wybrane dane i wskaźniki (2)'!L38:Q38</f>
        <v>Zadłużenie netto jako % kapitalizacji</v>
      </c>
      <c r="C37" s="32">
        <v>0.14469693836892075</v>
      </c>
      <c r="D37" s="32">
        <v>0.14938664121556919</v>
      </c>
      <c r="E37" s="32">
        <v>0.19461221338595508</v>
      </c>
      <c r="F37" s="32">
        <v>0.17757953468434012</v>
      </c>
      <c r="G37" s="32">
        <v>0.1450900368628136</v>
      </c>
    </row>
    <row r="38" spans="1:7">
      <c r="A38" t="str">
        <f>'Wybrane dane i wskaźniki'!$B$1</f>
        <v>CSV</v>
      </c>
      <c r="B38" t="str" cm="1">
        <f t="array" ref="B38:G38">'Wybrane dane i wskaźniki'!L41:Q41</f>
        <v>P/CFO</v>
      </c>
      <c r="C38" s="6">
        <v>7.7065687935253155</v>
      </c>
      <c r="D38" s="6">
        <v>7.9395770392749263</v>
      </c>
      <c r="E38" s="6">
        <v>5.3551140152020267</v>
      </c>
      <c r="F38" s="6">
        <v>9.4659747611746674</v>
      </c>
      <c r="G38" s="6">
        <v>7.9653250773993793</v>
      </c>
    </row>
    <row r="39" spans="1:7">
      <c r="A39" t="str">
        <f>'Wybrane dane i wskaźniki (2)'!$B$1</f>
        <v>PEP</v>
      </c>
      <c r="B39" t="str" cm="1">
        <f t="array" ref="B39:G39">'Wybrane dane i wskaźniki (2)'!L42:Q42</f>
        <v>P/CFO</v>
      </c>
      <c r="C39" s="6">
        <v>17.51055944055944</v>
      </c>
      <c r="D39" s="6">
        <v>19.016279333058872</v>
      </c>
      <c r="E39" s="6">
        <v>18.948696904247658</v>
      </c>
      <c r="F39" s="6">
        <v>17.897481507266555</v>
      </c>
      <c r="G39" s="6">
        <v>20.748475396611994</v>
      </c>
    </row>
    <row r="40" spans="1:7">
      <c r="A40" t="str">
        <f>'Wybrane dane i wskaźniki'!$B$1</f>
        <v>CSV</v>
      </c>
      <c r="B40" t="str" cm="1">
        <f t="array" ref="B40:G40">'Wybrane dane i wskaźniki'!L42:Q42</f>
        <v>P/CFO ex. $</v>
      </c>
      <c r="C40" s="6">
        <v>7.7065687935253155</v>
      </c>
      <c r="D40" s="6">
        <v>7.9395770392749263</v>
      </c>
      <c r="E40" s="6">
        <v>5.3551140152020267</v>
      </c>
      <c r="F40" s="6">
        <v>9.4659747611746674</v>
      </c>
      <c r="G40" s="6">
        <v>7.9653250773993793</v>
      </c>
    </row>
    <row r="41" spans="1:7">
      <c r="A41" t="str">
        <f>'Wybrane dane i wskaźniki (2)'!$B$1</f>
        <v>PEP</v>
      </c>
      <c r="B41" t="str" cm="1">
        <f t="array" ref="B41:G41">'Wybrane dane i wskaźniki (2)'!L43:Q43</f>
        <v>P/CFO ex. $</v>
      </c>
      <c r="C41" s="6">
        <v>17.51055944055944</v>
      </c>
      <c r="D41" s="6">
        <v>19.016279333058872</v>
      </c>
      <c r="E41" s="6">
        <v>18.948696904247658</v>
      </c>
      <c r="F41" s="6">
        <v>17.897481507266555</v>
      </c>
      <c r="G41" s="6">
        <v>20.748475396611994</v>
      </c>
    </row>
    <row r="42" spans="1:7">
      <c r="A42" t="str">
        <f>'Wybrane dane i wskaźniki'!$B$1</f>
        <v>CSV</v>
      </c>
      <c r="B42" t="str" cm="1">
        <f t="array" ref="B42:G42">'Wybrane dane i wskaźniki'!L44:Q44</f>
        <v>P/EBITDA</v>
      </c>
      <c r="C42" s="6">
        <v>6.127656390302306</v>
      </c>
      <c r="D42" s="6">
        <v>6.1340446815605194</v>
      </c>
      <c r="E42" s="6">
        <v>5.8073752711496738</v>
      </c>
      <c r="F42" s="6">
        <v>9.0253007983807478</v>
      </c>
      <c r="G42" s="6">
        <v>4.7817117368274316</v>
      </c>
    </row>
    <row r="43" spans="1:7">
      <c r="A43" t="str">
        <f>'Wybrane dane i wskaźniki (2)'!$B$1</f>
        <v>PEP</v>
      </c>
      <c r="B43" t="str" cm="1">
        <f t="array" ref="B43:G43">'Wybrane dane i wskaźniki (2)'!L45:Q45</f>
        <v>P/EBITDA</v>
      </c>
      <c r="C43" s="6">
        <v>11.665811541929667</v>
      </c>
      <c r="D43" s="6">
        <v>14.785705025608195</v>
      </c>
      <c r="E43" s="6">
        <v>14.508085676037483</v>
      </c>
      <c r="F43" s="6">
        <v>13.88</v>
      </c>
      <c r="G43" s="6">
        <v>13.88416841600192</v>
      </c>
    </row>
    <row r="44" spans="1:7">
      <c r="A44" t="str">
        <f>'Wybrane dane i wskaźniki'!$B$1</f>
        <v>CSV</v>
      </c>
      <c r="B44" t="str" cm="1">
        <f t="array" ref="B44:G44">'Wybrane dane i wskaźniki'!L45:Q45</f>
        <v>P/EBITDA ex. $</v>
      </c>
      <c r="C44" s="6">
        <v>6.127656390302306</v>
      </c>
      <c r="D44" s="6">
        <v>6.1340446815605194</v>
      </c>
      <c r="E44" s="6">
        <v>5.8073752711496738</v>
      </c>
      <c r="F44" s="6">
        <v>9.0253007983807478</v>
      </c>
      <c r="G44" s="6">
        <v>4.7817117368274316</v>
      </c>
    </row>
    <row r="45" spans="1:7">
      <c r="A45" t="str">
        <f>'Wybrane dane i wskaźniki (2)'!$B$1</f>
        <v>PEP</v>
      </c>
      <c r="B45" t="str" cm="1">
        <f t="array" ref="B45:G45">'Wybrane dane i wskaźniki (2)'!L46:Q46</f>
        <v>P/EBITDA ex. $</v>
      </c>
      <c r="C45" s="6">
        <v>11.665811541929667</v>
      </c>
      <c r="D45" s="6">
        <v>14.785705025608195</v>
      </c>
      <c r="E45" s="6">
        <v>14.508085676037483</v>
      </c>
      <c r="F45" s="6">
        <v>13.88</v>
      </c>
      <c r="G45" s="6">
        <v>13.88416841600192</v>
      </c>
    </row>
    <row r="46" spans="1:7">
      <c r="A46" t="str">
        <f>'Wybrane dane i wskaźniki'!$B$1</f>
        <v>CSV</v>
      </c>
      <c r="B46" t="str" cm="1">
        <f t="array" ref="B46:G46">'Wybrane dane i wskaźniki'!L47:Q47</f>
        <v>Debt ex cash/EBITDA</v>
      </c>
      <c r="C46" s="6">
        <v>5.2602514217300209</v>
      </c>
      <c r="D46" s="6">
        <v>6.2367455818606192</v>
      </c>
      <c r="E46" s="6">
        <v>7.0342733188720166</v>
      </c>
      <c r="F46" s="6">
        <v>5.7392331046890819</v>
      </c>
      <c r="G46" s="6">
        <v>5.4929839234271896</v>
      </c>
    </row>
    <row r="47" spans="1:7">
      <c r="A47" t="str">
        <f>'Wybrane dane i wskaźniki (2)'!$B$1</f>
        <v>PEP</v>
      </c>
      <c r="B47" t="str" cm="1">
        <f t="array" ref="B47:G47">'Wybrane dane i wskaźniki (2)'!L48:Q48</f>
        <v>Debt ex cash/EBITDA</v>
      </c>
      <c r="C47" s="6">
        <v>1.6880072137060416</v>
      </c>
      <c r="D47" s="6">
        <v>2.20878681177977</v>
      </c>
      <c r="E47" s="6">
        <v>2.8234506654067251</v>
      </c>
      <c r="F47" s="6">
        <v>2.4648039414186411</v>
      </c>
      <c r="G47" s="6">
        <v>2.0144545072872311</v>
      </c>
    </row>
    <row r="48" spans="1:7">
      <c r="B48" cm="1">
        <f t="array" ref="B48:F48">'Wybrane dane i wskaźniki'!D43:H43</f>
        <v>0</v>
      </c>
      <c r="C48" s="121" t="str">
        <v>2018 / 2019</v>
      </c>
      <c r="D48" s="49" t="str">
        <v>2019 / 2020</v>
      </c>
      <c r="E48" s="49" t="str">
        <v>2020 / 2021</v>
      </c>
      <c r="F48" s="49" t="str">
        <v>2021 / 2022</v>
      </c>
    </row>
    <row r="49" spans="1:7">
      <c r="A49" t="str">
        <f>'Wybrane dane i wskaźniki'!$B$1</f>
        <v>CSV</v>
      </c>
      <c r="B49" t="str" cm="1">
        <f t="array" ref="B49:F49">'Wybrane dane i wskaźniki'!D44:H44</f>
        <v>Dynamika zysku netto</v>
      </c>
      <c r="C49" s="6">
        <v>-0.74817419529348117</v>
      </c>
      <c r="D49" s="32">
        <v>0.10633727175080561</v>
      </c>
      <c r="E49" s="32">
        <v>1.7359223300970872</v>
      </c>
      <c r="F49" s="32">
        <v>0.65046132008516677</v>
      </c>
      <c r="G49" s="32"/>
    </row>
    <row r="50" spans="1:7">
      <c r="A50" t="str">
        <f>'Wybrane dane i wskaźniki (2)'!$B$1</f>
        <v>PEP</v>
      </c>
      <c r="B50" t="str" cm="1">
        <f t="array" ref="B50:F50">'Wybrane dane i wskaźniki (2)'!D44:H44</f>
        <v>Dynamika zysku netto</v>
      </c>
      <c r="C50" s="6">
        <v>1.7844246247552751</v>
      </c>
      <c r="D50" s="32">
        <v>-0.46484375</v>
      </c>
      <c r="E50" s="32">
        <v>0.19824817518248175</v>
      </c>
      <c r="F50" s="32">
        <v>0.12524366471734893</v>
      </c>
      <c r="G50" s="32"/>
    </row>
    <row r="51" spans="1:7">
      <c r="A51" t="str">
        <f>'Wybrane dane i wskaźniki'!$B$1</f>
        <v>CSV</v>
      </c>
      <c r="B51" t="str" cm="1">
        <f t="array" ref="B51:F51">'Wybrane dane i wskaźniki'!D45:H45</f>
        <v>Dynamika sprzedaży</v>
      </c>
      <c r="C51" s="6">
        <v>1.095438175270114E-2</v>
      </c>
      <c r="D51" s="32">
        <v>0.15225619712037988</v>
      </c>
      <c r="E51" s="32">
        <v>0.1917490580013527</v>
      </c>
      <c r="F51" s="32">
        <v>5.7830022969868567E-3</v>
      </c>
      <c r="G51" s="32"/>
    </row>
    <row r="52" spans="1:7">
      <c r="A52" t="str">
        <f>'Wybrane dane i wskaźniki (2)'!$B$1</f>
        <v>PEP</v>
      </c>
      <c r="B52" t="str" cm="1">
        <f t="array" ref="B52:F52">'Wybrane dane i wskaźniki (2)'!D45:H45</f>
        <v>Dynamika sprzedaży</v>
      </c>
      <c r="C52" s="6">
        <v>1.4343816945574218E-2</v>
      </c>
      <c r="D52" s="32">
        <v>3.5383061430626549E-2</v>
      </c>
      <c r="E52" s="32">
        <v>0.10241818665563011</v>
      </c>
      <c r="F52" s="32">
        <v>9.759596690934931E-2</v>
      </c>
      <c r="G52" s="32"/>
    </row>
    <row r="53" spans="1:7">
      <c r="A53" t="str">
        <f>'Wybrane dane i wskaźniki'!$B$1</f>
        <v>CSV</v>
      </c>
      <c r="B53" t="str" cm="1">
        <f t="array" ref="B53:F53">'Wybrane dane i wskaźniki'!D46:H46</f>
        <v>Dynamika znorm. zysku na akcję</v>
      </c>
      <c r="C53" s="6">
        <v>-0.75119617224880386</v>
      </c>
      <c r="D53" s="32">
        <v>0.11538461538461542</v>
      </c>
      <c r="E53" s="32">
        <v>1.6551724137931028</v>
      </c>
      <c r="F53" s="32">
        <v>0.84415584415584433</v>
      </c>
      <c r="G53" s="32"/>
    </row>
    <row r="54" spans="1:7">
      <c r="A54" t="str">
        <f>'Wybrane dane i wskaźniki (2)'!$B$1</f>
        <v>PEP</v>
      </c>
      <c r="B54" s="5" t="str" cm="1">
        <f t="array" ref="B54:F54">'Wybrane dane i wskaźniki (2)'!D46:H46</f>
        <v>Dynamika znorm. zysku na akcję</v>
      </c>
      <c r="C54" s="6">
        <v>1.809968847352025</v>
      </c>
      <c r="D54" s="32">
        <v>-0.45787139689578715</v>
      </c>
      <c r="E54" s="32">
        <v>0.21063394683026582</v>
      </c>
      <c r="F54" s="32">
        <v>0.12162162162162149</v>
      </c>
      <c r="G54" s="32"/>
    </row>
    <row r="55" spans="1:7">
      <c r="A55" t="str">
        <f>'Wybrane dane i wskaźniki'!$B$1</f>
        <v>CSV</v>
      </c>
      <c r="B55" t="str" cm="1">
        <f t="array" ref="B55:F55">'Wybrane dane i wskaźniki'!D47:H47</f>
        <v>Dynamika dywidendy</v>
      </c>
      <c r="C55" s="6">
        <v>0</v>
      </c>
      <c r="D55" s="32">
        <v>3.1249999999999778E-2</v>
      </c>
      <c r="E55" s="32">
        <v>0.21212121212121238</v>
      </c>
      <c r="F55" s="32">
        <v>9.9999999999999867E-2</v>
      </c>
      <c r="G55" s="32"/>
    </row>
    <row r="56" spans="1:7">
      <c r="A56" t="str">
        <f>'Wybrane dane i wskaźniki (2)'!$B$1</f>
        <v>PEP</v>
      </c>
      <c r="B56" t="str" cm="1">
        <f t="array" ref="B56:F56">'Wybrane dane i wskaźniki (2)'!D47:H47</f>
        <v>Dynamika dywidendy</v>
      </c>
      <c r="C56" s="6">
        <v>0.11607142857142838</v>
      </c>
      <c r="D56" s="32">
        <v>4.0000000000000036E-2</v>
      </c>
      <c r="E56" s="32">
        <v>6.1538461538461764E-2</v>
      </c>
      <c r="F56" s="32">
        <v>6.0386473429951737E-2</v>
      </c>
      <c r="G56" s="32"/>
    </row>
    <row r="57" spans="1:7">
      <c r="A57" t="str">
        <f>'Wybrane dane i wskaźniki'!$B$1</f>
        <v>CSV</v>
      </c>
      <c r="B57" t="str" cm="1">
        <f t="array" ref="B57:F57">'Wybrane dane i wskaźniki'!D48:H48</f>
        <v>Dynamika $ z DO</v>
      </c>
      <c r="C57" s="6">
        <v>-0.12779973649538867</v>
      </c>
      <c r="D57" s="32">
        <v>0.61825636599050537</v>
      </c>
      <c r="E57" s="32">
        <v>0.13068409121216162</v>
      </c>
      <c r="F57" s="32">
        <v>-0.23811770255926401</v>
      </c>
      <c r="G57" s="32"/>
    </row>
    <row r="58" spans="1:7">
      <c r="A58" t="str">
        <f>'Wybrane dane i wskaźniki (2)'!$B$1</f>
        <v>PEP</v>
      </c>
      <c r="B58" t="str" cm="1">
        <f t="array" ref="B58:F58">'Wybrane dane i wskaźniki (2)'!D48:H48</f>
        <v>Dynamika $ z DO</v>
      </c>
      <c r="C58" s="6">
        <v>9.5871870065418419E-2</v>
      </c>
      <c r="D58" s="32">
        <v>7.2046109510082168E-4</v>
      </c>
      <c r="E58" s="32">
        <v>0.18183688162089884</v>
      </c>
      <c r="F58" s="32">
        <v>-2.9066225741884999E-2</v>
      </c>
      <c r="G58" s="32"/>
    </row>
    <row r="59" spans="1:7">
      <c r="A59" t="str">
        <f>'Wybrane dane i wskaźniki'!$B$1</f>
        <v>CSV</v>
      </c>
      <c r="B59" t="str" cm="1">
        <f t="array" ref="B59:F59">'Wybrane dane i wskaźniki'!D49:H49</f>
        <v>Dynamika EBITDA</v>
      </c>
      <c r="C59" s="6">
        <v>-0.10236456150853024</v>
      </c>
      <c r="D59" s="32">
        <v>0.1528842947649216</v>
      </c>
      <c r="E59" s="32">
        <v>0.28604483007953729</v>
      </c>
      <c r="F59" s="32">
        <v>0.21005285055661749</v>
      </c>
      <c r="G59" s="32"/>
    </row>
    <row r="60" spans="1:7">
      <c r="A60" t="str">
        <f>'Wybrane dane i wskaźniki (2)'!$B$1</f>
        <v>PEP</v>
      </c>
      <c r="B60" t="str" cm="1">
        <f t="array" ref="B60:F60">'Wybrane dane i wskaźniki (2)'!D49:H49</f>
        <v>Dynamika EBITDA</v>
      </c>
      <c r="C60" s="6">
        <v>-6.1015930267508289E-2</v>
      </c>
      <c r="D60" s="32">
        <v>1.6245198463508359E-2</v>
      </c>
      <c r="E60" s="32">
        <v>0.16678478620363801</v>
      </c>
      <c r="F60" s="32">
        <v>0.12526152392522105</v>
      </c>
      <c r="G60" s="3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DEB9-0857-4448-B836-A7D59F974B5F}">
  <dimension ref="A1:B24"/>
  <sheetViews>
    <sheetView workbookViewId="0">
      <selection activeCell="G24" sqref="G24"/>
    </sheetView>
  </sheetViews>
  <sheetFormatPr defaultRowHeight="15"/>
  <cols>
    <col min="1" max="1" width="5" bestFit="1" customWidth="1"/>
    <col min="2" max="2" width="10.140625" bestFit="1" customWidth="1"/>
  </cols>
  <sheetData>
    <row r="1" spans="1:2">
      <c r="A1">
        <v>1.3</v>
      </c>
      <c r="B1" s="112">
        <v>44388</v>
      </c>
    </row>
    <row r="2" spans="1:2">
      <c r="B2" t="s">
        <v>311</v>
      </c>
    </row>
    <row r="3" spans="1:2">
      <c r="B3" t="s">
        <v>313</v>
      </c>
    </row>
    <row r="4" spans="1:2">
      <c r="B4" t="s">
        <v>315</v>
      </c>
    </row>
    <row r="5" spans="1:2">
      <c r="B5" t="s">
        <v>316</v>
      </c>
    </row>
    <row r="6" spans="1:2">
      <c r="B6" t="s">
        <v>317</v>
      </c>
    </row>
    <row r="7" spans="1:2">
      <c r="B7" t="s">
        <v>318</v>
      </c>
    </row>
    <row r="8" spans="1:2">
      <c r="B8" t="s">
        <v>319</v>
      </c>
    </row>
    <row r="9" spans="1:2">
      <c r="B9" t="s">
        <v>322</v>
      </c>
    </row>
    <row r="10" spans="1:2">
      <c r="B10" t="s">
        <v>325</v>
      </c>
    </row>
    <row r="11" spans="1:2">
      <c r="B11" t="s">
        <v>326</v>
      </c>
    </row>
    <row r="12" spans="1:2">
      <c r="A12">
        <v>1.31</v>
      </c>
      <c r="B12" s="112">
        <v>44427</v>
      </c>
    </row>
    <row r="13" spans="1:2">
      <c r="B13" t="s">
        <v>327</v>
      </c>
    </row>
    <row r="14" spans="1:2">
      <c r="B14" t="s">
        <v>328</v>
      </c>
    </row>
    <row r="15" spans="1:2">
      <c r="A15">
        <v>1.32</v>
      </c>
      <c r="B15" s="112">
        <v>44430</v>
      </c>
    </row>
    <row r="16" spans="1:2">
      <c r="B16" t="s">
        <v>332</v>
      </c>
    </row>
    <row r="17" spans="1:2">
      <c r="B17" t="s">
        <v>334</v>
      </c>
    </row>
    <row r="18" spans="1:2">
      <c r="A18">
        <v>1.33</v>
      </c>
      <c r="B18" s="112">
        <v>44473</v>
      </c>
    </row>
    <row r="19" spans="1:2">
      <c r="B19" t="s">
        <v>356</v>
      </c>
    </row>
    <row r="20" spans="1:2">
      <c r="A20">
        <v>1.34</v>
      </c>
      <c r="B20" s="112">
        <v>44521</v>
      </c>
    </row>
    <row r="21" spans="1:2">
      <c r="B21" t="s">
        <v>360</v>
      </c>
    </row>
    <row r="22" spans="1:2">
      <c r="B22" s="112" t="s">
        <v>361</v>
      </c>
    </row>
    <row r="23" spans="1:2">
      <c r="A23" s="6">
        <v>1.4</v>
      </c>
      <c r="B23" t="s">
        <v>399</v>
      </c>
    </row>
    <row r="24" spans="1:2">
      <c r="A24">
        <v>1.41</v>
      </c>
      <c r="B24" s="112" t="s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/>
  <dimension ref="A1:L67"/>
  <sheetViews>
    <sheetView zoomScale="120" zoomScaleNormal="120" workbookViewId="0"/>
  </sheetViews>
  <sheetFormatPr defaultRowHeight="15"/>
  <cols>
    <col min="1" max="1" width="10.5703125" bestFit="1" customWidth="1"/>
    <col min="2" max="3" width="13" bestFit="1" customWidth="1"/>
    <col min="5" max="5" width="11.5703125" customWidth="1"/>
    <col min="6" max="6" width="17.7109375" bestFit="1" customWidth="1"/>
    <col min="7" max="8" width="12.7109375" customWidth="1"/>
    <col min="9" max="9" width="10.28515625" bestFit="1" customWidth="1"/>
    <col min="10" max="10" width="4.140625" customWidth="1"/>
    <col min="11" max="11" width="15" bestFit="1" customWidth="1"/>
  </cols>
  <sheetData>
    <row r="1" spans="1:12">
      <c r="B1" t="str">
        <f>Dane!G31</f>
        <v>2022-12</v>
      </c>
      <c r="C1" t="str">
        <f>Dane!H31</f>
        <v>2023-12</v>
      </c>
      <c r="D1" t="str">
        <f>Dane!I31</f>
        <v>2024-12</v>
      </c>
      <c r="E1" s="139" t="s">
        <v>114</v>
      </c>
      <c r="F1" s="139"/>
      <c r="G1" s="139"/>
      <c r="H1" s="6">
        <v>12</v>
      </c>
      <c r="K1" t="s">
        <v>115</v>
      </c>
    </row>
    <row r="2" spans="1:12">
      <c r="A2" t="s">
        <v>116</v>
      </c>
      <c r="B2" s="6">
        <f>Dane!G32</f>
        <v>2.54</v>
      </c>
      <c r="C2" s="6">
        <f>Dane!H32</f>
        <v>2.14</v>
      </c>
      <c r="D2" s="6">
        <f>Dane!I32</f>
        <v>3</v>
      </c>
      <c r="E2" s="38">
        <v>0.1</v>
      </c>
      <c r="F2" s="38">
        <v>0.15</v>
      </c>
      <c r="G2" s="38">
        <v>0.2</v>
      </c>
      <c r="H2" s="48">
        <f>H1/100</f>
        <v>0.12</v>
      </c>
      <c r="K2" t="s">
        <v>117</v>
      </c>
      <c r="L2" t="s">
        <v>118</v>
      </c>
    </row>
    <row r="3" spans="1:12">
      <c r="B3" s="140" t="s">
        <v>119</v>
      </c>
      <c r="C3" s="140"/>
      <c r="D3" s="140"/>
      <c r="E3">
        <f>POWER(1+E2,2)</f>
        <v>1.2100000000000002</v>
      </c>
      <c r="F3" s="6">
        <f>POWER(1+F2,2)</f>
        <v>1.3224999999999998</v>
      </c>
      <c r="G3">
        <f>POWER(1+G2,2)</f>
        <v>1.44</v>
      </c>
      <c r="H3">
        <f>POWER(1+H2,2)</f>
        <v>1.2544000000000002</v>
      </c>
      <c r="K3" t="s">
        <v>120</v>
      </c>
      <c r="L3" t="s">
        <v>121</v>
      </c>
    </row>
    <row r="4" spans="1:12" ht="46.5" customHeight="1">
      <c r="A4" t="s">
        <v>122</v>
      </c>
      <c r="B4" s="142" t="s">
        <v>123</v>
      </c>
      <c r="C4" s="142"/>
      <c r="D4" s="142"/>
      <c r="E4" s="141" t="s">
        <v>124</v>
      </c>
      <c r="F4" s="141"/>
      <c r="G4" s="141"/>
      <c r="H4" s="51"/>
      <c r="K4" s="40" t="s">
        <v>125</v>
      </c>
      <c r="L4" s="40" t="s">
        <v>126</v>
      </c>
    </row>
    <row r="5" spans="1:12">
      <c r="A5">
        <v>38</v>
      </c>
      <c r="B5" s="1">
        <f t="shared" ref="B5:B23" si="0">$B$2*A5</f>
        <v>96.52</v>
      </c>
      <c r="C5" s="1">
        <f>A5*C2</f>
        <v>81.320000000000007</v>
      </c>
      <c r="D5" s="1">
        <f t="shared" ref="D5:D23" si="1">$D$2*A5</f>
        <v>114</v>
      </c>
      <c r="E5" s="1">
        <f t="shared" ref="E5:E23" si="2">D5/$E$3</f>
        <v>94.214876033057834</v>
      </c>
      <c r="F5" s="1">
        <f t="shared" ref="F5:F23" si="3">D5/$F$3</f>
        <v>86.200378071833669</v>
      </c>
      <c r="G5" s="1">
        <f t="shared" ref="G5:G23" si="4">D5/$G$3</f>
        <v>79.166666666666671</v>
      </c>
      <c r="H5" s="1">
        <f>D5/$H$3</f>
        <v>90.880102040816311</v>
      </c>
      <c r="I5" s="143" t="s">
        <v>163</v>
      </c>
      <c r="K5" t="s">
        <v>127</v>
      </c>
      <c r="L5" t="s">
        <v>128</v>
      </c>
    </row>
    <row r="6" spans="1:12">
      <c r="A6">
        <v>39</v>
      </c>
      <c r="B6" s="1">
        <f t="shared" si="0"/>
        <v>99.06</v>
      </c>
      <c r="C6" s="1">
        <f t="shared" ref="C6:C23" si="5">$C$2*A6</f>
        <v>83.460000000000008</v>
      </c>
      <c r="D6" s="1">
        <f t="shared" si="1"/>
        <v>117</v>
      </c>
      <c r="E6" s="1">
        <f t="shared" si="2"/>
        <v>96.694214876033044</v>
      </c>
      <c r="F6" s="1">
        <f t="shared" si="3"/>
        <v>88.468809073724017</v>
      </c>
      <c r="G6" s="1">
        <f t="shared" si="4"/>
        <v>81.25</v>
      </c>
      <c r="H6" s="1">
        <f t="shared" ref="H6:H23" si="6">D6/$H$3</f>
        <v>93.271683673469369</v>
      </c>
      <c r="I6" s="143"/>
      <c r="K6" t="s">
        <v>129</v>
      </c>
      <c r="L6" t="s">
        <v>130</v>
      </c>
    </row>
    <row r="7" spans="1:12">
      <c r="A7">
        <v>40</v>
      </c>
      <c r="B7" s="1">
        <f t="shared" si="0"/>
        <v>101.6</v>
      </c>
      <c r="C7" s="1">
        <f t="shared" si="5"/>
        <v>85.600000000000009</v>
      </c>
      <c r="D7" s="1">
        <f t="shared" si="1"/>
        <v>120</v>
      </c>
      <c r="E7" s="1">
        <f t="shared" si="2"/>
        <v>99.173553719008254</v>
      </c>
      <c r="F7" s="1">
        <f t="shared" si="3"/>
        <v>90.73724007561438</v>
      </c>
      <c r="G7" s="1">
        <f t="shared" si="4"/>
        <v>83.333333333333343</v>
      </c>
      <c r="H7" s="1">
        <f t="shared" si="6"/>
        <v>95.66326530612244</v>
      </c>
      <c r="I7" s="143"/>
    </row>
    <row r="8" spans="1:12">
      <c r="A8">
        <v>41</v>
      </c>
      <c r="B8" s="1">
        <f t="shared" si="0"/>
        <v>104.14</v>
      </c>
      <c r="C8" s="1">
        <f t="shared" si="5"/>
        <v>87.740000000000009</v>
      </c>
      <c r="D8" s="1">
        <f t="shared" si="1"/>
        <v>123</v>
      </c>
      <c r="E8" s="1">
        <f t="shared" si="2"/>
        <v>101.65289256198345</v>
      </c>
      <c r="F8" s="1">
        <f t="shared" si="3"/>
        <v>93.005671077504743</v>
      </c>
      <c r="G8" s="1">
        <f t="shared" si="4"/>
        <v>85.416666666666671</v>
      </c>
      <c r="H8" s="1">
        <f t="shared" si="6"/>
        <v>98.054846938775498</v>
      </c>
      <c r="I8" s="143"/>
      <c r="K8" t="s">
        <v>131</v>
      </c>
    </row>
    <row r="9" spans="1:12">
      <c r="A9">
        <v>42</v>
      </c>
      <c r="B9" s="1">
        <f t="shared" si="0"/>
        <v>106.68</v>
      </c>
      <c r="C9" s="1">
        <f t="shared" si="5"/>
        <v>89.88000000000001</v>
      </c>
      <c r="D9" s="1">
        <f t="shared" si="1"/>
        <v>126</v>
      </c>
      <c r="E9" s="1">
        <f t="shared" si="2"/>
        <v>104.13223140495866</v>
      </c>
      <c r="F9" s="1">
        <f t="shared" si="3"/>
        <v>95.274102079395107</v>
      </c>
      <c r="G9" s="1">
        <f t="shared" si="4"/>
        <v>87.5</v>
      </c>
      <c r="H9" s="1">
        <f t="shared" si="6"/>
        <v>100.44642857142856</v>
      </c>
      <c r="I9" s="143"/>
      <c r="K9" t="s">
        <v>132</v>
      </c>
    </row>
    <row r="10" spans="1:12">
      <c r="A10">
        <v>43</v>
      </c>
      <c r="B10" s="1">
        <f t="shared" si="0"/>
        <v>109.22</v>
      </c>
      <c r="C10" s="1">
        <f t="shared" si="5"/>
        <v>92.02000000000001</v>
      </c>
      <c r="D10" s="1">
        <f t="shared" si="1"/>
        <v>129</v>
      </c>
      <c r="E10" s="1">
        <f t="shared" si="2"/>
        <v>106.61157024793387</v>
      </c>
      <c r="F10" s="1">
        <f t="shared" si="3"/>
        <v>97.542533081285455</v>
      </c>
      <c r="G10" s="1">
        <f t="shared" si="4"/>
        <v>89.583333333333343</v>
      </c>
      <c r="H10" s="1">
        <f t="shared" si="6"/>
        <v>102.83801020408161</v>
      </c>
      <c r="I10" s="143"/>
      <c r="K10" t="s">
        <v>133</v>
      </c>
    </row>
    <row r="11" spans="1:12">
      <c r="A11" s="39">
        <v>44</v>
      </c>
      <c r="B11" s="43">
        <f t="shared" si="0"/>
        <v>111.76</v>
      </c>
      <c r="C11" s="43">
        <f t="shared" si="5"/>
        <v>94.160000000000011</v>
      </c>
      <c r="D11" s="43">
        <f t="shared" si="1"/>
        <v>132</v>
      </c>
      <c r="E11" s="43">
        <f t="shared" si="2"/>
        <v>109.09090909090908</v>
      </c>
      <c r="F11" s="43">
        <f t="shared" si="3"/>
        <v>99.810964083175818</v>
      </c>
      <c r="G11" s="43">
        <f t="shared" si="4"/>
        <v>91.666666666666671</v>
      </c>
      <c r="H11" s="1">
        <f t="shared" si="6"/>
        <v>105.22959183673468</v>
      </c>
      <c r="I11" s="39" t="s">
        <v>134</v>
      </c>
      <c r="K11" t="s">
        <v>135</v>
      </c>
    </row>
    <row r="12" spans="1:12">
      <c r="A12">
        <v>45</v>
      </c>
      <c r="B12" s="1">
        <f t="shared" si="0"/>
        <v>114.3</v>
      </c>
      <c r="C12" s="1">
        <f t="shared" si="5"/>
        <v>96.300000000000011</v>
      </c>
      <c r="D12" s="1">
        <f t="shared" si="1"/>
        <v>135</v>
      </c>
      <c r="E12" s="1">
        <f t="shared" si="2"/>
        <v>111.57024793388427</v>
      </c>
      <c r="F12" s="1">
        <f t="shared" si="3"/>
        <v>102.07939508506618</v>
      </c>
      <c r="G12" s="1">
        <f t="shared" si="4"/>
        <v>93.75</v>
      </c>
      <c r="H12" s="1">
        <f t="shared" si="6"/>
        <v>107.62117346938774</v>
      </c>
      <c r="I12" s="138" t="s">
        <v>136</v>
      </c>
      <c r="K12" t="s">
        <v>137</v>
      </c>
    </row>
    <row r="13" spans="1:12">
      <c r="A13">
        <v>46</v>
      </c>
      <c r="B13" s="1">
        <f t="shared" si="0"/>
        <v>116.84</v>
      </c>
      <c r="C13" s="1">
        <f t="shared" si="5"/>
        <v>98.440000000000012</v>
      </c>
      <c r="D13" s="1">
        <f t="shared" si="1"/>
        <v>138</v>
      </c>
      <c r="E13" s="1">
        <f t="shared" si="2"/>
        <v>114.04958677685948</v>
      </c>
      <c r="F13" s="1">
        <f t="shared" si="3"/>
        <v>104.34782608695654</v>
      </c>
      <c r="G13" s="1">
        <f t="shared" si="4"/>
        <v>95.833333333333343</v>
      </c>
      <c r="H13" s="1">
        <f t="shared" si="6"/>
        <v>110.0127551020408</v>
      </c>
      <c r="I13" s="138"/>
      <c r="K13" t="s">
        <v>138</v>
      </c>
    </row>
    <row r="14" spans="1:12">
      <c r="A14">
        <v>47</v>
      </c>
      <c r="B14" s="1">
        <f t="shared" si="0"/>
        <v>119.38</v>
      </c>
      <c r="C14" s="1">
        <f t="shared" si="5"/>
        <v>100.58000000000001</v>
      </c>
      <c r="D14" s="1">
        <f t="shared" si="1"/>
        <v>141</v>
      </c>
      <c r="E14" s="1">
        <f t="shared" si="2"/>
        <v>116.52892561983469</v>
      </c>
      <c r="F14" s="1">
        <f t="shared" si="3"/>
        <v>106.61625708884689</v>
      </c>
      <c r="G14" s="1">
        <f t="shared" si="4"/>
        <v>97.916666666666671</v>
      </c>
      <c r="H14" s="1">
        <f t="shared" si="6"/>
        <v>112.40433673469386</v>
      </c>
      <c r="I14" s="138"/>
    </row>
    <row r="15" spans="1:12">
      <c r="A15">
        <v>48</v>
      </c>
      <c r="B15" s="1">
        <f t="shared" si="0"/>
        <v>121.92</v>
      </c>
      <c r="C15" s="1">
        <f t="shared" si="5"/>
        <v>102.72</v>
      </c>
      <c r="D15" s="1">
        <f t="shared" si="1"/>
        <v>144</v>
      </c>
      <c r="E15" s="1">
        <f t="shared" si="2"/>
        <v>119.0082644628099</v>
      </c>
      <c r="F15" s="1">
        <f t="shared" si="3"/>
        <v>108.88468809073726</v>
      </c>
      <c r="G15" s="1">
        <f t="shared" si="4"/>
        <v>100</v>
      </c>
      <c r="H15" s="1">
        <f t="shared" si="6"/>
        <v>114.79591836734693</v>
      </c>
      <c r="I15" s="138"/>
    </row>
    <row r="16" spans="1:12">
      <c r="A16">
        <v>49</v>
      </c>
      <c r="B16" s="1">
        <f t="shared" si="0"/>
        <v>124.46000000000001</v>
      </c>
      <c r="C16" s="1">
        <f t="shared" si="5"/>
        <v>104.86</v>
      </c>
      <c r="D16" s="1">
        <f t="shared" si="1"/>
        <v>147</v>
      </c>
      <c r="E16" s="1">
        <f t="shared" si="2"/>
        <v>121.4876033057851</v>
      </c>
      <c r="F16" s="1">
        <f t="shared" si="3"/>
        <v>111.15311909262762</v>
      </c>
      <c r="G16" s="1">
        <f t="shared" si="4"/>
        <v>102.08333333333334</v>
      </c>
      <c r="H16" s="1">
        <f t="shared" si="6"/>
        <v>117.18749999999999</v>
      </c>
      <c r="I16" s="138"/>
    </row>
    <row r="17" spans="1:11">
      <c r="A17" s="3">
        <v>50</v>
      </c>
      <c r="B17" s="42">
        <f t="shared" si="0"/>
        <v>127</v>
      </c>
      <c r="C17" s="42">
        <f t="shared" si="5"/>
        <v>107</v>
      </c>
      <c r="D17" s="42">
        <f t="shared" si="1"/>
        <v>150</v>
      </c>
      <c r="E17" s="42">
        <f t="shared" si="2"/>
        <v>123.96694214876031</v>
      </c>
      <c r="F17" s="42">
        <f t="shared" si="3"/>
        <v>113.42155009451798</v>
      </c>
      <c r="G17" s="42">
        <f t="shared" si="4"/>
        <v>104.16666666666667</v>
      </c>
      <c r="H17" s="1">
        <f t="shared" si="6"/>
        <v>119.57908163265304</v>
      </c>
      <c r="I17" s="138"/>
      <c r="K17" t="s">
        <v>139</v>
      </c>
    </row>
    <row r="18" spans="1:11">
      <c r="A18">
        <v>51</v>
      </c>
      <c r="B18" s="1">
        <f t="shared" si="0"/>
        <v>129.54</v>
      </c>
      <c r="C18" s="1">
        <f t="shared" si="5"/>
        <v>109.14</v>
      </c>
      <c r="D18" s="1">
        <f t="shared" si="1"/>
        <v>153</v>
      </c>
      <c r="E18" s="1">
        <f t="shared" si="2"/>
        <v>126.44628099173552</v>
      </c>
      <c r="F18" s="1">
        <f t="shared" si="3"/>
        <v>115.68998109640833</v>
      </c>
      <c r="G18" s="1">
        <f t="shared" si="4"/>
        <v>106.25</v>
      </c>
      <c r="H18" s="1">
        <f t="shared" si="6"/>
        <v>121.9706632653061</v>
      </c>
      <c r="I18" s="138"/>
    </row>
    <row r="19" spans="1:11">
      <c r="A19">
        <v>52</v>
      </c>
      <c r="B19" s="1">
        <f t="shared" si="0"/>
        <v>132.08000000000001</v>
      </c>
      <c r="C19" s="1">
        <f t="shared" si="5"/>
        <v>111.28</v>
      </c>
      <c r="D19" s="1">
        <f t="shared" si="1"/>
        <v>156</v>
      </c>
      <c r="E19" s="1">
        <f t="shared" si="2"/>
        <v>128.92561983471072</v>
      </c>
      <c r="F19" s="1">
        <f t="shared" si="3"/>
        <v>117.95841209829869</v>
      </c>
      <c r="G19" s="1">
        <f t="shared" si="4"/>
        <v>108.33333333333334</v>
      </c>
      <c r="H19" s="1">
        <f t="shared" si="6"/>
        <v>124.36224489795917</v>
      </c>
      <c r="I19" s="138"/>
    </row>
    <row r="20" spans="1:11">
      <c r="A20">
        <v>53</v>
      </c>
      <c r="B20" s="41">
        <f t="shared" si="0"/>
        <v>134.62</v>
      </c>
      <c r="C20" s="41">
        <f t="shared" si="5"/>
        <v>113.42</v>
      </c>
      <c r="D20" s="41">
        <f t="shared" si="1"/>
        <v>159</v>
      </c>
      <c r="E20" s="41">
        <f t="shared" si="2"/>
        <v>131.40495867768593</v>
      </c>
      <c r="F20" s="41">
        <f t="shared" si="3"/>
        <v>120.22684310018906</v>
      </c>
      <c r="G20" s="41">
        <f t="shared" si="4"/>
        <v>110.41666666666667</v>
      </c>
      <c r="H20" s="1">
        <f t="shared" si="6"/>
        <v>126.75382653061223</v>
      </c>
      <c r="I20" s="138"/>
    </row>
    <row r="21" spans="1:11">
      <c r="A21">
        <v>54</v>
      </c>
      <c r="B21" s="1">
        <f t="shared" si="0"/>
        <v>137.16</v>
      </c>
      <c r="C21" s="1">
        <f t="shared" si="5"/>
        <v>115.56</v>
      </c>
      <c r="D21" s="1">
        <f t="shared" si="1"/>
        <v>162</v>
      </c>
      <c r="E21" s="1">
        <f t="shared" si="2"/>
        <v>133.88429752066114</v>
      </c>
      <c r="F21" s="1">
        <f t="shared" si="3"/>
        <v>122.49527410207942</v>
      </c>
      <c r="G21" s="1">
        <f t="shared" si="4"/>
        <v>112.5</v>
      </c>
      <c r="H21" s="1">
        <f t="shared" si="6"/>
        <v>129.1454081632653</v>
      </c>
      <c r="I21" s="138"/>
    </row>
    <row r="22" spans="1:11">
      <c r="A22">
        <v>55</v>
      </c>
      <c r="B22" s="1">
        <f t="shared" si="0"/>
        <v>139.69999999999999</v>
      </c>
      <c r="C22" s="1">
        <f t="shared" si="5"/>
        <v>117.7</v>
      </c>
      <c r="D22" s="1">
        <f t="shared" si="1"/>
        <v>165</v>
      </c>
      <c r="E22" s="1">
        <f t="shared" si="2"/>
        <v>136.36363636363635</v>
      </c>
      <c r="F22" s="1">
        <f t="shared" si="3"/>
        <v>124.76370510396977</v>
      </c>
      <c r="G22" s="1">
        <f t="shared" si="4"/>
        <v>114.58333333333334</v>
      </c>
      <c r="H22" s="1">
        <f t="shared" si="6"/>
        <v>131.53698979591834</v>
      </c>
      <c r="I22" s="138"/>
    </row>
    <row r="23" spans="1:11">
      <c r="A23">
        <v>56</v>
      </c>
      <c r="B23" s="1">
        <f t="shared" si="0"/>
        <v>142.24</v>
      </c>
      <c r="C23" s="1">
        <f t="shared" si="5"/>
        <v>119.84</v>
      </c>
      <c r="D23" s="1">
        <f t="shared" si="1"/>
        <v>168</v>
      </c>
      <c r="E23" s="1">
        <f t="shared" si="2"/>
        <v>138.84297520661156</v>
      </c>
      <c r="F23" s="1">
        <f t="shared" si="3"/>
        <v>127.03213610586013</v>
      </c>
      <c r="G23" s="1">
        <f t="shared" si="4"/>
        <v>116.66666666666667</v>
      </c>
      <c r="H23" s="1">
        <f t="shared" si="6"/>
        <v>133.92857142857142</v>
      </c>
      <c r="I23" s="138"/>
    </row>
    <row r="24" spans="1:11">
      <c r="B24" s="1"/>
      <c r="C24" s="1"/>
      <c r="D24" s="1"/>
      <c r="E24" s="1"/>
      <c r="F24" s="1"/>
      <c r="G24" s="1"/>
      <c r="H24" s="1"/>
      <c r="I24" s="98"/>
    </row>
    <row r="26" spans="1:11">
      <c r="B26" s="1"/>
      <c r="C26" s="1"/>
      <c r="D26" s="1"/>
      <c r="E26" s="1"/>
      <c r="F26" s="1"/>
      <c r="G26" s="1"/>
      <c r="H26" s="1"/>
      <c r="I26" s="98"/>
    </row>
    <row r="27" spans="1:11">
      <c r="B27" s="1"/>
      <c r="C27" s="1"/>
      <c r="D27" s="1"/>
      <c r="E27" s="1"/>
      <c r="F27" s="1"/>
      <c r="G27" s="1"/>
      <c r="H27" s="1"/>
      <c r="I27" s="98"/>
    </row>
    <row r="28" spans="1:11">
      <c r="B28" s="1"/>
      <c r="C28" s="1"/>
      <c r="D28" s="1"/>
      <c r="E28" s="1"/>
      <c r="F28" s="1"/>
      <c r="G28" s="1"/>
      <c r="H28" s="1"/>
      <c r="I28" s="98"/>
    </row>
    <row r="29" spans="1:11">
      <c r="A29" s="137" t="s">
        <v>293</v>
      </c>
      <c r="B29" s="137"/>
      <c r="C29" s="137"/>
      <c r="D29" s="137"/>
      <c r="E29" s="137"/>
      <c r="F29" s="137"/>
      <c r="G29" s="137"/>
      <c r="H29" s="137"/>
      <c r="I29" s="137"/>
    </row>
    <row r="30" spans="1:11">
      <c r="B30" s="1"/>
      <c r="C30" s="1"/>
      <c r="D30" s="1"/>
      <c r="E30" s="1"/>
      <c r="F30" s="1"/>
      <c r="G30" s="1"/>
      <c r="H30" s="1"/>
      <c r="I30" s="98"/>
    </row>
    <row r="31" spans="1:11">
      <c r="B31" s="1"/>
      <c r="C31" s="1"/>
      <c r="D31" s="1"/>
      <c r="E31" s="1"/>
      <c r="F31" s="1"/>
      <c r="G31" s="1"/>
      <c r="H31" s="1"/>
      <c r="I31" s="98"/>
    </row>
    <row r="32" spans="1:11">
      <c r="B32" s="1"/>
      <c r="C32" s="1"/>
      <c r="D32" s="1"/>
      <c r="E32" s="1"/>
      <c r="F32" s="1"/>
      <c r="G32" s="1"/>
      <c r="H32" s="1"/>
      <c r="I32" s="98"/>
    </row>
    <row r="33" spans="1:9">
      <c r="B33" s="1"/>
      <c r="C33" s="1"/>
      <c r="D33" s="1"/>
      <c r="E33" s="1"/>
      <c r="F33" s="1"/>
      <c r="G33" s="1"/>
      <c r="H33" s="1"/>
      <c r="I33" s="98"/>
    </row>
    <row r="34" spans="1:9">
      <c r="B34" s="1"/>
      <c r="C34" s="1"/>
      <c r="D34" s="1"/>
      <c r="E34" s="1"/>
      <c r="F34" s="1"/>
      <c r="G34" s="1"/>
      <c r="H34" s="1"/>
      <c r="I34" s="98"/>
    </row>
    <row r="35" spans="1:9">
      <c r="B35" s="1"/>
      <c r="C35" s="1"/>
      <c r="D35" s="1"/>
      <c r="E35" s="1"/>
      <c r="F35" s="1"/>
      <c r="G35" s="1"/>
      <c r="H35" s="1"/>
      <c r="I35" s="98"/>
    </row>
    <row r="42" spans="1:9" ht="15.75" thickBot="1">
      <c r="G42" t="s">
        <v>189</v>
      </c>
      <c r="H42" t="str">
        <f>CONCATENATE("Est. PE: ",H43)</f>
        <v>Est. PE: 15</v>
      </c>
    </row>
    <row r="43" spans="1:9" ht="15.75" thickBot="1">
      <c r="A43" s="1">
        <f>INT(AVERAGE('Wybrane dane i wskaźniki'!M5:Q5))</f>
        <v>25</v>
      </c>
      <c r="C43" s="62">
        <v>51.79999999999999</v>
      </c>
      <c r="G43">
        <v>15</v>
      </c>
      <c r="H43" s="61">
        <f>G43</f>
        <v>15</v>
      </c>
    </row>
    <row r="44" spans="1:9">
      <c r="H44" t="str">
        <f>CONCATENATE("Min CAGR R: ",H1, "%")</f>
        <v>Min CAGR R: 12%</v>
      </c>
    </row>
    <row r="45" spans="1:9">
      <c r="H45" s="38">
        <f>H2</f>
        <v>0.12</v>
      </c>
      <c r="I45">
        <f>POWER(1+H45,2)</f>
        <v>1.2544000000000002</v>
      </c>
    </row>
    <row r="46" spans="1:9">
      <c r="G46" t="str">
        <f>CONCATENATE("Max cena po jakiej można dzisiaj kupić: ",E47)</f>
        <v>Max cena po jakiej można dzisiaj kupić: 35.87</v>
      </c>
      <c r="H46" s="1"/>
    </row>
    <row r="47" spans="1:9">
      <c r="A47" s="61">
        <f>H43</f>
        <v>15</v>
      </c>
      <c r="B47" s="44">
        <f>$B$2*A47</f>
        <v>38.1</v>
      </c>
      <c r="C47" s="44">
        <f>A47*C2</f>
        <v>32.1</v>
      </c>
      <c r="D47" s="44">
        <f>A47*D2</f>
        <v>45</v>
      </c>
      <c r="E47" s="1">
        <f>ROUND(D47/I45,2)</f>
        <v>35.869999999999997</v>
      </c>
      <c r="F47" s="1"/>
      <c r="G47" s="1"/>
    </row>
    <row r="48" spans="1:9">
      <c r="A48" s="63"/>
    </row>
    <row r="49" spans="1:8">
      <c r="A49" s="63" t="s">
        <v>190</v>
      </c>
      <c r="G49" t="s">
        <v>189</v>
      </c>
    </row>
    <row r="50" spans="1:8">
      <c r="A50" s="63">
        <f>AVERAGE('Wybrane dane i wskaźniki'!M5:Q5)</f>
        <v>25.67254069005558</v>
      </c>
      <c r="B50" s="44">
        <f>$B$2*A50</f>
        <v>65.208253352741181</v>
      </c>
      <c r="C50" s="44">
        <f>$C$2*A50</f>
        <v>54.939237076718946</v>
      </c>
      <c r="D50" s="44">
        <f>$D$2*A50</f>
        <v>77.017622070166738</v>
      </c>
      <c r="G50">
        <f>G43</f>
        <v>15</v>
      </c>
      <c r="H50">
        <f>G50</f>
        <v>15</v>
      </c>
    </row>
    <row r="51" spans="1:8">
      <c r="A51" s="63"/>
    </row>
    <row r="52" spans="1:8">
      <c r="A52" s="63"/>
    </row>
    <row r="53" spans="1:8">
      <c r="A53" s="63"/>
    </row>
    <row r="54" spans="1:8">
      <c r="A54" s="63"/>
    </row>
    <row r="55" spans="1:8">
      <c r="A55" s="63"/>
    </row>
    <row r="56" spans="1:8">
      <c r="A56" s="63"/>
    </row>
    <row r="57" spans="1:8">
      <c r="A57" s="63"/>
    </row>
    <row r="58" spans="1:8">
      <c r="A58" s="63"/>
    </row>
    <row r="59" spans="1:8">
      <c r="A59" s="63"/>
    </row>
    <row r="60" spans="1:8">
      <c r="A60" s="63"/>
    </row>
    <row r="61" spans="1:8">
      <c r="A61" s="63"/>
    </row>
    <row r="62" spans="1:8">
      <c r="A62" s="63"/>
    </row>
    <row r="63" spans="1:8">
      <c r="A63" s="63"/>
    </row>
    <row r="64" spans="1:8">
      <c r="A64" s="63"/>
    </row>
    <row r="65" spans="1:1">
      <c r="A65" s="63"/>
    </row>
    <row r="66" spans="1:1">
      <c r="A66" s="63"/>
    </row>
    <row r="67" spans="1:1">
      <c r="A67" s="63"/>
    </row>
  </sheetData>
  <dataConsolidate/>
  <mergeCells count="7">
    <mergeCell ref="A29:I29"/>
    <mergeCell ref="I12:I23"/>
    <mergeCell ref="E1:G1"/>
    <mergeCell ref="B3:D3"/>
    <mergeCell ref="E4:G4"/>
    <mergeCell ref="B4:D4"/>
    <mergeCell ref="I5:I10"/>
  </mergeCells>
  <dataValidations count="1">
    <dataValidation type="list" allowBlank="1" showInputMessage="1" showErrorMessage="1" sqref="C43" xr:uid="{86A08B1E-B532-404F-A080-772BFFF91A5A}">
      <formula1>$A$47:$A$67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/>
  <dimension ref="A1:M29"/>
  <sheetViews>
    <sheetView zoomScale="110" zoomScaleNormal="110" workbookViewId="0">
      <selection activeCell="H25" sqref="H25"/>
    </sheetView>
  </sheetViews>
  <sheetFormatPr defaultRowHeight="15"/>
  <cols>
    <col min="1" max="1" width="37.5703125" customWidth="1"/>
    <col min="2" max="7" width="9.140625" style="44"/>
    <col min="8" max="8" width="9.140625" style="45"/>
  </cols>
  <sheetData>
    <row r="1" spans="1:13">
      <c r="A1" t="s">
        <v>0</v>
      </c>
      <c r="B1" s="44">
        <v>3424</v>
      </c>
      <c r="C1" s="44">
        <v>3225</v>
      </c>
      <c r="D1" s="44">
        <v>3128</v>
      </c>
      <c r="E1" s="44">
        <v>3091</v>
      </c>
      <c r="H1" s="45">
        <f t="shared" ref="H1:H8" si="0">SUM(B1:E1)</f>
        <v>12868</v>
      </c>
      <c r="I1" s="144" t="s">
        <v>290</v>
      </c>
      <c r="J1" s="144"/>
      <c r="K1" s="144"/>
      <c r="L1" s="144"/>
      <c r="M1" s="144"/>
    </row>
    <row r="2" spans="1:13">
      <c r="A2" t="s">
        <v>1</v>
      </c>
      <c r="B2" s="45"/>
      <c r="C2" s="44">
        <v>1260</v>
      </c>
      <c r="D2" s="44">
        <v>1204</v>
      </c>
      <c r="E2" s="44">
        <v>1125</v>
      </c>
      <c r="F2" s="44">
        <v>1139.79</v>
      </c>
      <c r="H2" s="45">
        <v>4993</v>
      </c>
      <c r="I2" s="144"/>
      <c r="J2" s="144"/>
      <c r="K2" s="144"/>
      <c r="L2" s="144"/>
      <c r="M2" s="144"/>
    </row>
    <row r="3" spans="1:13">
      <c r="A3" t="s">
        <v>2</v>
      </c>
      <c r="H3" s="45">
        <f>SUM(B3:E3)</f>
        <v>0</v>
      </c>
      <c r="I3" s="144"/>
      <c r="J3" s="144"/>
      <c r="K3" s="144"/>
      <c r="L3" s="144"/>
      <c r="M3" s="144"/>
    </row>
    <row r="4" spans="1:13">
      <c r="A4" t="s">
        <v>3</v>
      </c>
      <c r="B4" s="44">
        <v>1215</v>
      </c>
      <c r="C4" s="44">
        <v>1069</v>
      </c>
      <c r="D4" s="44">
        <v>1016</v>
      </c>
      <c r="E4" s="44">
        <v>937</v>
      </c>
      <c r="H4" s="45">
        <f t="shared" si="0"/>
        <v>4237</v>
      </c>
      <c r="I4" s="144"/>
      <c r="J4" s="144"/>
      <c r="K4" s="144"/>
      <c r="L4" s="144"/>
      <c r="M4" s="144"/>
    </row>
    <row r="5" spans="1:13">
      <c r="A5" t="s">
        <v>4</v>
      </c>
      <c r="H5" s="45">
        <v>-116</v>
      </c>
      <c r="I5" s="144"/>
      <c r="J5" s="144"/>
      <c r="K5" s="144"/>
      <c r="L5" s="144"/>
      <c r="M5" s="144"/>
    </row>
    <row r="6" spans="1:13">
      <c r="A6" t="s">
        <v>5</v>
      </c>
      <c r="B6" s="44">
        <v>2250</v>
      </c>
      <c r="C6" s="44">
        <v>955</v>
      </c>
      <c r="D6" s="44">
        <v>1100</v>
      </c>
      <c r="E6" s="44">
        <v>955</v>
      </c>
      <c r="H6" s="45">
        <f t="shared" si="0"/>
        <v>5260</v>
      </c>
      <c r="I6" s="144"/>
      <c r="J6" s="144"/>
      <c r="K6" s="144"/>
      <c r="L6" s="144"/>
      <c r="M6" s="144"/>
    </row>
    <row r="7" spans="1:13">
      <c r="A7" t="s">
        <v>6</v>
      </c>
      <c r="H7" s="45">
        <v>2601.9</v>
      </c>
      <c r="I7" s="144"/>
      <c r="J7" s="144"/>
      <c r="K7" s="144"/>
      <c r="L7" s="144"/>
      <c r="M7" s="144"/>
    </row>
    <row r="8" spans="1:13">
      <c r="A8" t="s">
        <v>7</v>
      </c>
      <c r="B8" s="44">
        <v>4.6900000000000004</v>
      </c>
      <c r="C8" s="44">
        <v>1.99</v>
      </c>
      <c r="D8" s="44">
        <v>2.2799999999999998</v>
      </c>
      <c r="E8" s="44">
        <v>1.98</v>
      </c>
      <c r="H8" s="93">
        <f t="shared" si="0"/>
        <v>10.940000000000001</v>
      </c>
      <c r="I8" s="144"/>
      <c r="J8" s="144"/>
      <c r="K8" s="144"/>
      <c r="L8" s="144"/>
      <c r="M8" s="144"/>
    </row>
    <row r="9" spans="1:13">
      <c r="A9" t="s">
        <v>8</v>
      </c>
      <c r="H9" s="93">
        <v>5.41</v>
      </c>
      <c r="I9" s="144"/>
      <c r="J9" s="144"/>
      <c r="K9" s="144"/>
      <c r="L9" s="144"/>
      <c r="M9" s="144"/>
    </row>
    <row r="10" spans="1:13">
      <c r="A10" t="s">
        <v>9</v>
      </c>
      <c r="B10" s="46">
        <v>1.18</v>
      </c>
      <c r="C10" s="46">
        <v>1.29</v>
      </c>
      <c r="D10" s="46">
        <v>1.35</v>
      </c>
      <c r="E10" s="46">
        <v>1.54</v>
      </c>
      <c r="H10" s="93">
        <v>5.36</v>
      </c>
      <c r="I10" s="144"/>
      <c r="J10" s="144"/>
      <c r="K10" s="144"/>
      <c r="L10" s="144"/>
      <c r="M10" s="144"/>
    </row>
    <row r="11" spans="1:13">
      <c r="A11" s="91" t="s">
        <v>10</v>
      </c>
      <c r="B11" s="92"/>
      <c r="C11" s="92"/>
      <c r="D11" s="92"/>
      <c r="E11" s="92"/>
      <c r="H11" s="93">
        <f>SUM(B11:E11)</f>
        <v>0</v>
      </c>
      <c r="I11" s="144"/>
      <c r="J11" s="144"/>
      <c r="K11" s="144"/>
      <c r="L11" s="144"/>
      <c r="M11" s="144"/>
    </row>
    <row r="12" spans="1:13" ht="15" customHeight="1">
      <c r="A12" t="s">
        <v>11</v>
      </c>
      <c r="B12" s="44">
        <v>5992</v>
      </c>
      <c r="C12" s="44">
        <v>5264</v>
      </c>
      <c r="D12" s="44">
        <v>4351</v>
      </c>
      <c r="E12" s="44">
        <v>4171</v>
      </c>
      <c r="H12" s="45">
        <f>B12</f>
        <v>5992</v>
      </c>
      <c r="I12" s="144" t="s">
        <v>291</v>
      </c>
      <c r="J12" s="144"/>
      <c r="K12" s="144"/>
      <c r="L12" s="144"/>
      <c r="M12" s="144"/>
    </row>
    <row r="13" spans="1:13">
      <c r="A13" t="s">
        <v>12</v>
      </c>
      <c r="H13" s="45">
        <f>B13</f>
        <v>0</v>
      </c>
      <c r="I13" s="144"/>
      <c r="J13" s="144"/>
      <c r="K13" s="144"/>
      <c r="L13" s="144"/>
      <c r="M13" s="144"/>
    </row>
    <row r="14" spans="1:13">
      <c r="A14" t="s">
        <v>13</v>
      </c>
      <c r="H14" s="45">
        <f>B14</f>
        <v>0</v>
      </c>
      <c r="I14" s="144"/>
      <c r="J14" s="144"/>
      <c r="K14" s="144"/>
      <c r="L14" s="144"/>
      <c r="M14" s="144"/>
    </row>
    <row r="15" spans="1:13">
      <c r="A15" t="s">
        <v>14</v>
      </c>
      <c r="B15" s="44">
        <v>8146</v>
      </c>
      <c r="C15" s="44">
        <v>7387</v>
      </c>
      <c r="D15" s="44">
        <v>6649</v>
      </c>
      <c r="E15" s="44">
        <v>6455</v>
      </c>
      <c r="H15" s="45">
        <f>B15</f>
        <v>8146</v>
      </c>
      <c r="I15" s="144"/>
      <c r="J15" s="144"/>
      <c r="K15" s="144"/>
      <c r="L15" s="144"/>
      <c r="M15" s="144"/>
    </row>
    <row r="16" spans="1:13">
      <c r="A16" t="s">
        <v>15</v>
      </c>
      <c r="B16" s="44">
        <v>24284</v>
      </c>
      <c r="C16" s="44">
        <v>22414</v>
      </c>
      <c r="D16" s="44">
        <v>21603</v>
      </c>
      <c r="E16" s="44">
        <v>21214</v>
      </c>
      <c r="H16" s="45">
        <f t="shared" ref="H16:H24" si="1">B16</f>
        <v>24284</v>
      </c>
      <c r="I16" s="144"/>
      <c r="J16" s="144"/>
      <c r="K16" s="144"/>
      <c r="L16" s="144"/>
      <c r="M16" s="144"/>
    </row>
    <row r="17" spans="1:13">
      <c r="A17" t="s">
        <v>146</v>
      </c>
      <c r="H17" s="45">
        <f t="shared" si="1"/>
        <v>0</v>
      </c>
      <c r="I17" s="144"/>
      <c r="J17" s="144"/>
      <c r="K17" s="144"/>
      <c r="L17" s="144"/>
      <c r="M17" s="144"/>
    </row>
    <row r="18" spans="1:13">
      <c r="A18" t="s">
        <v>145</v>
      </c>
      <c r="B18" s="44">
        <v>4117</v>
      </c>
      <c r="C18" s="44">
        <v>4116</v>
      </c>
      <c r="D18" s="44">
        <v>4114</v>
      </c>
      <c r="E18" s="44">
        <v>4113</v>
      </c>
      <c r="H18" s="45">
        <f t="shared" si="1"/>
        <v>4117</v>
      </c>
      <c r="I18" s="144"/>
      <c r="J18" s="144"/>
      <c r="K18" s="144"/>
      <c r="L18" s="144"/>
      <c r="M18" s="144"/>
    </row>
    <row r="19" spans="1:13">
      <c r="A19" t="s">
        <v>152</v>
      </c>
      <c r="H19" s="45">
        <f t="shared" si="1"/>
        <v>0</v>
      </c>
      <c r="I19" s="144"/>
      <c r="J19" s="144"/>
      <c r="K19" s="144"/>
      <c r="L19" s="144"/>
      <c r="M19" s="144"/>
    </row>
    <row r="20" spans="1:13">
      <c r="A20" t="s">
        <v>16</v>
      </c>
      <c r="B20" s="44">
        <v>5512</v>
      </c>
      <c r="C20" s="44">
        <v>5130</v>
      </c>
      <c r="D20" s="44">
        <v>5164</v>
      </c>
      <c r="E20" s="44">
        <v>5228</v>
      </c>
      <c r="H20" s="45">
        <f t="shared" si="1"/>
        <v>5512</v>
      </c>
      <c r="I20" s="144"/>
      <c r="J20" s="144"/>
      <c r="K20" s="144"/>
      <c r="L20" s="144"/>
      <c r="M20" s="144"/>
    </row>
    <row r="21" spans="1:13">
      <c r="A21" t="s">
        <v>17</v>
      </c>
      <c r="B21" s="44">
        <v>5508</v>
      </c>
      <c r="C21" s="44">
        <v>5571</v>
      </c>
      <c r="D21" s="44">
        <v>5558</v>
      </c>
      <c r="E21" s="44">
        <v>5521</v>
      </c>
      <c r="H21" s="45">
        <f t="shared" si="1"/>
        <v>5508</v>
      </c>
      <c r="I21" s="144"/>
      <c r="J21" s="144"/>
      <c r="K21" s="144"/>
      <c r="L21" s="144"/>
      <c r="M21" s="144"/>
    </row>
    <row r="22" spans="1:13">
      <c r="A22" t="s">
        <v>18</v>
      </c>
      <c r="B22" s="44">
        <v>11020</v>
      </c>
      <c r="C22" s="44">
        <v>10701</v>
      </c>
      <c r="D22" s="44">
        <v>10722</v>
      </c>
      <c r="E22" s="44">
        <v>10749</v>
      </c>
      <c r="H22" s="45">
        <f t="shared" si="1"/>
        <v>11020</v>
      </c>
      <c r="I22" s="144"/>
      <c r="J22" s="144"/>
      <c r="K22" s="144"/>
      <c r="L22" s="144"/>
      <c r="M22" s="144"/>
    </row>
    <row r="23" spans="1:13">
      <c r="A23" t="s">
        <v>19</v>
      </c>
      <c r="B23" s="44">
        <v>13264</v>
      </c>
      <c r="C23" s="44">
        <v>11713</v>
      </c>
      <c r="D23" s="44">
        <v>10881</v>
      </c>
      <c r="E23" s="44">
        <v>10465</v>
      </c>
      <c r="H23" s="45">
        <f t="shared" si="1"/>
        <v>13264</v>
      </c>
      <c r="I23" s="144"/>
      <c r="J23" s="144"/>
      <c r="K23" s="144"/>
      <c r="L23" s="144"/>
      <c r="M23" s="144"/>
    </row>
    <row r="24" spans="1:13">
      <c r="A24" s="91" t="s">
        <v>20</v>
      </c>
      <c r="B24" s="92">
        <v>484</v>
      </c>
      <c r="C24" s="92">
        <v>485</v>
      </c>
      <c r="D24" s="92">
        <v>485</v>
      </c>
      <c r="E24" s="92">
        <v>488</v>
      </c>
      <c r="H24" s="45">
        <f t="shared" si="1"/>
        <v>484</v>
      </c>
      <c r="I24" s="144"/>
      <c r="J24" s="144"/>
      <c r="K24" s="144"/>
      <c r="L24" s="144"/>
      <c r="M24" s="144"/>
    </row>
    <row r="25" spans="1:13">
      <c r="A25" t="s">
        <v>21</v>
      </c>
      <c r="B25" s="45">
        <v>-3945</v>
      </c>
      <c r="C25" s="44">
        <v>1436</v>
      </c>
      <c r="D25" s="44">
        <v>1184</v>
      </c>
      <c r="E25" s="44">
        <v>1325</v>
      </c>
      <c r="F25" s="44">
        <v>1377</v>
      </c>
      <c r="H25" s="45">
        <f>SUM(C25:F25)</f>
        <v>5322</v>
      </c>
      <c r="I25" s="144" t="s">
        <v>292</v>
      </c>
      <c r="J25" s="144"/>
      <c r="K25" s="144"/>
      <c r="L25" s="144"/>
      <c r="M25" s="144"/>
    </row>
    <row r="26" spans="1:13">
      <c r="A26" t="s">
        <v>22</v>
      </c>
      <c r="B26" s="44">
        <v>283</v>
      </c>
      <c r="C26" s="44">
        <v>-315</v>
      </c>
      <c r="D26" s="44">
        <v>80</v>
      </c>
      <c r="E26" s="44">
        <v>-48</v>
      </c>
      <c r="H26" s="45">
        <f>SUM(C26:F26)</f>
        <v>-283</v>
      </c>
      <c r="I26" s="144"/>
      <c r="J26" s="144"/>
      <c r="K26" s="144"/>
      <c r="L26" s="144"/>
      <c r="M26" s="144"/>
    </row>
    <row r="27" spans="1:13">
      <c r="A27" t="s">
        <v>23</v>
      </c>
      <c r="B27" s="44">
        <v>6</v>
      </c>
      <c r="E27" s="44">
        <v>-6</v>
      </c>
      <c r="H27" s="45">
        <f t="shared" ref="H27:H29" si="2">SUM(C27:F27)</f>
        <v>-6</v>
      </c>
      <c r="I27" s="144"/>
      <c r="J27" s="144"/>
      <c r="K27" s="144"/>
      <c r="L27" s="144"/>
      <c r="M27" s="144"/>
    </row>
    <row r="28" spans="1:13">
      <c r="A28" t="s">
        <v>24</v>
      </c>
      <c r="B28" s="44">
        <v>1930</v>
      </c>
      <c r="C28" s="44">
        <v>-319</v>
      </c>
      <c r="D28" s="44">
        <v>-849</v>
      </c>
      <c r="E28" s="44">
        <v>-762</v>
      </c>
      <c r="H28" s="45">
        <f t="shared" si="2"/>
        <v>-1930</v>
      </c>
      <c r="I28" s="144"/>
      <c r="J28" s="144"/>
      <c r="K28" s="144"/>
      <c r="L28" s="144"/>
      <c r="M28" s="144"/>
    </row>
    <row r="29" spans="1:13">
      <c r="A29" t="s">
        <v>25</v>
      </c>
      <c r="B29" s="45">
        <v>2548</v>
      </c>
      <c r="C29" s="44">
        <v>-414</v>
      </c>
      <c r="D29" s="44">
        <v>-901</v>
      </c>
      <c r="E29" s="44">
        <v>-1233</v>
      </c>
      <c r="H29" s="45">
        <f t="shared" si="2"/>
        <v>-2548</v>
      </c>
      <c r="I29" s="144"/>
      <c r="J29" s="144"/>
      <c r="K29" s="144"/>
      <c r="L29" s="144"/>
      <c r="M29" s="144"/>
    </row>
  </sheetData>
  <mergeCells count="3">
    <mergeCell ref="I1:M11"/>
    <mergeCell ref="I12:M24"/>
    <mergeCell ref="I25:M29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5E8C-B931-476B-8703-A068DA3E7758}">
  <dimension ref="O1:AG36"/>
  <sheetViews>
    <sheetView showGridLines="0" topLeftCell="M1" zoomScale="120" zoomScaleNormal="120" workbookViewId="0">
      <selection activeCell="Q13" sqref="Q13"/>
    </sheetView>
  </sheetViews>
  <sheetFormatPr defaultRowHeight="15"/>
  <cols>
    <col min="16" max="16" width="35.28515625" bestFit="1" customWidth="1"/>
    <col min="20" max="20" width="9.140625" customWidth="1"/>
    <col min="23" max="23" width="9.85546875" bestFit="1" customWidth="1"/>
  </cols>
  <sheetData>
    <row r="1" spans="15:33">
      <c r="O1" t="s">
        <v>302</v>
      </c>
      <c r="Q1" t="str">
        <f>'Wybrane dane i wskaźniki'!$D$2</f>
        <v>2018</v>
      </c>
      <c r="R1" t="str">
        <f>'Wybrane dane i wskaźniki'!$E$2</f>
        <v>2019</v>
      </c>
      <c r="S1" t="str">
        <f>'Wybrane dane i wskaźniki'!$F$2</f>
        <v>2020</v>
      </c>
      <c r="T1" t="str">
        <f>'Wybrane dane i wskaźniki'!$G$2</f>
        <v>2021</v>
      </c>
      <c r="U1">
        <f>'Wybrane dane i wskaźniki'!$H$2</f>
        <v>2022</v>
      </c>
      <c r="V1" t="s">
        <v>167</v>
      </c>
      <c r="W1" t="s">
        <v>165</v>
      </c>
      <c r="X1" t="s">
        <v>168</v>
      </c>
      <c r="Y1" t="s">
        <v>166</v>
      </c>
      <c r="AC1" s="6"/>
      <c r="AD1" s="6"/>
      <c r="AE1" s="6"/>
      <c r="AF1" s="6"/>
      <c r="AG1" s="6"/>
    </row>
    <row r="2" spans="15:33">
      <c r="O2">
        <v>1</v>
      </c>
      <c r="P2" t="str">
        <f>'Wybrane dane i wskaźniki'!L5</f>
        <v>P/E</v>
      </c>
      <c r="Q2" s="6">
        <f>'Wybrane dane i wskaźniki'!M5</f>
        <v>10.311004784688997</v>
      </c>
      <c r="R2" s="6">
        <f>'Wybrane dane i wskaźniki'!N5</f>
        <v>39.307692307692307</v>
      </c>
      <c r="S2" s="6">
        <f>'Wybrane dane i wskaźniki'!O5</f>
        <v>38.465517241379303</v>
      </c>
      <c r="T2" s="6">
        <f>'Wybrane dane i wskaźniki'!P5</f>
        <v>28.95454545454546</v>
      </c>
      <c r="U2" s="6">
        <f>'Wybrane dane i wskaźniki'!Q5</f>
        <v>11.32394366197183</v>
      </c>
      <c r="V2">
        <v>20</v>
      </c>
      <c r="W2">
        <v>10</v>
      </c>
      <c r="X2">
        <v>10</v>
      </c>
      <c r="Y2" s="6">
        <f>IF(MIN(Q2:U2)=0,SMALL(Q2:U2,2),MIN(Q2:U2))</f>
        <v>10.311004784688997</v>
      </c>
      <c r="Z2" s="6"/>
      <c r="AA2" s="6"/>
      <c r="AC2" s="6"/>
      <c r="AD2" s="6"/>
      <c r="AE2" s="6"/>
      <c r="AF2" s="6"/>
      <c r="AG2" s="6"/>
    </row>
    <row r="3" spans="15:33">
      <c r="O3">
        <v>2</v>
      </c>
      <c r="P3" t="str">
        <f>'Wybrane dane i wskaźniki'!L6</f>
        <v>P/E exc. $</v>
      </c>
      <c r="Q3" s="6">
        <f>'Wybrane dane i wskaźniki'!M6</f>
        <v>10.311004784688997</v>
      </c>
      <c r="R3" s="6">
        <f>'Wybrane dane i wskaźniki'!N6</f>
        <v>39.307692307692307</v>
      </c>
      <c r="S3" s="6">
        <f>'Wybrane dane i wskaźniki'!O6</f>
        <v>38.465517241379303</v>
      </c>
      <c r="T3" s="6">
        <f>'Wybrane dane i wskaźniki'!P6</f>
        <v>28.95454545454546</v>
      </c>
      <c r="U3" s="6">
        <f>'Wybrane dane i wskaźniki'!Q6</f>
        <v>11.32394366197183</v>
      </c>
      <c r="V3">
        <v>20</v>
      </c>
      <c r="W3">
        <v>10</v>
      </c>
      <c r="X3">
        <v>10</v>
      </c>
      <c r="Y3" s="6">
        <f t="shared" ref="Y3:Y7" si="0">IF(MIN(Q3:U3)=0,SMALL(Q3:U3,2),MIN(Q3:U3))</f>
        <v>10.311004784688997</v>
      </c>
      <c r="Z3" s="6"/>
      <c r="AA3" s="6"/>
    </row>
    <row r="4" spans="15:33">
      <c r="O4">
        <v>3</v>
      </c>
      <c r="P4" t="str">
        <f>'Wybrane dane i wskaźniki'!L41</f>
        <v>P/CFO</v>
      </c>
      <c r="Q4" s="6">
        <f>'Wybrane dane i wskaźniki'!M41</f>
        <v>7.7065687935253155</v>
      </c>
      <c r="R4" s="6">
        <f>'Wybrane dane i wskaźniki'!N41</f>
        <v>7.9395770392749263</v>
      </c>
      <c r="S4" s="6">
        <f>'Wybrane dane i wskaźniki'!O41</f>
        <v>5.3551140152020267</v>
      </c>
      <c r="T4" s="6">
        <f>'Wybrane dane i wskaźniki'!P41</f>
        <v>9.4659747611746674</v>
      </c>
      <c r="U4" s="6">
        <f>'Wybrane dane i wskaźniki'!Q41</f>
        <v>7.9653250773993793</v>
      </c>
      <c r="V4">
        <v>20</v>
      </c>
      <c r="W4">
        <v>10</v>
      </c>
      <c r="X4">
        <v>10</v>
      </c>
      <c r="Y4" s="6">
        <f t="shared" si="0"/>
        <v>5.3551140152020267</v>
      </c>
      <c r="Z4" s="6"/>
      <c r="AA4" s="6"/>
    </row>
    <row r="5" spans="15:33">
      <c r="O5">
        <v>4</v>
      </c>
      <c r="P5" t="str">
        <f>'Wybrane dane i wskaźniki'!L42</f>
        <v>P/CFO ex. $</v>
      </c>
      <c r="Q5" s="6">
        <f>'Wybrane dane i wskaźniki'!M42</f>
        <v>7.7065687935253155</v>
      </c>
      <c r="R5" s="6">
        <f>'Wybrane dane i wskaźniki'!N42</f>
        <v>7.9395770392749263</v>
      </c>
      <c r="S5" s="6">
        <f>'Wybrane dane i wskaźniki'!O42</f>
        <v>5.3551140152020267</v>
      </c>
      <c r="T5" s="6">
        <f>'Wybrane dane i wskaźniki'!P42</f>
        <v>9.4659747611746674</v>
      </c>
      <c r="U5" s="6">
        <f>'Wybrane dane i wskaźniki'!Q42</f>
        <v>7.9653250773993793</v>
      </c>
      <c r="V5">
        <v>20</v>
      </c>
      <c r="W5">
        <v>10</v>
      </c>
      <c r="X5">
        <v>10</v>
      </c>
      <c r="Y5" s="6">
        <f t="shared" si="0"/>
        <v>5.3551140152020267</v>
      </c>
      <c r="Z5" s="6"/>
      <c r="AA5" s="6"/>
    </row>
    <row r="6" spans="15:33">
      <c r="O6">
        <v>5</v>
      </c>
      <c r="P6" t="str">
        <f>'Wybrane dane i wskaźniki'!L44</f>
        <v>P/EBITDA</v>
      </c>
      <c r="Q6" s="6">
        <f>'Wybrane dane i wskaźniki'!M44</f>
        <v>6.127656390302306</v>
      </c>
      <c r="R6" s="6">
        <f>'Wybrane dane i wskaźniki'!N44</f>
        <v>6.1340446815605194</v>
      </c>
      <c r="S6" s="6">
        <f>'Wybrane dane i wskaźniki'!O44</f>
        <v>5.8073752711496738</v>
      </c>
      <c r="T6" s="6">
        <f>'Wybrane dane i wskaźniki'!P44</f>
        <v>9.0253007983807478</v>
      </c>
      <c r="U6" s="6">
        <f>'Wybrane dane i wskaźniki'!Q44</f>
        <v>4.7817117368274316</v>
      </c>
      <c r="V6">
        <v>20</v>
      </c>
      <c r="W6">
        <v>10</v>
      </c>
      <c r="X6">
        <v>10</v>
      </c>
      <c r="Y6" s="6">
        <f t="shared" si="0"/>
        <v>4.7817117368274316</v>
      </c>
      <c r="Z6" s="6"/>
      <c r="AA6" s="6"/>
    </row>
    <row r="7" spans="15:33">
      <c r="O7">
        <v>6</v>
      </c>
      <c r="P7" t="str">
        <f>'Wybrane dane i wskaźniki'!L45</f>
        <v>P/EBITDA ex. $</v>
      </c>
      <c r="Q7" s="6">
        <f>'Wybrane dane i wskaźniki'!M45</f>
        <v>6.127656390302306</v>
      </c>
      <c r="R7" s="6">
        <f>'Wybrane dane i wskaźniki'!N45</f>
        <v>6.1340446815605194</v>
      </c>
      <c r="S7" s="6">
        <f>'Wybrane dane i wskaźniki'!O45</f>
        <v>5.8073752711496738</v>
      </c>
      <c r="T7" s="6">
        <f>'Wybrane dane i wskaźniki'!P45</f>
        <v>9.0253007983807478</v>
      </c>
      <c r="U7" s="6">
        <f>'Wybrane dane i wskaźniki'!Q45</f>
        <v>4.7817117368274316</v>
      </c>
      <c r="V7">
        <v>20</v>
      </c>
      <c r="W7">
        <v>10</v>
      </c>
      <c r="X7">
        <v>10</v>
      </c>
      <c r="Y7" s="6">
        <f t="shared" si="0"/>
        <v>4.7817117368274316</v>
      </c>
      <c r="Z7" s="6"/>
      <c r="AA7" s="6"/>
    </row>
    <row r="8" spans="15:33">
      <c r="O8" t="s">
        <v>301</v>
      </c>
      <c r="P8">
        <v>2</v>
      </c>
      <c r="Q8">
        <v>3</v>
      </c>
      <c r="R8">
        <v>4</v>
      </c>
      <c r="S8">
        <v>5</v>
      </c>
      <c r="T8">
        <v>6</v>
      </c>
      <c r="U8">
        <v>7</v>
      </c>
    </row>
    <row r="9" spans="15:33">
      <c r="O9">
        <v>5</v>
      </c>
      <c r="P9" s="6" t="str">
        <f>VLOOKUP($O$9,$O$2:$U$7,P8)</f>
        <v>P/EBITDA</v>
      </c>
      <c r="Q9" s="6">
        <f>VLOOKUP($O$9,$O$2:$U$7,Q8)</f>
        <v>6.127656390302306</v>
      </c>
      <c r="R9" s="6">
        <f t="shared" ref="R9:U9" si="1">VLOOKUP($O$9,$O$2:$U$7,R8)</f>
        <v>6.1340446815605194</v>
      </c>
      <c r="S9" s="6">
        <f t="shared" si="1"/>
        <v>5.8073752711496738</v>
      </c>
      <c r="T9" s="6">
        <f t="shared" si="1"/>
        <v>9.0253007983807478</v>
      </c>
      <c r="U9" s="6">
        <f t="shared" si="1"/>
        <v>4.7817117368274316</v>
      </c>
      <c r="V9" s="6"/>
      <c r="W9" s="6"/>
      <c r="Y9" t="s">
        <v>228</v>
      </c>
    </row>
    <row r="10" spans="15:33">
      <c r="O10">
        <v>3</v>
      </c>
      <c r="P10" s="6" t="str">
        <f>VLOOKUP($O$10,$O$2:$U$7,P8)</f>
        <v>P/CFO</v>
      </c>
      <c r="Q10" s="6">
        <f>VLOOKUP($O$10,$O$2:$U$7,Q8)</f>
        <v>7.7065687935253155</v>
      </c>
      <c r="R10" s="6">
        <f t="shared" ref="R10:U10" si="2">VLOOKUP($O$10,$O$2:$U$7,R8)</f>
        <v>7.9395770392749263</v>
      </c>
      <c r="S10" s="6">
        <f t="shared" si="2"/>
        <v>5.3551140152020267</v>
      </c>
      <c r="T10" s="6">
        <f t="shared" si="2"/>
        <v>9.4659747611746674</v>
      </c>
      <c r="U10" s="6">
        <f t="shared" si="2"/>
        <v>7.9653250773993793</v>
      </c>
      <c r="V10" s="6"/>
      <c r="W10" s="6"/>
      <c r="Y10" t="s">
        <v>229</v>
      </c>
    </row>
    <row r="11" spans="15:33">
      <c r="P11" t="str">
        <f>CONCATENATE("Śr. ", P9)</f>
        <v>Śr. P/EBITDA</v>
      </c>
      <c r="Q11" s="6">
        <f>SUM(Q9:U9)/(IF(COUNTIF(Q9:U9,"&gt; 0")=0,1,COUNTIF(Q9:U9,"&gt; 0")))</f>
        <v>6.3752177756441357</v>
      </c>
      <c r="R11" s="6">
        <f>$Q$11</f>
        <v>6.3752177756441357</v>
      </c>
      <c r="S11" s="6">
        <f t="shared" ref="S11:U11" si="3">$Q$11</f>
        <v>6.3752177756441357</v>
      </c>
      <c r="T11" s="6">
        <f t="shared" si="3"/>
        <v>6.3752177756441357</v>
      </c>
      <c r="U11" s="6">
        <f t="shared" si="3"/>
        <v>6.3752177756441357</v>
      </c>
      <c r="V11" s="6"/>
      <c r="W11" s="6"/>
    </row>
    <row r="12" spans="15:33">
      <c r="Q12" t="s">
        <v>172</v>
      </c>
      <c r="T12" t="s">
        <v>173</v>
      </c>
      <c r="Y12" t="s">
        <v>227</v>
      </c>
      <c r="AB12">
        <v>1</v>
      </c>
    </row>
    <row r="13" spans="15:33">
      <c r="P13" t="str">
        <f t="shared" ref="P13:P18" si="4">P2</f>
        <v>P/E</v>
      </c>
      <c r="Q13" s="32">
        <f>IF(U2&lt;0,0,IF(100-2.5*U2&lt;0,0,100-2.5*U2))/100</f>
        <v>0.71690140845070427</v>
      </c>
      <c r="T13" s="32">
        <f>IF(U2=0,0,IF(MIN(Q2:U2)&gt;0,POWER(MIN(Q2:U2)/U2,2)*0.66+IF(AVERAGE(Q2:U2)/U2&gt;=2,1,AVERAGE(Q2:U2)/U2/2)*0.33,POWER(SMALL(Q2:U2,2)/U2,2)*0.66+IF(AVERAGE(Q2:U2)/U2&gt;=2,1,AVERAGE(Q2:U2)/U2/2)*0.33))</f>
        <v>0.87720557357934981</v>
      </c>
      <c r="U13" s="6"/>
      <c r="W13" s="5"/>
      <c r="X13" s="5"/>
      <c r="Y13" s="32">
        <f>IF($AB$12=2,Q13,T13)</f>
        <v>0.87720557357934981</v>
      </c>
      <c r="Z13" s="32"/>
      <c r="AA13" s="32"/>
    </row>
    <row r="14" spans="15:33">
      <c r="P14" t="str">
        <f t="shared" si="4"/>
        <v>P/E exc. $</v>
      </c>
      <c r="Q14" s="32">
        <f t="shared" ref="Q14:Q17" si="5">IF(U3&lt;0,0,IF(100-2.5*U3&lt;0,0,100-2.5*U3))/100</f>
        <v>0.71690140845070427</v>
      </c>
      <c r="T14" s="32">
        <f t="shared" ref="T14:T18" si="6">IF(U3=0,0,IF(MIN(Q3:U3)&gt;0,POWER(MIN(Q3:U3)/U3,2)*0.66+IF(AVERAGE(Q3:U3)/U3&gt;=2,1,AVERAGE(Q3:U3)/U3/2)*0.33,POWER(SMALL(Q3:U3,2)/U3,2)*0.66+IF(AVERAGE(Q3:U3)/U3&gt;=2,1,AVERAGE(Q3:U3)/U3/2)*0.33))</f>
        <v>0.87720557357934981</v>
      </c>
      <c r="U14" s="6"/>
      <c r="W14" s="5"/>
      <c r="X14" s="6"/>
      <c r="Y14" s="32">
        <f t="shared" ref="Y14:Y18" si="7">IF($AB$12=2,Q14,T14)</f>
        <v>0.87720557357934981</v>
      </c>
      <c r="Z14" s="32"/>
      <c r="AA14" s="32"/>
    </row>
    <row r="15" spans="15:33">
      <c r="P15" t="str">
        <f t="shared" si="4"/>
        <v>P/CFO</v>
      </c>
      <c r="Q15" s="32">
        <f t="shared" si="5"/>
        <v>0.80086687306501547</v>
      </c>
      <c r="T15" s="32">
        <f t="shared" si="6"/>
        <v>0.45753894992742167</v>
      </c>
      <c r="U15" s="6"/>
      <c r="W15" s="5"/>
      <c r="X15" s="5"/>
      <c r="Y15" s="32">
        <f t="shared" si="7"/>
        <v>0.45753894992742167</v>
      </c>
      <c r="Z15" s="32"/>
      <c r="AA15" s="32"/>
    </row>
    <row r="16" spans="15:33">
      <c r="P16" t="str">
        <f t="shared" si="4"/>
        <v>P/CFO ex. $</v>
      </c>
      <c r="Q16" s="32">
        <f t="shared" si="5"/>
        <v>0.80086687306501547</v>
      </c>
      <c r="T16" s="32">
        <f t="shared" si="6"/>
        <v>0.45753894992742167</v>
      </c>
      <c r="U16" s="6"/>
      <c r="W16" s="5"/>
      <c r="X16" s="5"/>
      <c r="Y16" s="32">
        <f t="shared" si="7"/>
        <v>0.45753894992742167</v>
      </c>
      <c r="Z16" s="32"/>
      <c r="AA16" s="32"/>
    </row>
    <row r="17" spans="16:27">
      <c r="P17" t="str">
        <f t="shared" si="4"/>
        <v>P/EBITDA</v>
      </c>
      <c r="Q17" s="32">
        <f t="shared" si="5"/>
        <v>0.88045720657931426</v>
      </c>
      <c r="T17" s="32">
        <f t="shared" si="6"/>
        <v>0.87998627079080349</v>
      </c>
      <c r="U17" s="6"/>
      <c r="W17" s="5"/>
      <c r="X17" s="5"/>
      <c r="Y17" s="32">
        <f t="shared" si="7"/>
        <v>0.87998627079080349</v>
      </c>
      <c r="Z17" s="32"/>
      <c r="AA17" s="32"/>
    </row>
    <row r="18" spans="16:27">
      <c r="P18" t="str">
        <f t="shared" si="4"/>
        <v>P/EBITDA ex. $</v>
      </c>
      <c r="Q18" s="32">
        <f>IF(U7&lt;0,0,IF(100-2.5*U7&lt;0,0,100-2.5*U7))/100</f>
        <v>0.88045720657931426</v>
      </c>
      <c r="T18" s="32">
        <f t="shared" si="6"/>
        <v>0.87998627079080349</v>
      </c>
      <c r="U18" s="6"/>
      <c r="Y18" s="32">
        <f t="shared" si="7"/>
        <v>0.87998627079080349</v>
      </c>
      <c r="Z18" s="32"/>
      <c r="AA18" s="32"/>
    </row>
    <row r="19" spans="16:27">
      <c r="T19" s="38"/>
    </row>
    <row r="25" spans="16:27">
      <c r="W25" s="6"/>
    </row>
    <row r="26" spans="16:27">
      <c r="W26" s="6"/>
    </row>
    <row r="36" spans="17:21">
      <c r="Q36" s="6"/>
      <c r="R36" s="6"/>
      <c r="S36" s="6"/>
      <c r="T36" s="6"/>
      <c r="U36" s="6"/>
    </row>
  </sheetData>
  <sortState xmlns:xlrd2="http://schemas.microsoft.com/office/spreadsheetml/2017/richdata2" ref="P2:Y7">
    <sortCondition ref="P2:P7"/>
  </sortState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7D20-5966-4B6E-B351-E412309C7314}">
  <dimension ref="I1:P36"/>
  <sheetViews>
    <sheetView workbookViewId="0">
      <selection activeCell="H25" sqref="H25"/>
    </sheetView>
  </sheetViews>
  <sheetFormatPr defaultRowHeight="15"/>
  <cols>
    <col min="1" max="8" width="9.140625" style="106"/>
    <col min="9" max="9" width="29.42578125" style="106" bestFit="1" customWidth="1"/>
    <col min="10" max="16384" width="9.140625" style="106"/>
  </cols>
  <sheetData>
    <row r="1" spans="9:16">
      <c r="J1" s="106" t="str">
        <f>'Wybrane dane i wskaźniki'!D2</f>
        <v>2018</v>
      </c>
      <c r="K1" s="106" t="str">
        <f>'Wybrane dane i wskaźniki'!E2</f>
        <v>2019</v>
      </c>
      <c r="L1" s="106" t="str">
        <f>'Wybrane dane i wskaźniki'!F2</f>
        <v>2020</v>
      </c>
      <c r="M1" s="106" t="str">
        <f>'Wybrane dane i wskaźniki'!G2</f>
        <v>2021</v>
      </c>
      <c r="N1" s="106">
        <f>'Wybrane dane i wskaźniki'!H2</f>
        <v>2022</v>
      </c>
      <c r="P1" s="106" t="s">
        <v>177</v>
      </c>
    </row>
    <row r="2" spans="9:16">
      <c r="I2" s="107" t="str">
        <f>'Wybrane dane i wskaźniki'!C13</f>
        <v>Dividends Paid Per Share (DPS):</v>
      </c>
      <c r="J2" s="107">
        <f>'Wybrane dane i wskaźniki'!D13</f>
        <v>0.32</v>
      </c>
      <c r="K2" s="107">
        <f>'Wybrane dane i wskaźniki'!E13</f>
        <v>0.32</v>
      </c>
      <c r="L2" s="107">
        <f>'Wybrane dane i wskaźniki'!F13</f>
        <v>0.32999999999999996</v>
      </c>
      <c r="M2" s="107">
        <f>'Wybrane dane i wskaźniki'!G13</f>
        <v>0.4</v>
      </c>
      <c r="N2" s="107">
        <f>'Wybrane dane i wskaźniki'!H13</f>
        <v>0.44</v>
      </c>
    </row>
    <row r="3" spans="9:16">
      <c r="I3" s="106" t="s">
        <v>306</v>
      </c>
      <c r="J3" s="107"/>
      <c r="K3" s="107"/>
      <c r="L3" s="107"/>
      <c r="M3" s="107"/>
      <c r="N3" s="50">
        <f>IF(N2=0,0,POWER(N2/J2,1/(COUNTA(J1:N1)-1))-1)</f>
        <v>8.2868385333996875E-2</v>
      </c>
    </row>
    <row r="4" spans="9:16">
      <c r="I4" s="106" t="s">
        <v>307</v>
      </c>
      <c r="N4" s="108">
        <f>IF(N2=0,0,POWER(N2/L2,1/(COUNTA(L1:N1)-1))-1)</f>
        <v>0.15470053837925168</v>
      </c>
    </row>
    <row r="5" spans="9:16">
      <c r="I5" s="107" t="s">
        <v>305</v>
      </c>
      <c r="J5" s="107">
        <f>'Wybrane dane i wskaźniki'!M9</f>
        <v>0.15311004784688997</v>
      </c>
      <c r="K5" s="107">
        <f>'Wybrane dane i wskaźniki'!N9</f>
        <v>0.61538461538461542</v>
      </c>
      <c r="L5" s="107">
        <f>'Wybrane dane i wskaźniki'!O9</f>
        <v>0.56896551724137923</v>
      </c>
      <c r="M5" s="107">
        <f>'Wybrane dane i wskaźniki'!P9</f>
        <v>0.25974025974025977</v>
      </c>
      <c r="N5" s="107">
        <f>'Wybrane dane i wskaźniki'!Q9</f>
        <v>0.15492957746478875</v>
      </c>
    </row>
    <row r="6" spans="9:16">
      <c r="J6" s="107"/>
      <c r="K6" s="107"/>
      <c r="L6" s="107"/>
      <c r="M6" s="107"/>
      <c r="N6" s="107"/>
    </row>
    <row r="7" spans="9:16">
      <c r="J7" s="107"/>
      <c r="K7" s="107"/>
      <c r="L7" s="107"/>
      <c r="M7" s="107"/>
      <c r="N7" s="107"/>
    </row>
    <row r="8" spans="9:16">
      <c r="J8" s="107"/>
      <c r="K8" s="107"/>
      <c r="L8" s="107"/>
      <c r="M8" s="107"/>
      <c r="N8" s="107"/>
    </row>
    <row r="9" spans="9:16">
      <c r="J9" s="107"/>
      <c r="K9" s="107"/>
      <c r="L9" s="107"/>
      <c r="M9" s="107"/>
      <c r="N9" s="107"/>
    </row>
    <row r="10" spans="9:16">
      <c r="J10" s="107"/>
      <c r="K10" s="107"/>
      <c r="L10" s="107"/>
      <c r="M10" s="107"/>
      <c r="N10" s="107"/>
    </row>
    <row r="11" spans="9:16">
      <c r="J11" s="107"/>
      <c r="K11" s="107"/>
      <c r="L11" s="107"/>
      <c r="M11" s="107"/>
      <c r="N11" s="107"/>
    </row>
    <row r="12" spans="9:16">
      <c r="J12" s="107"/>
      <c r="K12" s="107"/>
      <c r="L12" s="107"/>
      <c r="M12" s="107"/>
      <c r="N12" s="107"/>
    </row>
    <row r="13" spans="9:16">
      <c r="J13" s="107"/>
      <c r="K13" s="107"/>
      <c r="L13" s="107"/>
      <c r="M13" s="107"/>
      <c r="N13" s="107"/>
    </row>
    <row r="14" spans="9:16">
      <c r="J14" s="107"/>
      <c r="K14" s="107"/>
      <c r="L14" s="107"/>
      <c r="M14" s="107"/>
      <c r="N14" s="107"/>
    </row>
    <row r="15" spans="9:16">
      <c r="J15" s="107"/>
      <c r="K15" s="107"/>
      <c r="L15" s="107"/>
      <c r="M15" s="107"/>
      <c r="N15" s="107"/>
    </row>
    <row r="16" spans="9:16">
      <c r="J16" s="107"/>
      <c r="K16" s="107"/>
      <c r="L16" s="107"/>
      <c r="M16" s="107"/>
      <c r="N16" s="107"/>
    </row>
    <row r="17" spans="10:14">
      <c r="J17" s="107"/>
      <c r="K17" s="107"/>
      <c r="L17" s="107"/>
      <c r="M17" s="107"/>
      <c r="N17" s="107"/>
    </row>
    <row r="18" spans="10:14">
      <c r="J18" s="107"/>
      <c r="K18" s="107"/>
      <c r="L18" s="107"/>
      <c r="M18" s="107"/>
      <c r="N18" s="107"/>
    </row>
    <row r="19" spans="10:14">
      <c r="J19" s="107"/>
      <c r="K19" s="107"/>
      <c r="L19" s="107"/>
      <c r="M19" s="107"/>
      <c r="N19" s="107"/>
    </row>
    <row r="20" spans="10:14">
      <c r="J20" s="107"/>
      <c r="K20" s="107"/>
      <c r="L20" s="107"/>
      <c r="M20" s="107"/>
      <c r="N20" s="107"/>
    </row>
    <row r="21" spans="10:14">
      <c r="J21" s="107"/>
      <c r="K21" s="107"/>
      <c r="L21" s="107"/>
      <c r="M21" s="107"/>
      <c r="N21" s="107"/>
    </row>
    <row r="22" spans="10:14">
      <c r="J22" s="107"/>
      <c r="K22" s="107"/>
      <c r="L22" s="107"/>
      <c r="M22" s="107"/>
      <c r="N22" s="107"/>
    </row>
    <row r="23" spans="10:14">
      <c r="J23" s="107"/>
      <c r="K23" s="107"/>
      <c r="L23" s="107"/>
      <c r="M23" s="107"/>
      <c r="N23" s="107"/>
    </row>
    <row r="24" spans="10:14">
      <c r="J24" s="107"/>
      <c r="K24" s="107"/>
      <c r="L24" s="107"/>
      <c r="M24" s="107"/>
      <c r="N24" s="107"/>
    </row>
    <row r="25" spans="10:14">
      <c r="J25" s="107"/>
      <c r="K25" s="107"/>
      <c r="L25" s="107"/>
      <c r="M25" s="107"/>
      <c r="N25" s="107"/>
    </row>
    <row r="26" spans="10:14">
      <c r="J26" s="107"/>
      <c r="K26" s="107"/>
      <c r="L26" s="107"/>
      <c r="M26" s="107"/>
      <c r="N26" s="107"/>
    </row>
    <row r="27" spans="10:14">
      <c r="J27" s="107"/>
      <c r="K27" s="107"/>
      <c r="L27" s="107"/>
      <c r="M27" s="107"/>
      <c r="N27" s="107"/>
    </row>
    <row r="28" spans="10:14">
      <c r="J28" s="107"/>
      <c r="K28" s="107"/>
      <c r="L28" s="107"/>
      <c r="M28" s="107"/>
      <c r="N28" s="107"/>
    </row>
    <row r="29" spans="10:14">
      <c r="J29" s="107"/>
      <c r="K29" s="107"/>
      <c r="L29" s="107"/>
      <c r="M29" s="107"/>
      <c r="N29" s="107"/>
    </row>
    <row r="30" spans="10:14">
      <c r="J30" s="107"/>
      <c r="K30" s="107"/>
      <c r="L30" s="107"/>
      <c r="M30" s="107"/>
      <c r="N30" s="107"/>
    </row>
    <row r="31" spans="10:14">
      <c r="J31" s="107"/>
      <c r="K31" s="107"/>
      <c r="L31" s="107"/>
      <c r="M31" s="107"/>
      <c r="N31" s="107"/>
    </row>
    <row r="32" spans="10:14">
      <c r="J32" s="107"/>
      <c r="K32" s="107"/>
      <c r="L32" s="107"/>
      <c r="M32" s="107"/>
      <c r="N32" s="107"/>
    </row>
    <row r="33" spans="10:14">
      <c r="J33" s="107"/>
      <c r="K33" s="107"/>
      <c r="L33" s="107"/>
      <c r="M33" s="107"/>
      <c r="N33" s="107"/>
    </row>
    <row r="34" spans="10:14">
      <c r="J34" s="107"/>
      <c r="K34" s="107"/>
      <c r="L34" s="107"/>
      <c r="M34" s="107"/>
      <c r="N34" s="107"/>
    </row>
    <row r="35" spans="10:14">
      <c r="J35" s="107"/>
      <c r="K35" s="107"/>
      <c r="L35" s="107"/>
      <c r="M35" s="107"/>
      <c r="N35" s="107"/>
    </row>
    <row r="36" spans="10:14">
      <c r="J36" s="107"/>
      <c r="K36" s="107"/>
      <c r="L36" s="107"/>
      <c r="M36" s="107"/>
      <c r="N36" s="107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7CDC-4D3F-468B-B12B-670EFA91E93B}">
  <dimension ref="A1:R21"/>
  <sheetViews>
    <sheetView workbookViewId="0">
      <selection activeCell="L11" sqref="L11"/>
    </sheetView>
  </sheetViews>
  <sheetFormatPr defaultRowHeight="15"/>
  <cols>
    <col min="1" max="1" width="37.5703125" bestFit="1" customWidth="1"/>
    <col min="2" max="3" width="9" bestFit="1" customWidth="1"/>
    <col min="4" max="6" width="10" bestFit="1" customWidth="1"/>
    <col min="7" max="7" width="12" bestFit="1" customWidth="1"/>
    <col min="14" max="14" width="9.85546875" bestFit="1" customWidth="1"/>
    <col min="15" max="16" width="9.85546875" customWidth="1"/>
    <col min="18" max="18" width="16.42578125" bestFit="1" customWidth="1"/>
    <col min="19" max="19" width="17.5703125" customWidth="1"/>
    <col min="20" max="20" width="15.28515625" customWidth="1"/>
  </cols>
  <sheetData>
    <row r="1" spans="1:18">
      <c r="A1" t="str">
        <f>'Wybrane dane i wskaźniki'!$C$2</f>
        <v>Data</v>
      </c>
      <c r="B1" s="6" t="str">
        <f>'Wybrane dane i wskaźniki'!$D$2</f>
        <v>2018</v>
      </c>
      <c r="C1" s="6" t="str">
        <f>'Wybrane dane i wskaźniki'!$E$2</f>
        <v>2019</v>
      </c>
      <c r="D1" s="6" t="str">
        <f>'Wybrane dane i wskaźniki'!$F$2</f>
        <v>2020</v>
      </c>
      <c r="E1" s="6" t="str">
        <f>'Wybrane dane i wskaźniki'!$G$2</f>
        <v>2021</v>
      </c>
      <c r="F1" s="6">
        <f>'Wybrane dane i wskaźniki'!$H$2</f>
        <v>2022</v>
      </c>
      <c r="H1" t="str">
        <f>C1</f>
        <v>2019</v>
      </c>
      <c r="I1" t="str">
        <f>D1</f>
        <v>2020</v>
      </c>
      <c r="J1" t="str">
        <f>E1</f>
        <v>2021</v>
      </c>
      <c r="K1">
        <f>F1</f>
        <v>2022</v>
      </c>
      <c r="L1" t="s">
        <v>177</v>
      </c>
      <c r="M1" t="s">
        <v>181</v>
      </c>
      <c r="N1" s="5" t="s">
        <v>178</v>
      </c>
      <c r="O1" s="5" t="s">
        <v>180</v>
      </c>
      <c r="P1" s="5"/>
      <c r="Q1" s="5" t="s">
        <v>196</v>
      </c>
      <c r="R1" s="5" t="s">
        <v>312</v>
      </c>
    </row>
    <row r="2" spans="1:18" ht="27.75" customHeight="1">
      <c r="A2" s="4" t="s">
        <v>176</v>
      </c>
      <c r="B2" s="4">
        <f>IF('Wybrane dane i wskaźniki'!D3&lt;=0,0,'Wybrane dane i wskaźniki'!D3)</f>
        <v>266.56</v>
      </c>
      <c r="C2" s="4">
        <f>IF('Wybrane dane i wskaźniki'!E3&lt;=0,0,'Wybrane dane i wskaźniki'!E3)</f>
        <v>269.48</v>
      </c>
      <c r="D2" s="4">
        <f>IF('Wybrane dane i wskaźniki'!F3&lt;=0,0,'Wybrane dane i wskaźniki'!F3)</f>
        <v>310.51</v>
      </c>
      <c r="E2" s="4">
        <f>IF('Wybrane dane i wskaźniki'!G3&lt;=0,0,'Wybrane dane i wskaźniki'!G3)</f>
        <v>370.05</v>
      </c>
      <c r="F2" s="4">
        <f>IF('Wybrane dane i wskaźniki'!H3&lt;=0,0,'Wybrane dane i wskaźniki'!H3)</f>
        <v>372.19</v>
      </c>
      <c r="G2" s="7"/>
      <c r="H2" s="49">
        <f>IF(B2&lt;=0,0,C2/B2-1)</f>
        <v>1.0954381752701137E-2</v>
      </c>
      <c r="I2" s="49">
        <f>IF(C2&lt;=0,0,D2/C2-1)</f>
        <v>0.15225619712037997</v>
      </c>
      <c r="J2" s="49">
        <f>IF(D2&lt;=0,0,E2/D2-1)</f>
        <v>0.19174905800135278</v>
      </c>
      <c r="K2" s="49">
        <f>IF(E2&lt;=0,0,F2/E2-1)</f>
        <v>5.7830022969869166E-3</v>
      </c>
      <c r="L2" s="49">
        <f t="shared" ref="L2:L10" si="0">IF(B2=0,IF(C2=0,IF(D2=0,IF(E2=0,0,POWER(F2/E2,1/(COUNTA(E1:F1)))),POWER(F2/D2,1/(COUNTA(D1:F1)))),POWER(F2/C2,1/(COUNTA(C1:F1)))),POWER(F2/B2,1/(COUNTA(B1:F1)))-1)</f>
        <v>6.9039972234838043E-2</v>
      </c>
      <c r="M2" s="49">
        <f>IF(L2&lt;5%,NA(),L2)</f>
        <v>6.9039972234838043E-2</v>
      </c>
      <c r="N2" s="49">
        <f>IF(N15-M2&lt;0,0,N15-M2)</f>
        <v>0.28096002776516193</v>
      </c>
      <c r="O2" s="49" t="e">
        <f>IF(L2&lt;5%,L2,NA())</f>
        <v>#N/A</v>
      </c>
      <c r="P2" s="49" t="e">
        <f>IF(0.35-O2&lt;0,0,0.35-O2)</f>
        <v>#N/A</v>
      </c>
      <c r="Q2" s="49" t="str">
        <f>IF(B2=0,IF(C2=0,IF(D2=0,IF(E2=0,0,_xlfn.CONCAT("od ",MID($E$1,1,4))),_xlfn.CONCAT("od ",MID($D$1,1,4))),_xlfn.CONCAT("od ",MID($C$1,1,4))),"")</f>
        <v/>
      </c>
      <c r="R2" s="49" t="str">
        <f>_xlfn.CONCAT(TEXT(L2,"0.00%")," ",Q2)</f>
        <v xml:space="preserve">6.90% </v>
      </c>
    </row>
    <row r="3" spans="1:18" ht="45" customHeight="1">
      <c r="A3" s="4" t="str">
        <f>'Wybrane dane i wskaźniki'!C4</f>
        <v>EBITDA:</v>
      </c>
      <c r="B3" s="4">
        <f>IF('Wybrane dane i wskaźniki'!D4&lt;=0,0,'Wybrane dane i wskaźniki'!D4)</f>
        <v>66.819999999999993</v>
      </c>
      <c r="C3" s="4">
        <f>IF('Wybrane dane i wskaźniki'!E4&lt;=0,0,'Wybrane dane i wskaźniki'!E4)</f>
        <v>59.980000000000004</v>
      </c>
      <c r="D3" s="4">
        <f>IF('Wybrane dane i wskaźniki'!F4&lt;=0,0,'Wybrane dane i wskaźniki'!F4)</f>
        <v>69.150000000000006</v>
      </c>
      <c r="E3" s="4">
        <f>IF('Wybrane dane i wskaźniki'!G4&lt;=0,0,'Wybrane dane i wskaźniki'!G4)</f>
        <v>88.93</v>
      </c>
      <c r="F3" s="4">
        <f>IF('Wybrane dane i wskaźniki'!H4&lt;=0,0,'Wybrane dane i wskaźniki'!H4)</f>
        <v>107.61</v>
      </c>
      <c r="G3" s="7"/>
      <c r="H3" s="49">
        <f t="shared" ref="H3:H11" si="1">IF(B3&lt;=0,0,C3/B3-1)</f>
        <v>-0.10236456150853024</v>
      </c>
      <c r="I3" s="49">
        <f t="shared" ref="I3:I11" si="2">IF(C3&lt;=0,0,D3/C3-1)</f>
        <v>0.1528842947649216</v>
      </c>
      <c r="J3" s="49">
        <f t="shared" ref="J3:J11" si="3">IF(D3&lt;=0,0,E3/D3-1)</f>
        <v>0.28604483007953729</v>
      </c>
      <c r="K3" s="49">
        <f t="shared" ref="K3:K11" si="4">IF(E3&lt;=0,0,F3/E3-1)</f>
        <v>0.21005285055661749</v>
      </c>
      <c r="L3" s="49">
        <f t="shared" si="0"/>
        <v>9.9991253772425903E-2</v>
      </c>
      <c r="M3" s="49">
        <f>IF(L3&lt;5%,NA(),L3)</f>
        <v>9.9991253772425903E-2</v>
      </c>
      <c r="N3" s="49">
        <f>IF(N15-M3&lt;0,0,N15-M3)</f>
        <v>0.25000874622757407</v>
      </c>
      <c r="O3" s="49" t="e">
        <f t="shared" ref="O3:O11" si="5">IF(L3&lt;5%,L3,NA())</f>
        <v>#N/A</v>
      </c>
      <c r="P3" s="49" t="e">
        <f t="shared" ref="P3:P11" si="6">IF(0.35-O3&lt;0,0,0.35-O3)</f>
        <v>#N/A</v>
      </c>
      <c r="Q3" s="49" t="str">
        <f t="shared" ref="Q3:Q11" si="7">IF(B3=0,IF(C3=0,IF(D3=0,IF(E3=0,0,_xlfn.CONCAT("od ",MID($E$1,1,4))),_xlfn.CONCAT("od ",MID($D$1,1,4))),_xlfn.CONCAT("od ",MID($C$1,1,4))),"")</f>
        <v/>
      </c>
      <c r="R3" s="49" t="str">
        <f t="shared" ref="R3:R11" si="8">_xlfn.CONCAT(TEXT(L3,"0.00%")," ",Q3)</f>
        <v xml:space="preserve">10.00% </v>
      </c>
    </row>
    <row r="4" spans="1:18" ht="45" customHeight="1">
      <c r="A4" s="1" t="str">
        <f>'Wybrane dane i wskaźniki'!C6</f>
        <v>EBIT:</v>
      </c>
      <c r="B4" s="4">
        <f>IF('Wybrane dane i wskaźniki'!D6&lt;=0,0,'Wybrane dane i wskaźniki'!D6)</f>
        <v>49.629999999999995</v>
      </c>
      <c r="C4" s="4">
        <f>IF('Wybrane dane i wskaźniki'!E6&lt;=0,0,'Wybrane dane i wskaźniki'!E6)</f>
        <v>42.3</v>
      </c>
      <c r="D4" s="4">
        <f>IF('Wybrane dane i wskaźniki'!F6&lt;=0,0,'Wybrane dane i wskaźniki'!F6)</f>
        <v>48.230000000000004</v>
      </c>
      <c r="E4" s="4">
        <f>IF('Wybrane dane i wskaźniki'!G6&lt;=0,0,'Wybrane dane i wskaźniki'!G6)</f>
        <v>67.039999999999992</v>
      </c>
      <c r="F4" s="4">
        <f>IF('Wybrane dane i wskaźniki'!H6&lt;=0,0,'Wybrane dane i wskaźniki'!H6)</f>
        <v>86.69</v>
      </c>
      <c r="H4" s="50">
        <f t="shared" si="1"/>
        <v>-0.14769292766471886</v>
      </c>
      <c r="I4" s="50">
        <f t="shared" si="2"/>
        <v>0.14018912529550853</v>
      </c>
      <c r="J4" s="50">
        <f t="shared" si="3"/>
        <v>0.39000622019489906</v>
      </c>
      <c r="K4" s="50">
        <f t="shared" si="4"/>
        <v>0.29310859188544169</v>
      </c>
      <c r="L4" s="50">
        <f t="shared" si="0"/>
        <v>0.11800808844994459</v>
      </c>
      <c r="M4" s="50">
        <f t="shared" ref="M4:M11" si="9">IF(L4&lt;5%,NA(),L4)</f>
        <v>0.11800808844994459</v>
      </c>
      <c r="N4" s="49">
        <f>IF(N15-M4&lt;0,0,N15-M4)</f>
        <v>0.23199191155005539</v>
      </c>
      <c r="O4" s="49" t="e">
        <f t="shared" si="5"/>
        <v>#N/A</v>
      </c>
      <c r="P4" s="50" t="e">
        <f t="shared" si="6"/>
        <v>#N/A</v>
      </c>
      <c r="Q4" s="49" t="str">
        <f t="shared" si="7"/>
        <v/>
      </c>
      <c r="R4" s="49" t="str">
        <f t="shared" si="8"/>
        <v xml:space="preserve">11.80% </v>
      </c>
    </row>
    <row r="5" spans="1:18" ht="45" customHeight="1">
      <c r="A5" s="1" t="str">
        <f>'Wybrane dane i wskaźniki'!C8</f>
        <v>Total Net Income:</v>
      </c>
      <c r="B5" s="4">
        <f>IF('Wybrane dane i wskaźniki'!D8&lt;=0,0,'Wybrane dane i wskaźniki'!D8)</f>
        <v>36.97</v>
      </c>
      <c r="C5" s="4">
        <f>IF('Wybrane dane i wskaźniki'!E8&lt;=0,0,'Wybrane dane i wskaźniki'!E8)</f>
        <v>9.31</v>
      </c>
      <c r="D5" s="4">
        <f>IF('Wybrane dane i wskaźniki'!F8&lt;=0,0,'Wybrane dane i wskaźniki'!F8)</f>
        <v>10.3</v>
      </c>
      <c r="E5" s="4">
        <f>IF('Wybrane dane i wskaźniki'!G8&lt;=0,0,'Wybrane dane i wskaźniki'!G8)</f>
        <v>28.18</v>
      </c>
      <c r="F5" s="4">
        <f>IF('Wybrane dane i wskaźniki'!H8&lt;=0,0,'Wybrane dane i wskaźniki'!H8)</f>
        <v>46.51</v>
      </c>
      <c r="H5" s="50">
        <f t="shared" si="1"/>
        <v>-0.74817419529348117</v>
      </c>
      <c r="I5" s="50">
        <f t="shared" si="2"/>
        <v>0.10633727175080554</v>
      </c>
      <c r="J5" s="50">
        <f t="shared" si="3"/>
        <v>1.735922330097087</v>
      </c>
      <c r="K5" s="50">
        <f t="shared" si="4"/>
        <v>0.65046132008516677</v>
      </c>
      <c r="L5" s="50">
        <f t="shared" si="0"/>
        <v>4.6982391879106133E-2</v>
      </c>
      <c r="M5" s="50" t="e">
        <f t="shared" si="9"/>
        <v>#N/A</v>
      </c>
      <c r="N5" s="49" t="e">
        <f>IF(N15-M5&lt;0,0,N15-M5)</f>
        <v>#N/A</v>
      </c>
      <c r="O5" s="49">
        <f t="shared" si="5"/>
        <v>4.6982391879106133E-2</v>
      </c>
      <c r="P5" s="50">
        <f t="shared" si="6"/>
        <v>0.30301760812089384</v>
      </c>
      <c r="Q5" s="49" t="str">
        <f t="shared" si="7"/>
        <v/>
      </c>
      <c r="R5" s="49" t="str">
        <f t="shared" si="8"/>
        <v xml:space="preserve">4.70% </v>
      </c>
    </row>
    <row r="6" spans="1:18" ht="45" customHeight="1">
      <c r="A6" s="1" t="str">
        <f>'Wybrane dane i wskaźniki'!C9</f>
        <v>Normalized Income:</v>
      </c>
      <c r="B6" s="4">
        <f>IF('Wybrane dane i wskaźniki'!D9&lt;=0,0,'Wybrane dane i wskaźniki'!D9)</f>
        <v>39.709999999999994</v>
      </c>
      <c r="C6" s="4">
        <f>IF('Wybrane dane i wskaźniki'!E9&lt;=0,0,'Wybrane dane i wskaźniki'!E9)</f>
        <v>9.36</v>
      </c>
      <c r="D6" s="4">
        <f>IF('Wybrane dane i wskaźniki'!F9&lt;=0,0,'Wybrane dane i wskaźniki'!F9)</f>
        <v>10.440000000000001</v>
      </c>
      <c r="E6" s="4">
        <f>IF('Wybrane dane i wskaźniki'!G9&lt;=0,0,'Wybrane dane i wskaźniki'!G9)</f>
        <v>27.719999999999995</v>
      </c>
      <c r="F6" s="4">
        <f>IF('Wybrane dane i wskaźniki'!H9&lt;=0,0,'Wybrane dane i wskaźniki'!H9)</f>
        <v>45.44</v>
      </c>
      <c r="H6" s="50">
        <f t="shared" si="1"/>
        <v>-0.76429111055149834</v>
      </c>
      <c r="I6" s="50">
        <f t="shared" si="2"/>
        <v>0.11538461538461564</v>
      </c>
      <c r="J6" s="50">
        <f t="shared" si="3"/>
        <v>1.6551724137931028</v>
      </c>
      <c r="K6" s="50">
        <f t="shared" si="4"/>
        <v>0.6392496392496394</v>
      </c>
      <c r="L6" s="50">
        <f t="shared" si="0"/>
        <v>2.7324598596325522E-2</v>
      </c>
      <c r="M6" s="50" t="e">
        <f t="shared" si="9"/>
        <v>#N/A</v>
      </c>
      <c r="N6" s="49" t="e">
        <f>IF(N15-M6&lt;0,0,N15-M6)</f>
        <v>#N/A</v>
      </c>
      <c r="O6" s="49">
        <f t="shared" si="5"/>
        <v>2.7324598596325522E-2</v>
      </c>
      <c r="P6" s="50">
        <f t="shared" si="6"/>
        <v>0.32267540140367446</v>
      </c>
      <c r="Q6" s="49" t="str">
        <f t="shared" si="7"/>
        <v/>
      </c>
      <c r="R6" s="49" t="str">
        <f t="shared" si="8"/>
        <v xml:space="preserve">2.73% </v>
      </c>
    </row>
    <row r="7" spans="1:18" ht="45" customHeight="1">
      <c r="A7" s="1" t="str">
        <f>'Wybrane dane i wskaźniki'!C10</f>
        <v>Basic EPS - Total:</v>
      </c>
      <c r="B7" s="4">
        <f>IF('Wybrane dane i wskaźniki'!D10&lt;=0,0,'Wybrane dane i wskaźniki'!D10)</f>
        <v>2.09</v>
      </c>
      <c r="C7" s="4">
        <f>IF('Wybrane dane i wskaźniki'!E10&lt;=0,0,'Wybrane dane i wskaźniki'!E10)</f>
        <v>0.52</v>
      </c>
      <c r="D7" s="4">
        <f>IF('Wybrane dane i wskaźniki'!F10&lt;=0,0,'Wybrane dane i wskaźniki'!F10)</f>
        <v>0.58000000000000007</v>
      </c>
      <c r="E7" s="4">
        <f>IF('Wybrane dane i wskaźniki'!G10&lt;=0,0,'Wybrane dane i wskaźniki'!G10)</f>
        <v>1.5399999999999998</v>
      </c>
      <c r="F7" s="4">
        <f>IF('Wybrane dane i wskaźniki'!H10&lt;=0,0,'Wybrane dane i wskaźniki'!H10)</f>
        <v>2.84</v>
      </c>
      <c r="H7" s="50">
        <f t="shared" si="1"/>
        <v>-0.75119617224880386</v>
      </c>
      <c r="I7" s="50">
        <f t="shared" si="2"/>
        <v>0.11538461538461542</v>
      </c>
      <c r="J7" s="50">
        <f t="shared" si="3"/>
        <v>1.6551724137931028</v>
      </c>
      <c r="K7" s="50">
        <f t="shared" si="4"/>
        <v>0.84415584415584433</v>
      </c>
      <c r="L7" s="50">
        <f t="shared" si="0"/>
        <v>6.3247599277428845E-2</v>
      </c>
      <c r="M7" s="50">
        <f t="shared" si="9"/>
        <v>6.3247599277428845E-2</v>
      </c>
      <c r="N7" s="49">
        <f>IF(N15-M7&lt;0,0,N15-M7)</f>
        <v>0.28675240072257113</v>
      </c>
      <c r="O7" s="49" t="e">
        <f t="shared" si="5"/>
        <v>#N/A</v>
      </c>
      <c r="P7" s="50" t="e">
        <f t="shared" si="6"/>
        <v>#N/A</v>
      </c>
      <c r="Q7" s="49" t="str">
        <f t="shared" si="7"/>
        <v/>
      </c>
      <c r="R7" s="49" t="str">
        <f t="shared" si="8"/>
        <v xml:space="preserve">6.32% </v>
      </c>
    </row>
    <row r="8" spans="1:18" ht="45" customHeight="1">
      <c r="A8" s="1" t="str">
        <f>'Wybrane dane i wskaźniki'!C11</f>
        <v>Basic EPS - Normalized:</v>
      </c>
      <c r="B8" s="4">
        <f>IF('Wybrane dane i wskaźniki'!D11&lt;=0,0,'Wybrane dane i wskaźniki'!D11)</f>
        <v>2.09</v>
      </c>
      <c r="C8" s="4">
        <f>IF('Wybrane dane i wskaźniki'!E11&lt;=0,0,'Wybrane dane i wskaźniki'!E11)</f>
        <v>0.52</v>
      </c>
      <c r="D8" s="4">
        <f>IF('Wybrane dane i wskaźniki'!F11&lt;=0,0,'Wybrane dane i wskaźniki'!F11)</f>
        <v>0.58000000000000007</v>
      </c>
      <c r="E8" s="4">
        <f>IF('Wybrane dane i wskaźniki'!G11&lt;=0,0,'Wybrane dane i wskaźniki'!G11)</f>
        <v>1.5399999999999998</v>
      </c>
      <c r="F8" s="4">
        <f>IF('Wybrane dane i wskaźniki'!H11&lt;=0,0,'Wybrane dane i wskaźniki'!H11)</f>
        <v>2.84</v>
      </c>
      <c r="H8" s="50">
        <f t="shared" si="1"/>
        <v>-0.75119617224880386</v>
      </c>
      <c r="I8" s="50">
        <f t="shared" si="2"/>
        <v>0.11538461538461542</v>
      </c>
      <c r="J8" s="50">
        <f t="shared" si="3"/>
        <v>1.6551724137931028</v>
      </c>
      <c r="K8" s="50">
        <f t="shared" si="4"/>
        <v>0.84415584415584433</v>
      </c>
      <c r="L8" s="50">
        <f t="shared" si="0"/>
        <v>6.3247599277428845E-2</v>
      </c>
      <c r="M8" s="50">
        <f t="shared" si="9"/>
        <v>6.3247599277428845E-2</v>
      </c>
      <c r="N8" s="49">
        <f>IF(N15-M8&lt;0,0,N15-M8)</f>
        <v>0.28675240072257113</v>
      </c>
      <c r="O8" s="49" t="e">
        <f t="shared" si="5"/>
        <v>#N/A</v>
      </c>
      <c r="P8" s="50" t="e">
        <f t="shared" si="6"/>
        <v>#N/A</v>
      </c>
      <c r="Q8" s="49" t="str">
        <f t="shared" si="7"/>
        <v/>
      </c>
      <c r="R8" s="49" t="str">
        <f t="shared" si="8"/>
        <v xml:space="preserve">6.32% </v>
      </c>
    </row>
    <row r="9" spans="1:18" ht="45" customHeight="1">
      <c r="A9" s="4" t="s">
        <v>179</v>
      </c>
      <c r="B9" s="4">
        <f>IF('Wybrane dane i wskaźniki'!D12&lt;=0,0,'Wybrane dane i wskaźniki'!D12)</f>
        <v>2.09</v>
      </c>
      <c r="C9" s="4">
        <f>IF('Wybrane dane i wskaźniki'!E12&lt;=0,0,'Wybrane dane i wskaźniki'!E12)</f>
        <v>0.52</v>
      </c>
      <c r="D9" s="4">
        <f>IF('Wybrane dane i wskaźniki'!F12&lt;=0,0,'Wybrane dane i wskaźniki'!F12)</f>
        <v>0.58000000000000007</v>
      </c>
      <c r="E9" s="4">
        <f>IF('Wybrane dane i wskaźniki'!G12&lt;=0,0,'Wybrane dane i wskaźniki'!G12)</f>
        <v>1.5399999999999998</v>
      </c>
      <c r="F9" s="4">
        <f>IF('Wybrane dane i wskaźniki'!H12&lt;=0,0,'Wybrane dane i wskaźniki'!H12)</f>
        <v>2.84</v>
      </c>
      <c r="G9" s="7"/>
      <c r="H9" s="49">
        <f t="shared" si="1"/>
        <v>-0.75119617224880386</v>
      </c>
      <c r="I9" s="49">
        <f t="shared" si="2"/>
        <v>0.11538461538461542</v>
      </c>
      <c r="J9" s="49">
        <f t="shared" si="3"/>
        <v>1.6551724137931028</v>
      </c>
      <c r="K9" s="49">
        <f t="shared" si="4"/>
        <v>0.84415584415584433</v>
      </c>
      <c r="L9" s="49">
        <f t="shared" si="0"/>
        <v>6.3247599277428845E-2</v>
      </c>
      <c r="M9" s="49">
        <f t="shared" si="9"/>
        <v>6.3247599277428845E-2</v>
      </c>
      <c r="N9" s="49">
        <f>IF(N15-M9&lt;0,0,N15-M9)</f>
        <v>0.28675240072257113</v>
      </c>
      <c r="O9" s="49" t="e">
        <f t="shared" si="5"/>
        <v>#N/A</v>
      </c>
      <c r="P9" s="50" t="e">
        <f t="shared" si="6"/>
        <v>#N/A</v>
      </c>
      <c r="Q9" s="49" t="str">
        <f t="shared" si="7"/>
        <v/>
      </c>
      <c r="R9" s="49" t="str">
        <f t="shared" si="8"/>
        <v xml:space="preserve">6.32% </v>
      </c>
    </row>
    <row r="10" spans="1:18" ht="45" customHeight="1">
      <c r="A10" s="4" t="s">
        <v>175</v>
      </c>
      <c r="B10" s="4">
        <f>IF('Wybrane dane i wskaźniki'!D13&lt;=0,0,'Wybrane dane i wskaźniki'!D13)</f>
        <v>0.32</v>
      </c>
      <c r="C10" s="4">
        <f>IF('Wybrane dane i wskaźniki'!E13&lt;=0,0,'Wybrane dane i wskaźniki'!E13)</f>
        <v>0.32</v>
      </c>
      <c r="D10" s="4">
        <f>IF('Wybrane dane i wskaźniki'!F13&lt;=0,0,'Wybrane dane i wskaźniki'!F13)</f>
        <v>0.32999999999999996</v>
      </c>
      <c r="E10" s="4">
        <f>IF('Wybrane dane i wskaźniki'!G13&lt;=0,0,'Wybrane dane i wskaźniki'!G13)</f>
        <v>0.4</v>
      </c>
      <c r="F10" s="4">
        <f>IF('Wybrane dane i wskaźniki'!H13&lt;=0,0,'Wybrane dane i wskaźniki'!H13)</f>
        <v>0.44</v>
      </c>
      <c r="G10" s="7"/>
      <c r="H10" s="49">
        <f t="shared" si="1"/>
        <v>0</v>
      </c>
      <c r="I10" s="49">
        <f t="shared" si="2"/>
        <v>3.1249999999999778E-2</v>
      </c>
      <c r="J10" s="49">
        <f t="shared" si="3"/>
        <v>0.21212121212121238</v>
      </c>
      <c r="K10" s="49">
        <f t="shared" si="4"/>
        <v>9.9999999999999867E-2</v>
      </c>
      <c r="L10" s="49">
        <f t="shared" si="0"/>
        <v>6.5762756635474151E-2</v>
      </c>
      <c r="M10" s="49">
        <f>IF(L10&lt;5%,IF(L10&lt;0,NA(),0.0001),L10)</f>
        <v>6.5762756635474151E-2</v>
      </c>
      <c r="N10" s="49">
        <f>IF(N16-M10&lt;0,0,N16-M10)</f>
        <v>0.13423724336452586</v>
      </c>
      <c r="O10" s="49" t="e">
        <f t="shared" si="5"/>
        <v>#N/A</v>
      </c>
      <c r="P10" s="49" t="e">
        <f t="shared" si="6"/>
        <v>#N/A</v>
      </c>
      <c r="Q10" s="49" t="str">
        <f t="shared" si="7"/>
        <v/>
      </c>
      <c r="R10" s="49" t="str">
        <f t="shared" si="8"/>
        <v xml:space="preserve">6.58% </v>
      </c>
    </row>
    <row r="11" spans="1:18" ht="45" customHeight="1">
      <c r="A11" s="4" t="s">
        <v>174</v>
      </c>
      <c r="B11" s="4">
        <f>IF('Wybrane dane i wskaźniki'!D26&lt;=0,0,'Wybrane dane i wskaźniki'!D26)</f>
        <v>53.129999999999995</v>
      </c>
      <c r="C11" s="4">
        <f>IF('Wybrane dane i wskaźniki'!E26&lt;=0,0,'Wybrane dane i wskaźniki'!E26)</f>
        <v>46.339999999999996</v>
      </c>
      <c r="D11" s="4">
        <f>IF('Wybrane dane i wskaźniki'!F26&lt;=0,0,'Wybrane dane i wskaźniki'!F26)</f>
        <v>74.990000000000009</v>
      </c>
      <c r="E11" s="4">
        <f>IF('Wybrane dane i wskaźniki'!G26&lt;=0,0,'Wybrane dane i wskaźniki'!G26)</f>
        <v>84.79</v>
      </c>
      <c r="F11" s="4">
        <f>IF('Wybrane dane i wskaźniki'!H26&lt;=0,0,'Wybrane dane i wskaźniki'!H26)</f>
        <v>64.600000000000009</v>
      </c>
      <c r="G11" s="7"/>
      <c r="H11" s="49">
        <f t="shared" si="1"/>
        <v>-0.12779973649538867</v>
      </c>
      <c r="I11" s="49">
        <f t="shared" si="2"/>
        <v>0.61825636599050537</v>
      </c>
      <c r="J11" s="49">
        <f t="shared" si="3"/>
        <v>0.13068409121216162</v>
      </c>
      <c r="K11" s="49">
        <f t="shared" si="4"/>
        <v>-0.23811770255926401</v>
      </c>
      <c r="L11" s="49">
        <f>IF(B11=0,IF(C11=0,IF(D11=0,IF(E11=0,0,POWER(F11/E11,1/(COUNTA(E10:F10)))),POWER(F11/D11,1/(COUNTA(D10:F10)))),POWER(F11/C11,1/(COUNTA(C10:F10)))),POWER(F11/B11,1/(COUNTA(B10:F10)))-1)</f>
        <v>3.986878202699029E-2</v>
      </c>
      <c r="M11" s="49" t="e">
        <f t="shared" si="9"/>
        <v>#N/A</v>
      </c>
      <c r="N11" s="49" t="e">
        <f>IF(N15-M11&lt;0,0,N155-M11)</f>
        <v>#N/A</v>
      </c>
      <c r="O11" s="49">
        <f t="shared" si="5"/>
        <v>3.986878202699029E-2</v>
      </c>
      <c r="P11" s="49">
        <f t="shared" si="6"/>
        <v>0.31013121797300969</v>
      </c>
      <c r="Q11" s="49" t="str">
        <f t="shared" si="7"/>
        <v/>
      </c>
      <c r="R11" s="49" t="str">
        <f t="shared" si="8"/>
        <v xml:space="preserve">3.99% </v>
      </c>
    </row>
    <row r="12" spans="1:18">
      <c r="A12" s="4" t="s">
        <v>184</v>
      </c>
      <c r="B12" s="4">
        <f>'Wybrane dane i wskaźniki'!D25</f>
        <v>19</v>
      </c>
      <c r="C12" s="4">
        <f>'Wybrane dane i wskaźniki'!E25</f>
        <v>18</v>
      </c>
      <c r="D12" s="4">
        <f>'Wybrane dane i wskaźniki'!F25</f>
        <v>18</v>
      </c>
      <c r="E12" s="4">
        <f>'Wybrane dane i wskaźniki'!G25</f>
        <v>18</v>
      </c>
      <c r="F12" s="4">
        <f>'Wybrane dane i wskaźniki'!H25</f>
        <v>16</v>
      </c>
      <c r="G12" s="1"/>
      <c r="H12" s="49">
        <f>IF(B12&lt;=0,0,C12/B12-1)</f>
        <v>-5.2631578947368474E-2</v>
      </c>
      <c r="I12" s="49">
        <f>IF(C12&lt;=0,0,D12/C12-1)</f>
        <v>0</v>
      </c>
      <c r="J12" s="49">
        <f>IF(D12&lt;=0,0,E12/D12-1)</f>
        <v>0</v>
      </c>
      <c r="K12" s="49">
        <f>IF(E12&lt;=0,0,F12/E12-1)</f>
        <v>-0.11111111111111116</v>
      </c>
      <c r="L12" s="49">
        <f>IF(B12=0,IF(C12=0,IF(D12=0,IF(E12=0,0,POWER(F12/E12,1/(COUNTA(E11:F11)))),POWER(F12/D12,1/(COUNTA(D11:F11)))),POWER(F12/C12,1/(COUNTA(C11:F11)))),POWER(F12/B12,1/(COUNTA(B11:F11)))-1)</f>
        <v>-3.3786110314771522E-2</v>
      </c>
      <c r="M12" s="49">
        <f>IF(L12&gt;0%,NA(),L12)</f>
        <v>-3.3786110314771522E-2</v>
      </c>
      <c r="N12" s="49">
        <f>IF(-N17-M12&gt;0,0,-N17-M12)</f>
        <v>0</v>
      </c>
      <c r="O12" s="49" t="e">
        <f>IF(L12&gt;0,0.02-L12,NA())</f>
        <v>#N/A</v>
      </c>
      <c r="P12" s="49" t="e">
        <f>IF(0.02-O12&lt;0,0,0.02-O12)</f>
        <v>#N/A</v>
      </c>
    </row>
    <row r="13" spans="1:18">
      <c r="A13" s="1"/>
      <c r="B13" s="1"/>
      <c r="C13" s="1"/>
      <c r="D13" s="1"/>
      <c r="E13" s="1"/>
      <c r="F13" s="1"/>
    </row>
    <row r="14" spans="1:18">
      <c r="A14" s="1"/>
      <c r="B14" s="1"/>
      <c r="C14" s="1"/>
      <c r="D14" s="1"/>
      <c r="E14" s="1"/>
      <c r="F14" s="1"/>
      <c r="G14" s="1"/>
    </row>
    <row r="15" spans="1:18">
      <c r="A15" s="1"/>
      <c r="B15" s="1"/>
      <c r="C15" s="1"/>
      <c r="D15" s="1"/>
      <c r="E15" s="1"/>
      <c r="F15" s="1"/>
      <c r="M15" t="s">
        <v>329</v>
      </c>
      <c r="N15">
        <v>0.35</v>
      </c>
    </row>
    <row r="16" spans="1:18">
      <c r="A16" s="1"/>
      <c r="B16" s="1"/>
      <c r="C16" s="1"/>
      <c r="D16" s="1"/>
      <c r="E16" s="1"/>
      <c r="F16" s="1"/>
      <c r="M16" t="s">
        <v>330</v>
      </c>
      <c r="N16" s="6">
        <v>0.2</v>
      </c>
    </row>
    <row r="17" spans="1:14">
      <c r="A17" s="1"/>
      <c r="B17" s="1"/>
      <c r="C17" s="1"/>
      <c r="D17" s="1"/>
      <c r="E17" s="1"/>
      <c r="F17" s="1"/>
      <c r="M17" t="s">
        <v>331</v>
      </c>
      <c r="N17">
        <v>0.02</v>
      </c>
    </row>
    <row r="18" spans="1:14">
      <c r="A18" s="1"/>
      <c r="B18" s="1"/>
      <c r="C18" s="1"/>
      <c r="D18" s="1"/>
      <c r="E18" s="1"/>
      <c r="F18" s="1"/>
    </row>
    <row r="19" spans="1:14">
      <c r="A19" s="1"/>
      <c r="B19" s="1"/>
      <c r="C19" s="1"/>
      <c r="D19" s="1"/>
      <c r="E19" s="1"/>
      <c r="F19" s="1"/>
    </row>
    <row r="20" spans="1:14">
      <c r="A20" s="1"/>
      <c r="B20" s="1"/>
      <c r="C20" s="1"/>
      <c r="D20" s="1"/>
      <c r="E20" s="1"/>
      <c r="F20" s="1"/>
    </row>
    <row r="21" spans="1:14">
      <c r="A21" s="1"/>
      <c r="B21" s="1"/>
      <c r="C21" s="1"/>
      <c r="D21" s="1"/>
      <c r="E21" s="1"/>
      <c r="F21" s="1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lineWeight="1.5" displayEmptyCellsAs="gap" high="1" low="1" xr2:uid="{64D60D28-2CD5-4F6A-A074-31006DF08AE3}">
          <x14:colorSeries theme="0"/>
          <x14:colorNegative rgb="FFD00000"/>
          <x14:colorAxis rgb="FF000000"/>
          <x14:colorMarkers rgb="FFD00000"/>
          <x14:colorFirst rgb="FFD00000"/>
          <x14:colorLast rgb="FFD00000"/>
          <x14:colorHigh rgb="FF24E837"/>
          <x14:colorLow rgb="FFD00000"/>
          <x14:sparklines>
            <x14:sparkline>
              <xm:f>Wzrost!H2:K2</xm:f>
              <xm:sqref>T2</xm:sqref>
            </x14:sparkline>
          </x14:sparklines>
        </x14:sparklineGroup>
        <x14:sparklineGroup manualMax="0" manualMin="0" type="column" displayEmptyCellsAs="gap" xr2:uid="{40F941CF-0B54-4851-B11D-06095460B3B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Wzrost!H2:K2</xm:f>
              <xm:sqref>S2</xm:sqref>
            </x14:sparkline>
            <x14:sparkline>
              <xm:f>Wzrost!H3:K3</xm:f>
              <xm:sqref>S3</xm:sqref>
            </x14:sparkline>
            <x14:sparkline>
              <xm:f>Wzrost!H4:K4</xm:f>
              <xm:sqref>S4</xm:sqref>
            </x14:sparkline>
            <x14:sparkline>
              <xm:f>Wzrost!H5:K5</xm:f>
              <xm:sqref>S5</xm:sqref>
            </x14:sparkline>
            <x14:sparkline>
              <xm:f>Wzrost!H6:K6</xm:f>
              <xm:sqref>S6</xm:sqref>
            </x14:sparkline>
            <x14:sparkline>
              <xm:f>Wzrost!H7:K7</xm:f>
              <xm:sqref>S7</xm:sqref>
            </x14:sparkline>
            <x14:sparkline>
              <xm:f>Wzrost!H8:K8</xm:f>
              <xm:sqref>S8</xm:sqref>
            </x14:sparkline>
            <x14:sparkline>
              <xm:f>Wzrost!H9:K9</xm:f>
              <xm:sqref>S9</xm:sqref>
            </x14:sparkline>
            <x14:sparkline>
              <xm:f>Wzrost!H10:K10</xm:f>
              <xm:sqref>S10</xm:sqref>
            </x14:sparkline>
            <x14:sparkline>
              <xm:f>Wzrost!H11:K11</xm:f>
              <xm:sqref>S11</xm:sqref>
            </x14:sparkline>
          </x14:sparklines>
        </x14:sparklineGroup>
      </x14:sparklineGroup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FC5F-FA1B-4DE1-8150-619B02870892}">
  <dimension ref="A1:S41"/>
  <sheetViews>
    <sheetView showGridLines="0" workbookViewId="0">
      <selection activeCell="M7" sqref="M7"/>
    </sheetView>
  </sheetViews>
  <sheetFormatPr defaultRowHeight="15"/>
  <cols>
    <col min="4" max="5" width="10" bestFit="1" customWidth="1"/>
    <col min="8" max="8" width="53.5703125" bestFit="1" customWidth="1"/>
    <col min="9" max="9" width="11.85546875" customWidth="1"/>
  </cols>
  <sheetData>
    <row r="1" spans="1:19">
      <c r="A1" t="str">
        <f>'Wybrane dane i wskaźniki'!$C$2</f>
        <v>Data</v>
      </c>
      <c r="B1" t="str">
        <f>'Wybrane dane i wskaźniki'!$D$2</f>
        <v>2018</v>
      </c>
      <c r="C1" t="str">
        <f>'Wybrane dane i wskaźniki'!$E$2</f>
        <v>2019</v>
      </c>
      <c r="D1" t="str">
        <f>'Wybrane dane i wskaźniki'!$F$2</f>
        <v>2020</v>
      </c>
      <c r="E1" t="str">
        <f>'Wybrane dane i wskaźniki'!$G$2</f>
        <v>2021</v>
      </c>
      <c r="F1">
        <f>'Wybrane dane i wskaźniki'!$H$2</f>
        <v>2022</v>
      </c>
      <c r="H1" s="99" t="s">
        <v>183</v>
      </c>
      <c r="I1" s="100">
        <f>'Wybrane dane i wskaźniki'!M33</f>
        <v>-28.47999999999999</v>
      </c>
      <c r="J1" s="100">
        <f>'Wybrane dane i wskaźniki'!N33</f>
        <v>-3.6600000000000037</v>
      </c>
      <c r="K1" s="100">
        <f>'Wybrane dane i wskaźniki'!O33</f>
        <v>-113.21999999999998</v>
      </c>
      <c r="L1" s="100">
        <f>'Wybrane dane i wskaźniki'!P33</f>
        <v>-0.84999999999999076</v>
      </c>
      <c r="M1" s="100">
        <f>'Wybrane dane i wskaźniki'!Q33</f>
        <v>-101.27</v>
      </c>
      <c r="N1" s="99"/>
      <c r="O1" s="99"/>
      <c r="P1" s="99"/>
      <c r="Q1" s="99"/>
      <c r="R1" s="99"/>
      <c r="S1" s="99"/>
    </row>
    <row r="2" spans="1:19">
      <c r="A2" s="1" t="str">
        <f>'Wybrane dane i wskaźniki'!C3</f>
        <v>Total Revenue:</v>
      </c>
      <c r="B2" s="1">
        <f>'Wybrane dane i wskaźniki'!D3</f>
        <v>266.56</v>
      </c>
      <c r="C2" s="1">
        <f>'Wybrane dane i wskaźniki'!E3</f>
        <v>269.48</v>
      </c>
      <c r="D2" s="1">
        <f>'Wybrane dane i wskaźniki'!F3</f>
        <v>310.51</v>
      </c>
      <c r="E2" s="1">
        <f>'Wybrane dane i wskaźniki'!G3</f>
        <v>370.05</v>
      </c>
      <c r="F2" s="1">
        <f>'Wybrane dane i wskaźniki'!H3</f>
        <v>372.19</v>
      </c>
      <c r="H2" s="99" t="s">
        <v>182</v>
      </c>
      <c r="I2" s="100">
        <f>'Wybrane dane i wskaźniki'!M34</f>
        <v>-28.47999999999999</v>
      </c>
      <c r="J2" s="100">
        <f>'Wybrane dane i wskaźniki'!N34</f>
        <v>-3.6600000000000037</v>
      </c>
      <c r="K2" s="100">
        <f>'Wybrane dane i wskaźniki'!O34</f>
        <v>-113.21999999999998</v>
      </c>
      <c r="L2" s="100">
        <f>'Wybrane dane i wskaźniki'!P34</f>
        <v>60.890000000000015</v>
      </c>
      <c r="M2" s="100">
        <f>'Wybrane dane i wskaźniki'!Q34</f>
        <v>13.700000000000003</v>
      </c>
      <c r="N2" s="99"/>
      <c r="O2" s="99"/>
      <c r="P2" s="99"/>
      <c r="Q2" s="99"/>
      <c r="R2" s="99"/>
      <c r="S2" s="99"/>
    </row>
    <row r="3" spans="1:19">
      <c r="A3" s="1" t="str">
        <f>'Wybrane dane i wskaźniki'!C4</f>
        <v>EBITDA:</v>
      </c>
      <c r="B3" s="1">
        <f>'Wybrane dane i wskaźniki'!D4</f>
        <v>66.819999999999993</v>
      </c>
      <c r="C3" s="1">
        <f>'Wybrane dane i wskaźniki'!E4</f>
        <v>59.980000000000004</v>
      </c>
      <c r="D3" s="1">
        <f>'Wybrane dane i wskaźniki'!F4</f>
        <v>69.150000000000006</v>
      </c>
      <c r="E3" s="1">
        <f>'Wybrane dane i wskaźniki'!G4</f>
        <v>88.93</v>
      </c>
      <c r="F3" s="1">
        <f>'Wybrane dane i wskaźniki'!H4</f>
        <v>107.61</v>
      </c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</row>
    <row r="4" spans="1:19">
      <c r="A4" s="1" t="str">
        <f>'Wybrane dane i wskaźniki'!C5</f>
        <v>Interest Income:</v>
      </c>
      <c r="B4" s="1">
        <f>'Wybrane dane i wskaźniki'!D5</f>
        <v>0</v>
      </c>
      <c r="C4" s="1">
        <f>'Wybrane dane i wskaźniki'!E5</f>
        <v>0</v>
      </c>
      <c r="D4" s="1">
        <f>'Wybrane dane i wskaźniki'!F5</f>
        <v>0</v>
      </c>
      <c r="E4" s="1">
        <f>'Wybrane dane i wskaźniki'!G5</f>
        <v>0</v>
      </c>
      <c r="F4" s="1">
        <f>'Wybrane dane i wskaźniki'!H5</f>
        <v>0</v>
      </c>
      <c r="H4" s="99" t="str">
        <f>'Wybrane dane i wskaźniki'!L37</f>
        <v>Zadłużenie netto jako % kapitalizacji</v>
      </c>
      <c r="I4" s="101">
        <f>'Wybrane dane i wskaźniki'!M37</f>
        <v>0.85844425448772732</v>
      </c>
      <c r="J4" s="101">
        <f>'Wybrane dane i wskaźniki'!N37</f>
        <v>1.0167427701674276</v>
      </c>
      <c r="K4" s="101">
        <f>'Wybrane dane i wskaźniki'!O37</f>
        <v>1.2112655012699836</v>
      </c>
      <c r="L4" s="101">
        <f>'Wybrane dane i wskaźniki'!P37</f>
        <v>0.63590491141511551</v>
      </c>
      <c r="M4" s="101">
        <f>'Wybrane dane i wskaźniki'!Q37</f>
        <v>1.1487484452736318</v>
      </c>
      <c r="N4" s="99"/>
      <c r="O4" s="99"/>
      <c r="P4" s="99"/>
      <c r="Q4" s="99"/>
      <c r="R4" s="99"/>
      <c r="S4" s="99"/>
    </row>
    <row r="5" spans="1:19">
      <c r="A5" s="1" t="str">
        <f>'Wybrane dane i wskaźniki'!C6</f>
        <v>EBIT:</v>
      </c>
      <c r="B5" s="1">
        <f>'Wybrane dane i wskaźniki'!D6</f>
        <v>49.629999999999995</v>
      </c>
      <c r="C5" s="1">
        <f>'Wybrane dane i wskaźniki'!E6</f>
        <v>42.3</v>
      </c>
      <c r="D5" s="1">
        <f>'Wybrane dane i wskaźniki'!F6</f>
        <v>48.230000000000004</v>
      </c>
      <c r="E5" s="1">
        <f>'Wybrane dane i wskaźniki'!G6</f>
        <v>67.039999999999992</v>
      </c>
      <c r="F5" s="1">
        <f>'Wybrane dane i wskaźniki'!H6</f>
        <v>86.69</v>
      </c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</row>
    <row r="6" spans="1:19">
      <c r="A6" s="1" t="str">
        <f>'Wybrane dane i wskaźniki'!C7</f>
        <v>Interest Expense:</v>
      </c>
      <c r="B6" s="1">
        <f>'Wybrane dane i wskaźniki'!D7</f>
        <v>-21.290000000000003</v>
      </c>
      <c r="C6" s="1">
        <f>'Wybrane dane i wskaźniki'!E7</f>
        <v>-25.669999999999998</v>
      </c>
      <c r="D6" s="1">
        <f>'Wybrane dane i wskaźniki'!F7</f>
        <v>-31.67</v>
      </c>
      <c r="E6" s="1">
        <f>'Wybrane dane i wskaźniki'!G7</f>
        <v>-27.9</v>
      </c>
      <c r="F6" s="1">
        <f>'Wybrane dane i wskaźniki'!H7</f>
        <v>-23.52</v>
      </c>
      <c r="H6" s="99"/>
      <c r="I6" s="99"/>
      <c r="J6" s="99"/>
      <c r="K6" s="99"/>
      <c r="L6" s="99"/>
      <c r="M6" s="99">
        <f>F1</f>
        <v>2022</v>
      </c>
      <c r="N6" s="99" t="s">
        <v>167</v>
      </c>
      <c r="O6" s="99" t="s">
        <v>165</v>
      </c>
      <c r="P6" s="99" t="s">
        <v>168</v>
      </c>
      <c r="Q6" s="99" t="s">
        <v>166</v>
      </c>
      <c r="R6" s="99" t="s">
        <v>188</v>
      </c>
      <c r="S6" s="99"/>
    </row>
    <row r="7" spans="1:19">
      <c r="A7" s="1" t="str">
        <f>'Wybrane dane i wskaźniki'!C8</f>
        <v>Total Net Income:</v>
      </c>
      <c r="B7" s="1">
        <f>'Wybrane dane i wskaźniki'!D8</f>
        <v>36.97</v>
      </c>
      <c r="C7" s="1">
        <f>'Wybrane dane i wskaźniki'!E8</f>
        <v>9.31</v>
      </c>
      <c r="D7" s="1">
        <f>'Wybrane dane i wskaźniki'!F8</f>
        <v>10.3</v>
      </c>
      <c r="E7" s="1">
        <f>'Wybrane dane i wskaźniki'!G8</f>
        <v>28.18</v>
      </c>
      <c r="F7" s="1">
        <f>'Wybrane dane i wskaźniki'!H8</f>
        <v>46.51</v>
      </c>
      <c r="H7" s="99" t="s">
        <v>185</v>
      </c>
      <c r="I7" s="102">
        <f>'Wybrane dane i wskaźniki'!M17</f>
        <v>5.401975456450165</v>
      </c>
      <c r="J7" s="102">
        <f>'Wybrane dane i wskaźniki'!N17</f>
        <v>6.333611203734578</v>
      </c>
      <c r="K7" s="102">
        <f>'Wybrane dane i wskaźniki'!O17</f>
        <v>7.0448300795372374</v>
      </c>
      <c r="L7" s="102">
        <f>'Wybrane dane i wskaźniki'!P17</f>
        <v>5.7514899359046439</v>
      </c>
      <c r="M7" s="102">
        <f>'Wybrane dane i wskaźniki'!Q17</f>
        <v>5.5006040330824266</v>
      </c>
      <c r="N7" s="99">
        <v>1</v>
      </c>
      <c r="O7" s="99">
        <v>1</v>
      </c>
      <c r="P7" s="99">
        <v>1</v>
      </c>
      <c r="Q7" s="99">
        <v>1</v>
      </c>
      <c r="R7" s="102">
        <f>IF(M7&gt;SUM(N7:P7),0,SUM(N7:P7)-M7)</f>
        <v>0</v>
      </c>
      <c r="S7" s="99"/>
    </row>
    <row r="8" spans="1:19">
      <c r="A8" s="1" t="str">
        <f>'Wybrane dane i wskaźniki'!C9</f>
        <v>Normalized Income:</v>
      </c>
      <c r="B8" s="1">
        <f>'Wybrane dane i wskaźniki'!D9</f>
        <v>39.709999999999994</v>
      </c>
      <c r="C8" s="1">
        <f>'Wybrane dane i wskaźniki'!E9</f>
        <v>9.36</v>
      </c>
      <c r="D8" s="1">
        <f>'Wybrane dane i wskaźniki'!F9</f>
        <v>10.440000000000001</v>
      </c>
      <c r="E8" s="1">
        <f>'Wybrane dane i wskaźniki'!G9</f>
        <v>27.719999999999995</v>
      </c>
      <c r="F8" s="1">
        <f>'Wybrane dane i wskaźniki'!H9</f>
        <v>45.44</v>
      </c>
    </row>
    <row r="9" spans="1:19">
      <c r="A9" s="1" t="str">
        <f>'Wybrane dane i wskaźniki'!C10</f>
        <v>Basic EPS - Total:</v>
      </c>
      <c r="B9" s="1">
        <f>'Wybrane dane i wskaźniki'!D10</f>
        <v>2.09</v>
      </c>
      <c r="C9" s="1">
        <f>'Wybrane dane i wskaźniki'!E10</f>
        <v>0.52</v>
      </c>
      <c r="D9" s="1">
        <f>'Wybrane dane i wskaźniki'!F10</f>
        <v>0.58000000000000007</v>
      </c>
      <c r="E9" s="1">
        <f>'Wybrane dane i wskaźniki'!G10</f>
        <v>1.5399999999999998</v>
      </c>
      <c r="F9" s="1">
        <f>'Wybrane dane i wskaźniki'!H10</f>
        <v>2.84</v>
      </c>
    </row>
    <row r="10" spans="1:19">
      <c r="A10" s="1" t="str">
        <f>'Wybrane dane i wskaźniki'!C11</f>
        <v>Basic EPS - Normalized:</v>
      </c>
      <c r="B10" s="1">
        <f>'Wybrane dane i wskaźniki'!D11</f>
        <v>2.09</v>
      </c>
      <c r="C10" s="1">
        <f>'Wybrane dane i wskaźniki'!E11</f>
        <v>0.52</v>
      </c>
      <c r="D10" s="1">
        <f>'Wybrane dane i wskaźniki'!F11</f>
        <v>0.58000000000000007</v>
      </c>
      <c r="E10" s="1">
        <f>'Wybrane dane i wskaźniki'!G11</f>
        <v>1.5399999999999998</v>
      </c>
      <c r="F10" s="1">
        <f>'Wybrane dane i wskaźniki'!H11</f>
        <v>2.84</v>
      </c>
    </row>
    <row r="11" spans="1:19">
      <c r="A11" s="1" t="str">
        <f>'Wybrane dane i wskaźniki'!C12</f>
        <v>Diluted EPS - Normalized:</v>
      </c>
      <c r="B11" s="1">
        <f>'Wybrane dane i wskaźniki'!D12</f>
        <v>2.09</v>
      </c>
      <c r="C11" s="1">
        <f>'Wybrane dane i wskaźniki'!E12</f>
        <v>0.52</v>
      </c>
      <c r="D11" s="1">
        <f>'Wybrane dane i wskaźniki'!F12</f>
        <v>0.58000000000000007</v>
      </c>
      <c r="E11" s="1">
        <f>'Wybrane dane i wskaźniki'!G12</f>
        <v>1.5399999999999998</v>
      </c>
      <c r="F11" s="1">
        <f>'Wybrane dane i wskaźniki'!H12</f>
        <v>2.84</v>
      </c>
    </row>
    <row r="12" spans="1:19">
      <c r="A12" s="1" t="str">
        <f>'Wybrane dane i wskaźniki'!C13</f>
        <v>Dividends Paid Per Share (DPS):</v>
      </c>
      <c r="B12" s="1">
        <f>'Wybrane dane i wskaźniki'!D13</f>
        <v>0.32</v>
      </c>
      <c r="C12" s="1">
        <f>'Wybrane dane i wskaźniki'!E13</f>
        <v>0.32</v>
      </c>
      <c r="D12" s="1">
        <f>'Wybrane dane i wskaźniki'!F13</f>
        <v>0.32999999999999996</v>
      </c>
      <c r="E12" s="1">
        <f>'Wybrane dane i wskaźniki'!G13</f>
        <v>0.4</v>
      </c>
      <c r="F12" s="1">
        <f>'Wybrane dane i wskaźniki'!H13</f>
        <v>0.44</v>
      </c>
    </row>
    <row r="13" spans="1:19">
      <c r="A13" s="1" t="str">
        <f>'Wybrane dane i wskaźniki'!C14</f>
        <v>Cash &amp; Equivalents:</v>
      </c>
      <c r="B13" s="1">
        <f>'Wybrane dane i wskaźniki'!D14</f>
        <v>9.4700000000000006</v>
      </c>
      <c r="C13" s="1">
        <f>'Wybrane dane i wskaźniki'!E14</f>
        <v>5.81</v>
      </c>
      <c r="D13" s="1">
        <f>'Wybrane dane i wskaźniki'!F14</f>
        <v>0.73</v>
      </c>
      <c r="E13" s="1">
        <f>'Wybrane dane i wskaźniki'!G14</f>
        <v>1.0900000000000001</v>
      </c>
      <c r="F13" s="1">
        <f>'Wybrane dane i wskaźniki'!H14</f>
        <v>0.82</v>
      </c>
    </row>
    <row r="14" spans="1:19">
      <c r="A14" s="1" t="str">
        <f>'Wybrane dane i wskaźniki'!C15</f>
        <v>Inventories:</v>
      </c>
      <c r="B14" s="1">
        <f>'Wybrane dane i wskaźniki'!D15</f>
        <v>6.94</v>
      </c>
      <c r="C14" s="1">
        <f>'Wybrane dane i wskaźniki'!E15</f>
        <v>6.69</v>
      </c>
      <c r="D14" s="1">
        <f>'Wybrane dane i wskaźniki'!F15</f>
        <v>7.38</v>
      </c>
      <c r="E14" s="1">
        <f>'Wybrane dane i wskaźniki'!G15</f>
        <v>7.38</v>
      </c>
      <c r="F14" s="1">
        <f>'Wybrane dane i wskaźniki'!H15</f>
        <v>7.68</v>
      </c>
    </row>
    <row r="15" spans="1:19">
      <c r="A15" s="1" t="str">
        <f>'Wybrane dane i wskaźniki'!C16</f>
        <v>Total Current Assets:</v>
      </c>
      <c r="B15" s="1">
        <f>'Wybrane dane i wskaźniki'!D16</f>
        <v>38.06</v>
      </c>
      <c r="C15" s="1">
        <f>'Wybrane dane i wskaźniki'!E16</f>
        <v>31.97</v>
      </c>
      <c r="D15" s="1">
        <f>'Wybrane dane i wskaźniki'!F16</f>
        <v>32.64</v>
      </c>
      <c r="E15" s="1">
        <f>'Wybrane dane i wskaźniki'!G16</f>
        <v>36.869999999999997</v>
      </c>
      <c r="F15" s="1">
        <f>'Wybrane dane i wskaźniki'!H16</f>
        <v>35.979999999999997</v>
      </c>
    </row>
    <row r="16" spans="1:19">
      <c r="A16" s="1" t="str">
        <f>'Wybrane dane i wskaźniki'!C17</f>
        <v>Total Assets:</v>
      </c>
      <c r="B16" s="1">
        <f>'Wybrane dane i wskaźniki'!D17</f>
        <v>948.72</v>
      </c>
      <c r="C16" s="1">
        <f>'Wybrane dane i wskaźniki'!E17</f>
        <v>952.15</v>
      </c>
      <c r="D16" s="1">
        <f>'Wybrane dane i wskaźniki'!F17</f>
        <v>1120.6500000000001</v>
      </c>
      <c r="E16" s="1">
        <f>'Wybrane dane i wskaźniki'!G17</f>
        <v>1163.97</v>
      </c>
      <c r="F16" s="1">
        <f>'Wybrane dane i wskaźniki'!H17</f>
        <v>1147.3900000000001</v>
      </c>
    </row>
    <row r="17" spans="1:11">
      <c r="A17" s="1" t="str">
        <f>'Wybrane dane i wskaźniki'!C18</f>
        <v>Shor Term Debt::</v>
      </c>
      <c r="B17" s="1">
        <f>'Wybrane dane i wskaźniki'!D18</f>
        <v>2.4500000000000002</v>
      </c>
      <c r="C17" s="1">
        <f>'Wybrane dane i wskaźniki'!E18</f>
        <v>3.49</v>
      </c>
      <c r="D17" s="1">
        <f>'Wybrane dane i wskaźniki'!F18</f>
        <v>6.06</v>
      </c>
      <c r="E17" s="1">
        <f>'Wybrane dane i wskaźniki'!G18</f>
        <v>3.04</v>
      </c>
      <c r="F17" s="1">
        <f>'Wybrane dane i wskaźniki'!H18</f>
        <v>3.1</v>
      </c>
    </row>
    <row r="18" spans="1:11">
      <c r="A18" s="1" t="str">
        <f>'Wybrane dane i wskaźniki'!C19</f>
        <v>Long Term Debt::</v>
      </c>
      <c r="B18" s="1">
        <f>'Wybrane dane i wskaźniki'!D19</f>
        <v>358.51</v>
      </c>
      <c r="C18" s="1">
        <f>'Wybrane dane i wskaźniki'!E19</f>
        <v>376.4</v>
      </c>
      <c r="D18" s="1">
        <f>'Wybrane dane i wskaźniki'!F19</f>
        <v>481.09</v>
      </c>
      <c r="E18" s="1">
        <f>'Wybrane dane i wskaźniki'!G19</f>
        <v>508.44</v>
      </c>
      <c r="F18" s="1">
        <f>'Wybrane dane i wskaźniki'!H19</f>
        <v>588.82000000000005</v>
      </c>
    </row>
    <row r="19" spans="1:11">
      <c r="A19" s="1" t="str">
        <f>'Wybrane dane i wskaźniki'!C20</f>
        <v>Short-Term Debt + Long-Term Debt::</v>
      </c>
      <c r="B19" s="1">
        <f>'Wybrane dane i wskaźniki'!D20</f>
        <v>360.96</v>
      </c>
      <c r="C19" s="1">
        <f>'Wybrane dane i wskaźniki'!E20</f>
        <v>379.89</v>
      </c>
      <c r="D19" s="1">
        <f>'Wybrane dane i wskaźniki'!F20</f>
        <v>487.15</v>
      </c>
      <c r="E19" s="1">
        <f>'Wybrane dane i wskaźniki'!G20</f>
        <v>511.48</v>
      </c>
      <c r="F19" s="1">
        <f>'Wybrane dane i wskaźniki'!H20</f>
        <v>591.91999999999996</v>
      </c>
    </row>
    <row r="20" spans="1:11">
      <c r="A20" s="1" t="str">
        <f>'Wybrane dane i wskaźniki'!C21</f>
        <v>Total Current Liabilities:</v>
      </c>
      <c r="B20" s="1">
        <f>'Wybrane dane i wskaźniki'!D21</f>
        <v>30.82</v>
      </c>
      <c r="C20" s="1">
        <f>'Wybrane dane i wskaźniki'!E21</f>
        <v>38.89</v>
      </c>
      <c r="D20" s="1">
        <f>'Wybrane dane i wskaźniki'!F21</f>
        <v>48.43</v>
      </c>
      <c r="E20" s="1">
        <f>'Wybrane dane i wskaźniki'!G21</f>
        <v>60.7</v>
      </c>
      <c r="F20" s="1">
        <f>'Wybrane dane i wskaźniki'!H21</f>
        <v>49.55</v>
      </c>
    </row>
    <row r="21" spans="1:11">
      <c r="A21" s="1" t="str">
        <f>'Wybrane dane i wskaźniki'!C22</f>
        <v>Total Non-Current Liabilities:</v>
      </c>
      <c r="B21" s="1">
        <f>'Wybrane dane i wskaźniki'!D22</f>
        <v>676.07</v>
      </c>
      <c r="C21" s="1">
        <f>'Wybrane dane i wskaźniki'!E22</f>
        <v>688.75</v>
      </c>
      <c r="D21" s="1">
        <f>'Wybrane dane i wskaźniki'!F22</f>
        <v>839.43</v>
      </c>
      <c r="E21" s="1">
        <f>'Wybrane dane i wskaźniki'!G22</f>
        <v>910.81</v>
      </c>
      <c r="F21" s="1">
        <f>'Wybrane dane i wskaźniki'!H22</f>
        <v>968.92</v>
      </c>
    </row>
    <row r="22" spans="1:11">
      <c r="A22" s="1" t="str">
        <f>'Wybrane dane i wskaźniki'!C23</f>
        <v>Total Liabilities:</v>
      </c>
      <c r="B22" s="1">
        <f>'Wybrane dane i wskaźniki'!D23</f>
        <v>706.89</v>
      </c>
      <c r="C22" s="1">
        <f>'Wybrane dane i wskaźniki'!E23</f>
        <v>727.64</v>
      </c>
      <c r="D22" s="1">
        <f>'Wybrane dane i wskaźniki'!F23</f>
        <v>887.85</v>
      </c>
      <c r="E22" s="1">
        <f>'Wybrane dane i wskaźniki'!G23</f>
        <v>971.51</v>
      </c>
      <c r="F22" s="1">
        <f>'Wybrane dane i wskaźniki'!H23</f>
        <v>1018.47</v>
      </c>
    </row>
    <row r="23" spans="1:11">
      <c r="A23" s="1" t="str">
        <f>'Wybrane dane i wskaźniki'!C24</f>
        <v>Total Equity:</v>
      </c>
      <c r="B23" s="1">
        <f>'Wybrane dane i wskaźniki'!D24</f>
        <v>241.83</v>
      </c>
      <c r="C23" s="1">
        <f>'Wybrane dane i wskaźniki'!E24</f>
        <v>224.51</v>
      </c>
      <c r="D23" s="1">
        <f>'Wybrane dane i wskaźniki'!F24</f>
        <v>232.8</v>
      </c>
      <c r="E23" s="1">
        <f>'Wybrane dane i wskaźniki'!G24</f>
        <v>192.47</v>
      </c>
      <c r="F23" s="1">
        <f>'Wybrane dane i wskaźniki'!H24</f>
        <v>128.91999999999999</v>
      </c>
    </row>
    <row r="24" spans="1:11">
      <c r="A24" s="1" t="str">
        <f>'Wybrane dane i wskaźniki'!C25</f>
        <v>Total Common Shares Out:</v>
      </c>
      <c r="B24" s="1">
        <f>'Wybrane dane i wskaźniki'!D25</f>
        <v>19</v>
      </c>
      <c r="C24" s="1">
        <f>'Wybrane dane i wskaźniki'!E25</f>
        <v>18</v>
      </c>
      <c r="D24" s="1">
        <f>'Wybrane dane i wskaźniki'!F25</f>
        <v>18</v>
      </c>
      <c r="E24" s="1">
        <f>'Wybrane dane i wskaźniki'!G25</f>
        <v>18</v>
      </c>
      <c r="F24" s="1">
        <f>'Wybrane dane i wskaźniki'!H25</f>
        <v>16</v>
      </c>
    </row>
    <row r="25" spans="1:11">
      <c r="A25" s="1" t="str">
        <f>'Wybrane dane i wskaźniki'!C26</f>
        <v>Net Cash From Total Operating Activities:</v>
      </c>
      <c r="B25" s="1">
        <f>'Wybrane dane i wskaźniki'!D26</f>
        <v>53.129999999999995</v>
      </c>
      <c r="C25" s="1">
        <f>'Wybrane dane i wskaźniki'!E26</f>
        <v>46.339999999999996</v>
      </c>
      <c r="D25" s="1">
        <f>'Wybrane dane i wskaźniki'!F26</f>
        <v>74.990000000000009</v>
      </c>
      <c r="E25" s="1">
        <f>'Wybrane dane i wskaźniki'!G26</f>
        <v>84.79</v>
      </c>
      <c r="F25" s="1">
        <f>'Wybrane dane i wskaźniki'!H26</f>
        <v>64.600000000000009</v>
      </c>
      <c r="G25" s="1"/>
      <c r="I25" s="1"/>
      <c r="J25" s="1"/>
      <c r="K25" s="1"/>
    </row>
    <row r="26" spans="1:11">
      <c r="A26" s="1" t="str">
        <f>'Wybrane dane i wskaźniki'!C27</f>
        <v>Net Cash From Investing Activities:</v>
      </c>
      <c r="B26" s="1">
        <f>'Wybrane dane i wskaźniki'!D27</f>
        <v>-73.039999999999992</v>
      </c>
      <c r="C26" s="1">
        <f>'Wybrane dane i wskaźniki'!E27</f>
        <v>-13.75</v>
      </c>
      <c r="D26" s="1">
        <f>'Wybrane dane i wskaźniki'!F27</f>
        <v>-180.15</v>
      </c>
      <c r="E26" s="1">
        <f>'Wybrane dane i wskaźniki'!G27</f>
        <v>-15.11</v>
      </c>
      <c r="F26" s="1">
        <f>'Wybrane dane i wskaźniki'!H27</f>
        <v>-24.03</v>
      </c>
      <c r="G26" s="1"/>
      <c r="H26" s="1"/>
      <c r="I26" s="1"/>
      <c r="J26" s="1"/>
      <c r="K26" s="1"/>
    </row>
    <row r="27" spans="1:11">
      <c r="A27" s="1" t="str">
        <f>'Wybrane dane i wskaźniki'!C28</f>
        <v>Issuance Of Debt:</v>
      </c>
      <c r="B27" s="1">
        <f>'Wybrane dane i wskaźniki'!D28</f>
        <v>37.179999999999993</v>
      </c>
      <c r="C27" s="1">
        <f>'Wybrane dane i wskaźniki'!E28</f>
        <v>-7.35</v>
      </c>
      <c r="D27" s="1">
        <f>'Wybrane dane i wskaźniki'!F28</f>
        <v>108.14999999999999</v>
      </c>
      <c r="E27" s="1">
        <f>'Wybrane dane i wskaźniki'!G28</f>
        <v>1.1999999999999993</v>
      </c>
      <c r="F27" s="1">
        <f>'Wybrane dane i wskaźniki'!H28</f>
        <v>100.99000000000001</v>
      </c>
      <c r="H27" s="1"/>
    </row>
    <row r="28" spans="1:11">
      <c r="A28" s="1" t="str">
        <f>'Wybrane dane i wskaźniki'!C29</f>
        <v>Repurchase Of Capital Stock:</v>
      </c>
      <c r="B28" s="1">
        <f>'Wybrane dane i wskaźniki'!D29</f>
        <v>0</v>
      </c>
      <c r="C28" s="1">
        <f>'Wybrane dane i wskaźniki'!E29</f>
        <v>0</v>
      </c>
      <c r="D28" s="1">
        <f>'Wybrane dane i wskaźniki'!F29</f>
        <v>0</v>
      </c>
      <c r="E28" s="1">
        <f>'Wybrane dane i wskaźniki'!G29</f>
        <v>-61.74</v>
      </c>
      <c r="F28" s="1">
        <f>'Wybrane dane i wskaźniki'!H29</f>
        <v>-114.97</v>
      </c>
    </row>
    <row r="29" spans="1:11">
      <c r="A29" s="1" t="str">
        <f>'Wybrane dane i wskaźniki'!C30</f>
        <v>Net Cash From Financing Activities:</v>
      </c>
      <c r="B29" s="1">
        <f>'Wybrane dane i wskaźniki'!D30</f>
        <v>28.61</v>
      </c>
      <c r="C29" s="1">
        <f>'Wybrane dane i wskaźniki'!E30</f>
        <v>-36.25</v>
      </c>
      <c r="D29" s="1">
        <f>'Wybrane dane i wskaźniki'!F30</f>
        <v>100.09</v>
      </c>
      <c r="E29" s="1">
        <f>'Wybrane dane i wskaźniki'!G30</f>
        <v>-69.33</v>
      </c>
      <c r="F29" s="1">
        <f>'Wybrane dane i wskaźniki'!H30</f>
        <v>-40.849999999999994</v>
      </c>
      <c r="G29" s="1"/>
      <c r="I29" s="1"/>
      <c r="J29" s="1"/>
      <c r="K29" s="1"/>
    </row>
    <row r="30" spans="1:11">
      <c r="A30" s="1" t="str">
        <f>'Wybrane dane i wskaźniki'!C31</f>
        <v>Cena:</v>
      </c>
      <c r="B30" s="1">
        <f>'Wybrane dane i wskaźniki'!D31</f>
        <v>21.55</v>
      </c>
      <c r="C30" s="1">
        <f>'Wybrane dane i wskaźniki'!E31</f>
        <v>20.440000000000001</v>
      </c>
      <c r="D30" s="1">
        <f>'Wybrane dane i wskaźniki'!F31</f>
        <v>22.31</v>
      </c>
      <c r="E30" s="1">
        <f>'Wybrane dane i wskaźniki'!G31</f>
        <v>44.59</v>
      </c>
      <c r="F30" s="1">
        <f>'Wybrane dane i wskaźniki'!H31</f>
        <v>32.159999999999997</v>
      </c>
      <c r="H30" s="1"/>
    </row>
    <row r="34" spans="1:7" ht="15.75">
      <c r="A34" s="87"/>
      <c r="B34" s="87"/>
      <c r="C34" s="87"/>
      <c r="D34" s="87"/>
      <c r="E34" s="87"/>
      <c r="F34" s="87"/>
      <c r="G34" s="87"/>
    </row>
    <row r="35" spans="1:7" ht="15.75">
      <c r="A35" s="87"/>
      <c r="B35" s="87"/>
      <c r="C35" s="87"/>
      <c r="D35" s="87"/>
      <c r="E35" s="87"/>
      <c r="F35" s="87"/>
      <c r="G35" s="87"/>
    </row>
    <row r="36" spans="1:7" ht="15.75">
      <c r="A36" s="87"/>
      <c r="B36" s="87"/>
      <c r="C36" s="87"/>
      <c r="D36" s="87"/>
      <c r="E36" s="87"/>
      <c r="F36" s="87"/>
      <c r="G36" s="87"/>
    </row>
    <row r="37" spans="1:7" ht="15.75">
      <c r="A37" s="87"/>
      <c r="B37" s="88" t="str">
        <f>B1</f>
        <v>2018</v>
      </c>
      <c r="C37" s="88" t="str">
        <f>C1</f>
        <v>2019</v>
      </c>
      <c r="D37" s="88" t="str">
        <f>D1</f>
        <v>2020</v>
      </c>
      <c r="E37" s="88" t="str">
        <f>E1</f>
        <v>2021</v>
      </c>
      <c r="F37" s="88">
        <f>F1</f>
        <v>2022</v>
      </c>
      <c r="G37" s="87"/>
    </row>
    <row r="38" spans="1:7" ht="15.75">
      <c r="A38" s="87" t="s">
        <v>174</v>
      </c>
      <c r="B38" s="86" t="str">
        <f>IF(B25&gt;0,"+","-")</f>
        <v>+</v>
      </c>
      <c r="C38" s="86" t="str">
        <f t="shared" ref="C38:F39" si="0">IF(C25&gt;0,"+","-")</f>
        <v>+</v>
      </c>
      <c r="D38" s="86" t="str">
        <f t="shared" si="0"/>
        <v>+</v>
      </c>
      <c r="E38" s="86" t="str">
        <f t="shared" si="0"/>
        <v>+</v>
      </c>
      <c r="F38" s="86" t="str">
        <f t="shared" si="0"/>
        <v>+</v>
      </c>
      <c r="G38" s="87"/>
    </row>
    <row r="39" spans="1:7" ht="15.75">
      <c r="A39" s="87" t="s">
        <v>225</v>
      </c>
      <c r="B39" s="86" t="str">
        <f>IF(B26&gt;0,"+","-")</f>
        <v>-</v>
      </c>
      <c r="C39" s="86" t="str">
        <f t="shared" si="0"/>
        <v>-</v>
      </c>
      <c r="D39" s="86" t="str">
        <f t="shared" si="0"/>
        <v>-</v>
      </c>
      <c r="E39" s="86" t="str">
        <f t="shared" si="0"/>
        <v>-</v>
      </c>
      <c r="F39" s="86" t="str">
        <f t="shared" si="0"/>
        <v>-</v>
      </c>
      <c r="G39" s="87"/>
    </row>
    <row r="40" spans="1:7" ht="15.75">
      <c r="A40" s="87" t="s">
        <v>226</v>
      </c>
      <c r="B40" s="86" t="str">
        <f>IF(B29&gt;0,"+","-")</f>
        <v>+</v>
      </c>
      <c r="C40" s="86" t="str">
        <f t="shared" ref="C40:F40" si="1">IF(C29&gt;0,"+","-")</f>
        <v>-</v>
      </c>
      <c r="D40" s="86" t="str">
        <f t="shared" si="1"/>
        <v>+</v>
      </c>
      <c r="E40" s="86" t="str">
        <f t="shared" si="1"/>
        <v>-</v>
      </c>
      <c r="F40" s="86" t="str">
        <f t="shared" si="1"/>
        <v>-</v>
      </c>
      <c r="G40" s="87"/>
    </row>
    <row r="41" spans="1:7" ht="15.75">
      <c r="A41" s="87"/>
      <c r="B41" s="87"/>
      <c r="C41" s="87"/>
      <c r="D41" s="87"/>
      <c r="E41" s="87"/>
      <c r="F41" s="87"/>
      <c r="G41" s="87"/>
    </row>
  </sheetData>
  <sheetProtection algorithmName="SHA-512" hashValue="td2y5wesrGayhpQw7SOh1YCm/ZZbuJ80/EsMI7WtGA01NYn67tnw4WAVy0odhX4oXq/1iao/kBV4L4SwSFAkzw==" saltValue="8mdH0+hxsPFaKA6Ym+iV+g==" spinCount="100000" sheet="1" objects="1" scenarios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CEB2E-1766-4C46-9D3E-D3E575BE7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15</vt:i4>
      </vt:variant>
      <vt:variant>
        <vt:lpstr>Nazwane zakresy</vt:lpstr>
      </vt:variant>
      <vt:variant>
        <vt:i4>2</vt:i4>
      </vt:variant>
    </vt:vector>
  </HeadingPairs>
  <TitlesOfParts>
    <vt:vector size="17" baseType="lpstr">
      <vt:lpstr>Dashboard</vt:lpstr>
      <vt:lpstr>Instrukcja</vt:lpstr>
      <vt:lpstr>Wybrane dane i wskaźniki</vt:lpstr>
      <vt:lpstr>Wykresy</vt:lpstr>
      <vt:lpstr>Dane</vt:lpstr>
      <vt:lpstr>Wybrane dane i wskaźniki (2)</vt:lpstr>
      <vt:lpstr>Dane2</vt:lpstr>
      <vt:lpstr>Porównanie</vt:lpstr>
      <vt:lpstr>Changelog</vt:lpstr>
      <vt:lpstr>Wycena</vt:lpstr>
      <vt:lpstr>Jak ręcznie generować TTM</vt:lpstr>
      <vt:lpstr>Mnożniki ceny</vt:lpstr>
      <vt:lpstr>Dywidenda</vt:lpstr>
      <vt:lpstr>Wzrost</vt:lpstr>
      <vt:lpstr>Jakość</vt:lpstr>
      <vt:lpstr>Dane_finansowe</vt:lpstr>
      <vt:lpstr>Dane_finansowe2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yaro</dc:creator>
  <cp:keywords/>
  <dc:description/>
  <cp:lastModifiedBy>Administrator</cp:lastModifiedBy>
  <cp:revision/>
  <dcterms:created xsi:type="dcterms:W3CDTF">2015-09-06T05:51:08Z</dcterms:created>
  <dcterms:modified xsi:type="dcterms:W3CDTF">2022-12-27T01:44:41Z</dcterms:modified>
  <cp:category/>
  <cp:contentStatus/>
</cp:coreProperties>
</file>