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M\Repositorios\clients\Anthilla\AnthC\AnthC\Doc\Assembly\AnthC M2-R4\"/>
    </mc:Choice>
  </mc:AlternateContent>
  <xr:revisionPtr revIDLastSave="0" documentId="13_ncr:1_{F25CD12C-E727-4B15-B729-5DF672DF611F}" xr6:coauthVersionLast="47" xr6:coauthVersionMax="47" xr10:uidLastSave="{00000000-0000-0000-0000-000000000000}"/>
  <bookViews>
    <workbookView xWindow="-120" yWindow="-120" windowWidth="29040" windowHeight="15840" xr2:uid="{C0C25B29-7581-4A4E-9EEA-CB0C976B4432}"/>
  </bookViews>
  <sheets>
    <sheet name="BOM - AnthC M2-R4" sheetId="2" r:id="rId1"/>
    <sheet name="Sheet1" sheetId="1" r:id="rId2"/>
  </sheets>
  <definedNames>
    <definedName name="ExternalData_1" localSheetId="0" hidden="1">'BOM - AnthC M2-R4'!$A$9:$E$73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2" l="1"/>
  <c r="H10" i="2"/>
  <c r="H11" i="2"/>
  <c r="H13" i="2"/>
  <c r="H17" i="2"/>
  <c r="H21" i="2"/>
  <c r="H24" i="2"/>
  <c r="H26" i="2"/>
  <c r="H29" i="2"/>
  <c r="H30" i="2"/>
  <c r="H32" i="2"/>
  <c r="H33" i="2"/>
  <c r="H35" i="2"/>
  <c r="H41" i="2"/>
  <c r="H49" i="2"/>
  <c r="H57" i="2"/>
  <c r="H61" i="2"/>
  <c r="H62" i="2"/>
  <c r="H64" i="2"/>
  <c r="H65" i="2"/>
  <c r="H69" i="2"/>
  <c r="H71" i="2"/>
  <c r="H72" i="2"/>
  <c r="H73" i="2"/>
  <c r="G70" i="2"/>
  <c r="H70" i="2" s="1"/>
  <c r="G68" i="2"/>
  <c r="H68" i="2" s="1"/>
  <c r="G67" i="2"/>
  <c r="H67" i="2" s="1"/>
  <c r="G66" i="2"/>
  <c r="H66" i="2" s="1"/>
  <c r="G65" i="2"/>
  <c r="G64" i="2"/>
  <c r="G63" i="2"/>
  <c r="H63" i="2" s="1"/>
  <c r="G60" i="2"/>
  <c r="H60" i="2" s="1"/>
  <c r="G59" i="2"/>
  <c r="H59" i="2" s="1"/>
  <c r="G58" i="2"/>
  <c r="H58" i="2" s="1"/>
  <c r="G57" i="2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G40" i="2"/>
  <c r="H40" i="2" s="1"/>
  <c r="G39" i="2"/>
  <c r="H39" i="2" s="1"/>
  <c r="G38" i="2"/>
  <c r="H38" i="2" s="1"/>
  <c r="G37" i="2"/>
  <c r="H37" i="2" s="1"/>
  <c r="G36" i="2"/>
  <c r="H36" i="2" s="1"/>
  <c r="G34" i="2"/>
  <c r="H34" i="2" s="1"/>
  <c r="G33" i="2"/>
  <c r="G32" i="2"/>
  <c r="G31" i="2"/>
  <c r="H31" i="2" s="1"/>
  <c r="G29" i="2"/>
  <c r="G28" i="2"/>
  <c r="H28" i="2" s="1"/>
  <c r="G27" i="2"/>
  <c r="H27" i="2" s="1"/>
  <c r="G25" i="2"/>
  <c r="H25" i="2" s="1"/>
  <c r="G23" i="2"/>
  <c r="H23" i="2" s="1"/>
  <c r="G22" i="2"/>
  <c r="H22" i="2" s="1"/>
  <c r="G21" i="2"/>
  <c r="G20" i="2"/>
  <c r="H20" i="2" s="1"/>
  <c r="G19" i="2"/>
  <c r="H19" i="2" s="1"/>
  <c r="G18" i="2"/>
  <c r="H18" i="2" s="1"/>
  <c r="G17" i="2"/>
  <c r="G16" i="2"/>
  <c r="H16" i="2" s="1"/>
  <c r="G15" i="2"/>
  <c r="H15" i="2" s="1"/>
  <c r="G14" i="2"/>
  <c r="H14" i="2" s="1"/>
  <c r="G13" i="2"/>
  <c r="G12" i="2"/>
  <c r="H1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37DBC-4D25-45B1-B702-1B89AD2B2EDE}" keepAlive="1" name="Query - BOM - AnthC M2-R4" description="Connection to the 'BOM - AnthC M2-R4' query in the workbook." type="5" refreshedVersion="8" background="1" saveData="1">
    <dbPr connection="Provider=Microsoft.Mashup.OleDb.1;Data Source=$Workbook$;Location=&quot;BOM - AnthC M2-R4&quot;;Extended Properties=&quot;&quot;" command="SELECT * FROM [BOM - AnthC M2-R4]"/>
  </connection>
</connections>
</file>

<file path=xl/sharedStrings.xml><?xml version="1.0" encoding="utf-8"?>
<sst xmlns="http://schemas.openxmlformats.org/spreadsheetml/2006/main" count="335" uniqueCount="255">
  <si>
    <t>Reference</t>
  </si>
  <si>
    <t>Value</t>
  </si>
  <si>
    <t>Footprint</t>
  </si>
  <si>
    <t>Qty</t>
  </si>
  <si>
    <t>MPN</t>
  </si>
  <si>
    <t>Manufacturer</t>
  </si>
  <si>
    <t>BT1</t>
  </si>
  <si>
    <t>Battery_Cell_CR2032</t>
  </si>
  <si>
    <t>Connectors:BatteryHolder_WURTH_79527141-C_1x2032</t>
  </si>
  <si>
    <t>79527141</t>
  </si>
  <si>
    <t>Wurth Elektronik</t>
  </si>
  <si>
    <t>C1,C2,C16,C18,C21,C30,C41,C43</t>
  </si>
  <si>
    <t>10uF</t>
  </si>
  <si>
    <t>Capacitor_SMD:C_1206_3216Metric</t>
  </si>
  <si>
    <t>GRT31CR61H106ME01L</t>
  </si>
  <si>
    <t>Murata Electronics</t>
  </si>
  <si>
    <t>C3</t>
  </si>
  <si>
    <t>22nF</t>
  </si>
  <si>
    <t>Capacitor_SMD:C_0603_1608Metric</t>
  </si>
  <si>
    <t>CL10B223KB8WPNC</t>
  </si>
  <si>
    <t>Samsung Electro-Mechanics</t>
  </si>
  <si>
    <t>C4,C6,C8,C11,C13,C14,C15,C20,C23,C24,C29,C31,C32,C34,C35,C36,C37,C38,C42</t>
  </si>
  <si>
    <t>100nF</t>
  </si>
  <si>
    <t>CL10B104KB8NNNC</t>
  </si>
  <si>
    <t>C5</t>
  </si>
  <si>
    <t>47pF</t>
  </si>
  <si>
    <t>885012006055</t>
  </si>
  <si>
    <t>C7</t>
  </si>
  <si>
    <t>4.7nF</t>
  </si>
  <si>
    <t>Capacitor_SMD:C_0402_1005Metric</t>
  </si>
  <si>
    <t>0402B472K500NT</t>
  </si>
  <si>
    <t>Guangdong Fenghua Advanced Tech</t>
  </si>
  <si>
    <t>C9,C12,C22</t>
  </si>
  <si>
    <t>47uF</t>
  </si>
  <si>
    <t>GRT31CR61A476KE13L</t>
  </si>
  <si>
    <t>C17,C19,C39,C40</t>
  </si>
  <si>
    <t>1uF</t>
  </si>
  <si>
    <t>CL10B105KA8NNNC</t>
  </si>
  <si>
    <t>C25,C26,C27,C28</t>
  </si>
  <si>
    <t>10nF</t>
  </si>
  <si>
    <t>CL10B103KB8NNNC</t>
  </si>
  <si>
    <t>C44</t>
  </si>
  <si>
    <t>1nF</t>
  </si>
  <si>
    <t>CL10B102KB8NNNC</t>
  </si>
  <si>
    <t>C45,C46</t>
  </si>
  <si>
    <t>7pF</t>
  </si>
  <si>
    <t>06035A7R0CAT2A</t>
  </si>
  <si>
    <t>KYOCERA AVX</t>
  </si>
  <si>
    <t>D1,D4,D8,D9,D14,D20,D24,D31</t>
  </si>
  <si>
    <t>Zener_6V</t>
  </si>
  <si>
    <t>Semiconductors:D_SOD-123</t>
  </si>
  <si>
    <t>MMSZ5233B-E3-08</t>
  </si>
  <si>
    <t>Vishay</t>
  </si>
  <si>
    <t>D2,D15,D17,D21,D22,D25,D26,D27,D28,D29,D32,D33</t>
  </si>
  <si>
    <t>PESD3V3L2BT</t>
  </si>
  <si>
    <t>Semiconductors:SOT-23</t>
  </si>
  <si>
    <t>PESD3V3L2BT,215</t>
  </si>
  <si>
    <t>Nexperia</t>
  </si>
  <si>
    <t>D3,D18</t>
  </si>
  <si>
    <t>B5819W</t>
  </si>
  <si>
    <t>Diode_SMD:D_SOD-123</t>
  </si>
  <si>
    <t>Changjiang Electronics Tech (CJ)</t>
  </si>
  <si>
    <t>D5,D19</t>
  </si>
  <si>
    <t>SP3205-01ETG</t>
  </si>
  <si>
    <t>Semiconductors:D_SOD-882</t>
  </si>
  <si>
    <t>Littelfuse</t>
  </si>
  <si>
    <t>D6,D10,D11,D16</t>
  </si>
  <si>
    <t>BAT54S</t>
  </si>
  <si>
    <t>Package_TO_SOT_SMD:SOT-23</t>
  </si>
  <si>
    <t>BAT54S,235</t>
  </si>
  <si>
    <t>D7</t>
  </si>
  <si>
    <t>B220AF-13</t>
  </si>
  <si>
    <t>Diode_SMD:D_SMA</t>
  </si>
  <si>
    <t>Diodes Incorporated</t>
  </si>
  <si>
    <t>D13</t>
  </si>
  <si>
    <t>SMBJ30CA</t>
  </si>
  <si>
    <t>Semiconductors:D_SMB</t>
  </si>
  <si>
    <t>D23,D30,D35</t>
  </si>
  <si>
    <t>TVS_2-Channel-7V</t>
  </si>
  <si>
    <t>CDSOT23-SM712</t>
  </si>
  <si>
    <t>Bourns</t>
  </si>
  <si>
    <t>FL1</t>
  </si>
  <si>
    <t>ACM7060-701-2PL-TL01</t>
  </si>
  <si>
    <t>Inductors:ChokeSMD_ACM7060</t>
  </si>
  <si>
    <t>TDK</t>
  </si>
  <si>
    <t>J1</t>
  </si>
  <si>
    <t>USB4105-GF-A</t>
  </si>
  <si>
    <t>Connectors:USB4105-GF-A</t>
  </si>
  <si>
    <t>GCT</t>
  </si>
  <si>
    <t>J2</t>
  </si>
  <si>
    <t>1x05</t>
  </si>
  <si>
    <t>Connectors:WURTH-691312510005</t>
  </si>
  <si>
    <t>691312510005</t>
  </si>
  <si>
    <t>J3</t>
  </si>
  <si>
    <t>Conn_02x20_Odd_Even</t>
  </si>
  <si>
    <t>Connectors:PinHeader_2x20_P2.54mm_Vertical</t>
  </si>
  <si>
    <t>10129381-940002BLF</t>
  </si>
  <si>
    <t>Amphenol ICC</t>
  </si>
  <si>
    <t>J5</t>
  </si>
  <si>
    <t>01x03</t>
  </si>
  <si>
    <t>Connectors:WURTH-691312510003</t>
  </si>
  <si>
    <t>691312510003</t>
  </si>
  <si>
    <t>J6</t>
  </si>
  <si>
    <t>1x02</t>
  </si>
  <si>
    <t>Connectors:WURTH-691312510002</t>
  </si>
  <si>
    <t>691312510002</t>
  </si>
  <si>
    <t>L1</t>
  </si>
  <si>
    <t>10μH-5A</t>
  </si>
  <si>
    <t>Inductors:Inductor_Wurth_XHMI-6060</t>
  </si>
  <si>
    <t>74439346100</t>
  </si>
  <si>
    <t>L2</t>
  </si>
  <si>
    <t>1.8μH-5.8A</t>
  </si>
  <si>
    <t>Inductors:Inductor_Wurth_LQS-6045</t>
  </si>
  <si>
    <t>74404064018</t>
  </si>
  <si>
    <t>Q1,Q2,Q5,Q7</t>
  </si>
  <si>
    <t>2N7002T-7-F</t>
  </si>
  <si>
    <t>Transistors:SOT-523</t>
  </si>
  <si>
    <t>ON Semiconductor</t>
  </si>
  <si>
    <t>Q3,Q4</t>
  </si>
  <si>
    <t>MMSS8050-H-TP</t>
  </si>
  <si>
    <t>Transistors:SOT-23</t>
  </si>
  <si>
    <t>Micro Commercial Co</t>
  </si>
  <si>
    <t>Q8,Q9</t>
  </si>
  <si>
    <t>SI2347DS-T1-GE3</t>
  </si>
  <si>
    <t>Vishay Semiconductors</t>
  </si>
  <si>
    <t>Q10</t>
  </si>
  <si>
    <t>DMN67D8L-7</t>
  </si>
  <si>
    <t>R1,R37,R87</t>
  </si>
  <si>
    <t>12K</t>
  </si>
  <si>
    <t>Resistor_SMD:R_0603_1608Metric</t>
  </si>
  <si>
    <t>RT0603FRE0712KL</t>
  </si>
  <si>
    <t>Yageo</t>
  </si>
  <si>
    <t>R2</t>
  </si>
  <si>
    <t>49.9</t>
  </si>
  <si>
    <t>TNPW020149R9BEED</t>
  </si>
  <si>
    <t>YAGEO</t>
  </si>
  <si>
    <t>R3,R4,R20,R31,R64,R83,R88,R89,R91,R99,R100</t>
  </si>
  <si>
    <t>0</t>
  </si>
  <si>
    <t>AC0603JR-070RL</t>
  </si>
  <si>
    <t>R5</t>
  </si>
  <si>
    <t>120</t>
  </si>
  <si>
    <t>CR0603-FX-1200ELF</t>
  </si>
  <si>
    <t>R6,R7,R9,R10,R13,R14,R15,R16,R17,R19,R22,R23,R30,R33,R35,R42,R81,R92</t>
  </si>
  <si>
    <t>10K</t>
  </si>
  <si>
    <t>RC0603FR-0710KL</t>
  </si>
  <si>
    <t>R8</t>
  </si>
  <si>
    <t>43K</t>
  </si>
  <si>
    <t>RC0603FR-0743KL</t>
  </si>
  <si>
    <t>R11,R12,R43</t>
  </si>
  <si>
    <t>1K</t>
  </si>
  <si>
    <t>RC0603FR-071KL</t>
  </si>
  <si>
    <t>R18,R21,R41</t>
  </si>
  <si>
    <t>10KΩ</t>
  </si>
  <si>
    <t>R24,R27,R29,R32</t>
  </si>
  <si>
    <t>20K</t>
  </si>
  <si>
    <t>RK73B1JTTDD203J</t>
  </si>
  <si>
    <t>KOA Speer</t>
  </si>
  <si>
    <t>R25,R26,R28,R34,R48,R53,R54,R55,R56,R57,R58,R59,R60,R61,R62,R66,R67,R69,R70,R71,R72,R73,R74,R75,R76,R77,R78,R79,R80,R93,R94,R95</t>
  </si>
  <si>
    <t>100</t>
  </si>
  <si>
    <t>RC0603FR-07100RL</t>
  </si>
  <si>
    <t>R36</t>
  </si>
  <si>
    <t>36KΩ</t>
  </si>
  <si>
    <t>RN73H1JTTD3602F50</t>
  </si>
  <si>
    <t>R38</t>
  </si>
  <si>
    <t>51KΩ</t>
  </si>
  <si>
    <t>RC0603FR-0751KL</t>
  </si>
  <si>
    <t>R39</t>
  </si>
  <si>
    <t>100KΩ</t>
  </si>
  <si>
    <t>RC0603FR-07100KL</t>
  </si>
  <si>
    <t>R40,R44,R45,R46,R49,R50,R51,R52,R82</t>
  </si>
  <si>
    <t>2KΩ</t>
  </si>
  <si>
    <t>CR0603-FX-2001ELF</t>
  </si>
  <si>
    <t>R47</t>
  </si>
  <si>
    <t>22K1</t>
  </si>
  <si>
    <t>CR0603-FX-2212ELF</t>
  </si>
  <si>
    <t>Bourns Inc.</t>
  </si>
  <si>
    <t>R63</t>
  </si>
  <si>
    <t>47K5</t>
  </si>
  <si>
    <t>RT0603DRE0747K5L</t>
  </si>
  <si>
    <t>R86</t>
  </si>
  <si>
    <t>8.2KΩ</t>
  </si>
  <si>
    <t>ERJ-3EKF8201V</t>
  </si>
  <si>
    <t>Panasonic</t>
  </si>
  <si>
    <t>SW1</t>
  </si>
  <si>
    <t>SW_DIP_x04_Vertical</t>
  </si>
  <si>
    <t>Electromechanical:SW_DIP_SPSTx04_Vertical_4_poles_P_2.54mm</t>
  </si>
  <si>
    <t>418217270904A</t>
  </si>
  <si>
    <t>TH1</t>
  </si>
  <si>
    <t>NTC_10K</t>
  </si>
  <si>
    <t>NTCG163JF103FT1</t>
  </si>
  <si>
    <t>U1</t>
  </si>
  <si>
    <t>TPS54331DR</t>
  </si>
  <si>
    <t>Package_SO:SOIC-8-1EP_3.9x4.9mm_P1.27mm_EP2.29x3mm_ThermalVias</t>
  </si>
  <si>
    <t>Texas Instruments</t>
  </si>
  <si>
    <t>U2</t>
  </si>
  <si>
    <t>MCP73833-DFN</t>
  </si>
  <si>
    <t>IC:DFN-10-1EP_3x3mm_P0.5mm_EP1.65x2.38mm_ThermalVias</t>
  </si>
  <si>
    <t>MCP73833-BZI/MF</t>
  </si>
  <si>
    <t>Microchip</t>
  </si>
  <si>
    <t>U3</t>
  </si>
  <si>
    <t>BD33FC0FP-E2</t>
  </si>
  <si>
    <t>IC:TO-252-2</t>
  </si>
  <si>
    <t>Onsemi</t>
  </si>
  <si>
    <t>U4</t>
  </si>
  <si>
    <t>SP3485EN-L/TR</t>
  </si>
  <si>
    <t>Package_SO:SOIC-8_3.9x4.9mm_P1.27mm</t>
  </si>
  <si>
    <t>Exar</t>
  </si>
  <si>
    <t>U5</t>
  </si>
  <si>
    <t>CP2102N-A02-GQFN24</t>
  </si>
  <si>
    <t>Package_DFN_QFN:QFN-24-1EP_4x4mm_P0.5mm_EP2.6x2.6mm</t>
  </si>
  <si>
    <t>Silicon Labs</t>
  </si>
  <si>
    <t>U6</t>
  </si>
  <si>
    <t>ESP32-S3-WROOM</t>
  </si>
  <si>
    <t>Processor:ESP32-S3-WROOM</t>
  </si>
  <si>
    <t>ESP32-S3-WROOM-1-N16</t>
  </si>
  <si>
    <t>Espressif</t>
  </si>
  <si>
    <t>U7</t>
  </si>
  <si>
    <t>MCP7940N-I/SN</t>
  </si>
  <si>
    <t>IC:SOIC-8_3.9x4.9mm_P1.27mm</t>
  </si>
  <si>
    <t>U8</t>
  </si>
  <si>
    <t>SHT40-AD1B-R2</t>
  </si>
  <si>
    <t>IC:DFN-4</t>
  </si>
  <si>
    <t>Sensirion</t>
  </si>
  <si>
    <t>U9</t>
  </si>
  <si>
    <t>TLV9054</t>
  </si>
  <si>
    <t>IC:QFN-16-1EP_3x3mm_P0.5mm_EP1.7x1.7mm</t>
  </si>
  <si>
    <t>TLV9054SIRTER</t>
  </si>
  <si>
    <t>U10</t>
  </si>
  <si>
    <t>MCP3464RT-E_NC</t>
  </si>
  <si>
    <t>IC:UQFN-20-1EP_3x3mm_P0.4mm_EP1.85x1.85mm_ThermalVias</t>
  </si>
  <si>
    <t>MCP3464RT-E/NC</t>
  </si>
  <si>
    <t>U11</t>
  </si>
  <si>
    <t>ULN2004D1013TR</t>
  </si>
  <si>
    <t>IC:SO-16_3.9x9.9mm_P1.27mm</t>
  </si>
  <si>
    <t>ST Microelectronics</t>
  </si>
  <si>
    <t>U12</t>
  </si>
  <si>
    <t>LM2735X</t>
  </si>
  <si>
    <t>IC:WSON-6-1EP_3x3mm_P0.95mm</t>
  </si>
  <si>
    <t xml:space="preserve">LM2735XMFX/NOPB </t>
  </si>
  <si>
    <t>U13</t>
  </si>
  <si>
    <t>REF5025AID</t>
  </si>
  <si>
    <t>Y1</t>
  </si>
  <si>
    <t>SC32S</t>
  </si>
  <si>
    <t>Crystal:Crystal_2pin_3.2mm_1.5mm</t>
  </si>
  <si>
    <t>SC32S-7PF20PPM</t>
  </si>
  <si>
    <t>Seiko</t>
  </si>
  <si>
    <t>Project Name</t>
  </si>
  <si>
    <t>Anthilla Controller</t>
  </si>
  <si>
    <t>Version</t>
  </si>
  <si>
    <t>M2-R4</t>
  </si>
  <si>
    <t>Date</t>
  </si>
  <si>
    <t>Bill of Materials (BOM)</t>
  </si>
  <si>
    <t>Total</t>
  </si>
  <si>
    <t>Unit 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</si>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</sst>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5" xfId="0" applyNumberFormat="1" applyBorder="1"/>
    <xf numFmtId="0" fontId="0" fillId="0" borderId="8" xfId="0" applyNumberForma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638736</xdr:colOff>
      <xdr:row>2</xdr:row>
      <xdr:rowOff>11207</xdr:rowOff>
    </xdr:from>
    <xdr:to>
      <xdr:col>2</xdr:col>
      <xdr:colOff>67236</xdr:colOff>
      <xdr:row>6</xdr:row>
      <xdr:rowOff>165058</xdr:rowOff>
    </xdr:to>
    <xdr:pic>
      <xdr:nvPicPr>
        <xdr:cNvPr id="2" name="Picture 1" descr="Anthilla logo">
          <a:extLst>
            <a:ext uri="{FF2B5EF4-FFF2-40B4-BE49-F238E27FC236}">
              <a16:creationId xmlns:a16="http://schemas.microsoft.com/office/drawing/2014/main" id="{785C3F51-14CF-CD4A-25EF-CDE583644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854" y="212913"/>
          <a:ext cx="5916706" cy="927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2BCE0E-608F-4273-91B3-63ED9F032931}" autoFormatId="16" applyNumberFormats="0" applyBorderFormats="0" applyFontFormats="0" applyPatternFormats="0" applyAlignmentFormats="0" applyWidthHeightFormats="0">
  <queryTableRefresh nextId="14" unboundColumnsRight="3">
    <queryTableFields count="8">
      <queryTableField id="1" name="Reference" tableColumnId="1"/>
      <queryTableField id="2" name="Value" tableColumnId="2"/>
      <queryTableField id="4" name="Footprint" tableColumnId="4"/>
      <queryTableField id="5" name="Qty" tableColumnId="5"/>
      <queryTableField id="8" name="Manufacturer" tableColumnId="8"/>
      <queryTableField id="11" dataBound="0" tableColumnId="3"/>
      <queryTableField id="12" dataBound="0" tableColumnId="6"/>
      <queryTableField id="13" dataBound="0" tableColumnId="7"/>
    </queryTableFields>
    <queryTableDeletedFields count="5">
      <deletedField name="Datasheet"/>
      <deletedField name="Supplier"/>
      <deletedField name="Supplier Part Number"/>
      <deletedField name="MPN"/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7F66F-3CDE-43B9-B45D-C23F0F9396B1}" name="BOM___AnthC_M2_R4" displayName="BOM___AnthC_M2_R4" ref="A9:H74" tableType="queryTable" totalsRowCount="1">
  <autoFilter ref="A9:H73" xr:uid="{BB47F66F-3CDE-43B9-B45D-C23F0F9396B1}"/>
  <tableColumns count="8">
    <tableColumn id="1" xr3:uid="{AA0D1052-BA94-4D98-B6AA-63B2442248D5}" uniqueName="1" name="Reference" queryTableFieldId="1" dataDxfId="8"/>
    <tableColumn id="2" xr3:uid="{54FD6537-C3A5-44E3-BC80-5A822DD6E5E0}" uniqueName="2" name="Value" queryTableFieldId="2" dataDxfId="7"/>
    <tableColumn id="4" xr3:uid="{27FC6405-7B84-4D3B-867E-92448CC266EB}" uniqueName="4" name="Footprint" queryTableFieldId="4" dataDxfId="6"/>
    <tableColumn id="5" xr3:uid="{6B82F80F-D833-45C1-AD4F-941CF7BC4402}" uniqueName="5" name="Qty" queryTableFieldId="5"/>
    <tableColumn id="8" xr3:uid="{A2B66114-56B8-4D32-9D60-C20DD972B168}" uniqueName="8" name="Manufacturer" queryTableFieldId="8" dataDxfId="5"/>
    <tableColumn id="3" xr3:uid="{9BD008AA-1ABC-496D-AE08-E658162E63CB}" uniqueName="3" name="MPN" totalsRowLabel="Total" queryTableFieldId="11" dataDxfId="4" totalsRowDxfId="1"/>
    <tableColumn id="6" xr3:uid="{D56D72D5-992D-451A-9D46-F868D2147D45}" uniqueName="6" name="Unit Price" queryTableFieldId="12" dataDxfId="3"/>
    <tableColumn id="7" xr3:uid="{1659BAE1-86FE-4883-81FD-2B8BFF671E0F}" uniqueName="7" name="Total Price" totalsRowFunction="custom" queryTableFieldId="13" dataDxfId="2" totalsRowDxfId="0">
      <calculatedColumnFormula>BOM___AnthC_M2_R4[[#This Row],[Unit Price]]*BOM___AnthC_M2_R4[[#This Row],[Qty]]</calculatedColumnFormula>
      <totalsRowFormula>SUM(H10:H73)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2818-A30F-4222-AEA1-FF26AF583BC9}">
  <sheetPr codeName="Sheet1"/>
  <dimension ref="A1:H74"/>
  <sheetViews>
    <sheetView tabSelected="1" zoomScale="70" zoomScaleNormal="70" workbookViewId="0">
      <pane xSplit="1" topLeftCell="B1" activePane="topRight" state="frozen"/>
      <selection pane="topRight" activeCell="G11" sqref="G11"/>
    </sheetView>
  </sheetViews>
  <sheetFormatPr defaultRowHeight="15" x14ac:dyDescent="0.25"/>
  <cols>
    <col min="1" max="1" width="80.28515625" customWidth="1"/>
    <col min="2" max="2" width="17" customWidth="1"/>
    <col min="3" max="3" width="57.5703125" customWidth="1"/>
    <col min="4" max="4" width="6.42578125" bestFit="1" customWidth="1"/>
    <col min="5" max="5" width="40.28515625" customWidth="1"/>
    <col min="6" max="6" width="31.140625" customWidth="1"/>
    <col min="7" max="7" width="24.140625" customWidth="1"/>
    <col min="8" max="8" width="15" customWidth="1"/>
  </cols>
  <sheetData>
    <row r="1" spans="1:8" ht="15.75" thickTop="1" x14ac:dyDescent="0.25">
      <c r="A1" s="15" t="s">
        <v>251</v>
      </c>
      <c r="B1" s="16"/>
    </row>
    <row r="2" spans="1:8" ht="15.75" thickBot="1" x14ac:dyDescent="0.3">
      <c r="A2" s="17"/>
      <c r="B2" s="18"/>
    </row>
    <row r="3" spans="1:8" ht="15.75" thickTop="1" x14ac:dyDescent="0.25">
      <c r="A3" s="1"/>
      <c r="B3" s="2"/>
      <c r="C3" s="2"/>
      <c r="D3" s="2"/>
      <c r="E3" s="2"/>
      <c r="F3" s="2"/>
      <c r="G3" s="2"/>
      <c r="H3" s="3"/>
    </row>
    <row r="4" spans="1:8" x14ac:dyDescent="0.25">
      <c r="A4" s="4"/>
      <c r="B4" s="11" t="s">
        <v>246</v>
      </c>
      <c r="C4" s="19" t="s">
        <v>247</v>
      </c>
      <c r="D4" s="19"/>
      <c r="E4" s="19"/>
      <c r="F4" s="19"/>
      <c r="G4" s="12"/>
      <c r="H4" s="9"/>
    </row>
    <row r="5" spans="1:8" x14ac:dyDescent="0.25">
      <c r="A5" s="4"/>
      <c r="B5" s="11" t="s">
        <v>248</v>
      </c>
      <c r="C5" s="19" t="s">
        <v>249</v>
      </c>
      <c r="D5" s="19"/>
      <c r="E5" s="19"/>
      <c r="F5" s="19"/>
      <c r="G5" s="12"/>
      <c r="H5" s="9"/>
    </row>
    <row r="6" spans="1:8" x14ac:dyDescent="0.25">
      <c r="A6" s="4"/>
      <c r="B6" s="11" t="s">
        <v>250</v>
      </c>
      <c r="C6" s="20">
        <v>45367</v>
      </c>
      <c r="D6" s="20"/>
      <c r="E6" s="20"/>
      <c r="F6" s="20"/>
      <c r="G6" s="13"/>
      <c r="H6" s="10"/>
    </row>
    <row r="7" spans="1:8" x14ac:dyDescent="0.25">
      <c r="A7" s="4"/>
      <c r="H7" s="5"/>
    </row>
    <row r="8" spans="1:8" ht="15.75" thickBot="1" x14ac:dyDescent="0.3">
      <c r="A8" s="6"/>
      <c r="B8" s="7"/>
      <c r="C8" s="7"/>
      <c r="D8" s="7"/>
      <c r="E8" s="7"/>
      <c r="F8" s="7"/>
      <c r="G8" s="7"/>
      <c r="H8" s="8"/>
    </row>
    <row r="9" spans="1:8" ht="15.75" thickTop="1" x14ac:dyDescent="0.25">
      <c r="A9" s="1" t="s">
        <v>0</v>
      </c>
      <c r="B9" s="2" t="s">
        <v>1</v>
      </c>
      <c r="C9" s="2" t="s">
        <v>2</v>
      </c>
      <c r="D9" s="2" t="s">
        <v>3</v>
      </c>
      <c r="E9" s="2" t="s">
        <v>5</v>
      </c>
      <c r="F9" s="2" t="s">
        <v>4</v>
      </c>
      <c r="G9" s="2" t="s">
        <v>253</v>
      </c>
      <c r="H9" s="3" t="s">
        <v>254</v>
      </c>
    </row>
    <row r="10" spans="1:8" x14ac:dyDescent="0.25">
      <c r="A10" s="4" t="s">
        <v>6</v>
      </c>
      <c r="B10" t="s">
        <v>7</v>
      </c>
      <c r="C10" t="s">
        <v>8</v>
      </c>
      <c r="D10">
        <v>1</v>
      </c>
      <c r="E10" t="s">
        <v>10</v>
      </c>
      <c r="F10" t="s">
        <v>9</v>
      </c>
      <c r="G10" s="21">
        <v>3.0339999999999998</v>
      </c>
      <c r="H10" s="22">
        <f>BOM___AnthC_M2_R4[[#This Row],[Unit Price]]*BOM___AnthC_M2_R4[[#This Row],[Qty]]</f>
        <v>3.0339999999999998</v>
      </c>
    </row>
    <row r="11" spans="1:8" x14ac:dyDescent="0.25">
      <c r="A11" s="4" t="s">
        <v>11</v>
      </c>
      <c r="B11" t="s">
        <v>12</v>
      </c>
      <c r="C11" t="s">
        <v>13</v>
      </c>
      <c r="D11">
        <v>8</v>
      </c>
      <c r="E11" t="s">
        <v>15</v>
      </c>
      <c r="F11" t="s">
        <v>14</v>
      </c>
      <c r="G11" s="21">
        <v>2.9899999999999999E-2</v>
      </c>
      <c r="H11" s="22">
        <f>BOM___AnthC_M2_R4[[#This Row],[Unit Price]]*BOM___AnthC_M2_R4[[#This Row],[Qty]]</f>
        <v>0.2392</v>
      </c>
    </row>
    <row r="12" spans="1:8" x14ac:dyDescent="0.25">
      <c r="A12" s="4" t="s">
        <v>16</v>
      </c>
      <c r="B12" t="s">
        <v>17</v>
      </c>
      <c r="C12" t="s">
        <v>18</v>
      </c>
      <c r="D12">
        <v>1</v>
      </c>
      <c r="E12" t="s">
        <v>20</v>
      </c>
      <c r="F12" t="s">
        <v>19</v>
      </c>
      <c r="G12" s="21">
        <f>0.0621/20</f>
        <v>3.1050000000000001E-3</v>
      </c>
      <c r="H12" s="22">
        <f>BOM___AnthC_M2_R4[[#This Row],[Unit Price]]*BOM___AnthC_M2_R4[[#This Row],[Qty]]</f>
        <v>3.1050000000000001E-3</v>
      </c>
    </row>
    <row r="13" spans="1:8" x14ac:dyDescent="0.25">
      <c r="A13" s="4" t="s">
        <v>21</v>
      </c>
      <c r="B13" t="s">
        <v>22</v>
      </c>
      <c r="C13" t="s">
        <v>18</v>
      </c>
      <c r="D13">
        <v>19</v>
      </c>
      <c r="E13" t="s">
        <v>20</v>
      </c>
      <c r="F13" t="s">
        <v>23</v>
      </c>
      <c r="G13" s="21">
        <f>0.406/196</f>
        <v>2.0714285714285717E-3</v>
      </c>
      <c r="H13" s="22">
        <f>BOM___AnthC_M2_R4[[#This Row],[Unit Price]]*BOM___AnthC_M2_R4[[#This Row],[Qty]]</f>
        <v>3.9357142857142861E-2</v>
      </c>
    </row>
    <row r="14" spans="1:8" x14ac:dyDescent="0.25">
      <c r="A14" s="4" t="s">
        <v>24</v>
      </c>
      <c r="B14" t="s">
        <v>25</v>
      </c>
      <c r="C14" t="s">
        <v>18</v>
      </c>
      <c r="D14">
        <v>1</v>
      </c>
      <c r="E14" t="s">
        <v>10</v>
      </c>
      <c r="F14" t="s">
        <v>26</v>
      </c>
      <c r="G14" s="21">
        <f>0.1167/20</f>
        <v>5.8349999999999999E-3</v>
      </c>
      <c r="H14" s="22">
        <f>BOM___AnthC_M2_R4[[#This Row],[Unit Price]]*BOM___AnthC_M2_R4[[#This Row],[Qty]]</f>
        <v>5.8349999999999999E-3</v>
      </c>
    </row>
    <row r="15" spans="1:8" x14ac:dyDescent="0.25">
      <c r="A15" s="4" t="s">
        <v>27</v>
      </c>
      <c r="B15" t="s">
        <v>28</v>
      </c>
      <c r="C15" t="s">
        <v>29</v>
      </c>
      <c r="D15">
        <v>1</v>
      </c>
      <c r="E15" t="s">
        <v>31</v>
      </c>
      <c r="F15" t="s">
        <v>30</v>
      </c>
      <c r="G15" s="21">
        <f>0.0169/20</f>
        <v>8.4499999999999994E-4</v>
      </c>
      <c r="H15" s="22">
        <f>BOM___AnthC_M2_R4[[#This Row],[Unit Price]]*BOM___AnthC_M2_R4[[#This Row],[Qty]]</f>
        <v>8.4499999999999994E-4</v>
      </c>
    </row>
    <row r="16" spans="1:8" x14ac:dyDescent="0.25">
      <c r="A16" s="4" t="s">
        <v>32</v>
      </c>
      <c r="B16" t="s">
        <v>33</v>
      </c>
      <c r="C16" t="s">
        <v>13</v>
      </c>
      <c r="D16">
        <v>3</v>
      </c>
      <c r="E16" t="s">
        <v>15</v>
      </c>
      <c r="F16" t="s">
        <v>34</v>
      </c>
      <c r="G16" s="21">
        <f>2.121/32</f>
        <v>6.628125E-2</v>
      </c>
      <c r="H16" s="22">
        <f>BOM___AnthC_M2_R4[[#This Row],[Unit Price]]*BOM___AnthC_M2_R4[[#This Row],[Qty]]</f>
        <v>0.19884374999999999</v>
      </c>
    </row>
    <row r="17" spans="1:8" x14ac:dyDescent="0.25">
      <c r="A17" s="4" t="s">
        <v>35</v>
      </c>
      <c r="B17" t="s">
        <v>36</v>
      </c>
      <c r="C17" t="s">
        <v>18</v>
      </c>
      <c r="D17">
        <v>4</v>
      </c>
      <c r="E17" t="s">
        <v>20</v>
      </c>
      <c r="F17" t="s">
        <v>37</v>
      </c>
      <c r="G17" s="21">
        <f>0.2213/50</f>
        <v>4.4260000000000002E-3</v>
      </c>
      <c r="H17" s="22">
        <f>BOM___AnthC_M2_R4[[#This Row],[Unit Price]]*BOM___AnthC_M2_R4[[#This Row],[Qty]]</f>
        <v>1.7704000000000001E-2</v>
      </c>
    </row>
    <row r="18" spans="1:8" x14ac:dyDescent="0.25">
      <c r="A18" s="4" t="s">
        <v>38</v>
      </c>
      <c r="B18" t="s">
        <v>39</v>
      </c>
      <c r="C18" t="s">
        <v>18</v>
      </c>
      <c r="D18">
        <v>4</v>
      </c>
      <c r="E18" t="s">
        <v>20</v>
      </c>
      <c r="F18" t="s">
        <v>40</v>
      </c>
      <c r="G18" s="21">
        <f>0.0996/46</f>
        <v>2.1652173913043475E-3</v>
      </c>
      <c r="H18" s="22">
        <f>BOM___AnthC_M2_R4[[#This Row],[Unit Price]]*BOM___AnthC_M2_R4[[#This Row],[Qty]]</f>
        <v>8.6608695652173901E-3</v>
      </c>
    </row>
    <row r="19" spans="1:8" x14ac:dyDescent="0.25">
      <c r="A19" s="4" t="s">
        <v>41</v>
      </c>
      <c r="B19" t="s">
        <v>42</v>
      </c>
      <c r="C19" t="s">
        <v>18</v>
      </c>
      <c r="D19">
        <v>1</v>
      </c>
      <c r="E19" t="s">
        <v>20</v>
      </c>
      <c r="F19" t="s">
        <v>43</v>
      </c>
      <c r="G19" s="21">
        <f>0.0508/20</f>
        <v>2.5399999999999997E-3</v>
      </c>
      <c r="H19" s="22">
        <f>BOM___AnthC_M2_R4[[#This Row],[Unit Price]]*BOM___AnthC_M2_R4[[#This Row],[Qty]]</f>
        <v>2.5399999999999997E-3</v>
      </c>
    </row>
    <row r="20" spans="1:8" x14ac:dyDescent="0.25">
      <c r="A20" s="4" t="s">
        <v>44</v>
      </c>
      <c r="B20" t="s">
        <v>45</v>
      </c>
      <c r="C20" t="s">
        <v>29</v>
      </c>
      <c r="D20">
        <v>2</v>
      </c>
      <c r="E20" t="s">
        <v>47</v>
      </c>
      <c r="F20" t="s">
        <v>46</v>
      </c>
      <c r="G20" s="21">
        <f>0.2768/30</f>
        <v>9.226666666666666E-3</v>
      </c>
      <c r="H20" s="22">
        <f>BOM___AnthC_M2_R4[[#This Row],[Unit Price]]*BOM___AnthC_M2_R4[[#This Row],[Qty]]</f>
        <v>1.8453333333333332E-2</v>
      </c>
    </row>
    <row r="21" spans="1:8" x14ac:dyDescent="0.25">
      <c r="A21" s="4" t="s">
        <v>48</v>
      </c>
      <c r="B21" t="s">
        <v>49</v>
      </c>
      <c r="C21" t="s">
        <v>50</v>
      </c>
      <c r="D21">
        <v>8</v>
      </c>
      <c r="E21" t="s">
        <v>52</v>
      </c>
      <c r="F21" t="s">
        <v>51</v>
      </c>
      <c r="G21" s="21">
        <f>2.4027/88</f>
        <v>2.730340909090909E-2</v>
      </c>
      <c r="H21" s="22">
        <f>BOM___AnthC_M2_R4[[#This Row],[Unit Price]]*BOM___AnthC_M2_R4[[#This Row],[Qty]]</f>
        <v>0.21842727272727272</v>
      </c>
    </row>
    <row r="22" spans="1:8" x14ac:dyDescent="0.25">
      <c r="A22" s="4" t="s">
        <v>53</v>
      </c>
      <c r="B22" t="s">
        <v>54</v>
      </c>
      <c r="C22" t="s">
        <v>55</v>
      </c>
      <c r="D22">
        <v>12</v>
      </c>
      <c r="E22" t="s">
        <v>57</v>
      </c>
      <c r="F22" t="s">
        <v>56</v>
      </c>
      <c r="G22" s="21">
        <f>4.2963/124</f>
        <v>3.464758064516129E-2</v>
      </c>
      <c r="H22" s="22">
        <f>BOM___AnthC_M2_R4[[#This Row],[Unit Price]]*BOM___AnthC_M2_R4[[#This Row],[Qty]]</f>
        <v>0.41577096774193545</v>
      </c>
    </row>
    <row r="23" spans="1:8" x14ac:dyDescent="0.25">
      <c r="A23" s="4" t="s">
        <v>58</v>
      </c>
      <c r="B23" t="s">
        <v>59</v>
      </c>
      <c r="C23" t="s">
        <v>60</v>
      </c>
      <c r="D23">
        <v>2</v>
      </c>
      <c r="E23" t="s">
        <v>61</v>
      </c>
      <c r="F23" t="s">
        <v>59</v>
      </c>
      <c r="G23" s="21">
        <f>0.5062/28</f>
        <v>1.8078571428571426E-2</v>
      </c>
      <c r="H23" s="22">
        <f>BOM___AnthC_M2_R4[[#This Row],[Unit Price]]*BOM___AnthC_M2_R4[[#This Row],[Qty]]</f>
        <v>3.6157142857142853E-2</v>
      </c>
    </row>
    <row r="24" spans="1:8" x14ac:dyDescent="0.25">
      <c r="A24" s="4" t="s">
        <v>62</v>
      </c>
      <c r="B24" t="s">
        <v>63</v>
      </c>
      <c r="C24" t="s">
        <v>64</v>
      </c>
      <c r="D24">
        <v>2</v>
      </c>
      <c r="E24" t="s">
        <v>65</v>
      </c>
      <c r="F24" t="s">
        <v>63</v>
      </c>
      <c r="G24" s="21">
        <v>8.7400000000000005E-2</v>
      </c>
      <c r="H24" s="22">
        <f>BOM___AnthC_M2_R4[[#This Row],[Unit Price]]*BOM___AnthC_M2_R4[[#This Row],[Qty]]</f>
        <v>0.17480000000000001</v>
      </c>
    </row>
    <row r="25" spans="1:8" x14ac:dyDescent="0.25">
      <c r="A25" s="4" t="s">
        <v>66</v>
      </c>
      <c r="B25" t="s">
        <v>67</v>
      </c>
      <c r="C25" t="s">
        <v>68</v>
      </c>
      <c r="D25">
        <v>4</v>
      </c>
      <c r="E25" t="s">
        <v>57</v>
      </c>
      <c r="F25" t="s">
        <v>69</v>
      </c>
      <c r="G25" s="21">
        <f>0.4745/45</f>
        <v>1.0544444444444443E-2</v>
      </c>
      <c r="H25" s="22">
        <f>BOM___AnthC_M2_R4[[#This Row],[Unit Price]]*BOM___AnthC_M2_R4[[#This Row],[Qty]]</f>
        <v>4.2177777777777772E-2</v>
      </c>
    </row>
    <row r="26" spans="1:8" x14ac:dyDescent="0.25">
      <c r="A26" s="4" t="s">
        <v>70</v>
      </c>
      <c r="B26" t="s">
        <v>71</v>
      </c>
      <c r="C26" t="s">
        <v>72</v>
      </c>
      <c r="D26">
        <v>1</v>
      </c>
      <c r="E26" t="s">
        <v>73</v>
      </c>
      <c r="F26" t="s">
        <v>71</v>
      </c>
      <c r="G26" s="21">
        <v>0.55900000000000005</v>
      </c>
      <c r="H26" s="22">
        <f>BOM___AnthC_M2_R4[[#This Row],[Unit Price]]*BOM___AnthC_M2_R4[[#This Row],[Qty]]</f>
        <v>0.55900000000000005</v>
      </c>
    </row>
    <row r="27" spans="1:8" x14ac:dyDescent="0.25">
      <c r="A27" s="4" t="s">
        <v>74</v>
      </c>
      <c r="B27" t="s">
        <v>75</v>
      </c>
      <c r="C27" t="s">
        <v>76</v>
      </c>
      <c r="D27">
        <v>1</v>
      </c>
      <c r="E27" t="s">
        <v>65</v>
      </c>
      <c r="F27" t="s">
        <v>75</v>
      </c>
      <c r="G27" s="21">
        <f>0.6432/14</f>
        <v>4.5942857142857139E-2</v>
      </c>
      <c r="H27" s="22">
        <f>BOM___AnthC_M2_R4[[#This Row],[Unit Price]]*BOM___AnthC_M2_R4[[#This Row],[Qty]]</f>
        <v>4.5942857142857139E-2</v>
      </c>
    </row>
    <row r="28" spans="1:8" x14ac:dyDescent="0.25">
      <c r="A28" s="4" t="s">
        <v>77</v>
      </c>
      <c r="B28" t="s">
        <v>78</v>
      </c>
      <c r="C28" t="s">
        <v>55</v>
      </c>
      <c r="D28">
        <v>3</v>
      </c>
      <c r="E28" t="s">
        <v>80</v>
      </c>
      <c r="F28" t="s">
        <v>79</v>
      </c>
      <c r="G28" s="21">
        <f>2.1319/34</f>
        <v>6.2702941176470586E-2</v>
      </c>
      <c r="H28" s="22">
        <f>BOM___AnthC_M2_R4[[#This Row],[Unit Price]]*BOM___AnthC_M2_R4[[#This Row],[Qty]]</f>
        <v>0.18810882352941177</v>
      </c>
    </row>
    <row r="29" spans="1:8" x14ac:dyDescent="0.25">
      <c r="A29" s="4" t="s">
        <v>81</v>
      </c>
      <c r="B29" t="s">
        <v>82</v>
      </c>
      <c r="C29" t="s">
        <v>83</v>
      </c>
      <c r="D29">
        <v>1</v>
      </c>
      <c r="E29" t="s">
        <v>84</v>
      </c>
      <c r="F29" t="s">
        <v>82</v>
      </c>
      <c r="G29" s="21">
        <f>5.6066/10</f>
        <v>0.56066000000000005</v>
      </c>
      <c r="H29" s="22">
        <f>BOM___AnthC_M2_R4[[#This Row],[Unit Price]]*BOM___AnthC_M2_R4[[#This Row],[Qty]]</f>
        <v>0.56066000000000005</v>
      </c>
    </row>
    <row r="30" spans="1:8" x14ac:dyDescent="0.25">
      <c r="A30" s="4" t="s">
        <v>85</v>
      </c>
      <c r="B30" t="s">
        <v>86</v>
      </c>
      <c r="C30" t="s">
        <v>87</v>
      </c>
      <c r="D30">
        <v>1</v>
      </c>
      <c r="E30" t="s">
        <v>88</v>
      </c>
      <c r="F30" t="s">
        <v>86</v>
      </c>
      <c r="G30" s="21">
        <v>0.8196</v>
      </c>
      <c r="H30" s="22">
        <f>BOM___AnthC_M2_R4[[#This Row],[Unit Price]]*BOM___AnthC_M2_R4[[#This Row],[Qty]]</f>
        <v>0.8196</v>
      </c>
    </row>
    <row r="31" spans="1:8" x14ac:dyDescent="0.25">
      <c r="A31" s="4" t="s">
        <v>89</v>
      </c>
      <c r="B31" t="s">
        <v>90</v>
      </c>
      <c r="C31" t="s">
        <v>91</v>
      </c>
      <c r="D31">
        <v>1</v>
      </c>
      <c r="E31" t="s">
        <v>10</v>
      </c>
      <c r="F31" t="s">
        <v>92</v>
      </c>
      <c r="G31" s="21">
        <f>2.3971/10</f>
        <v>0.23971000000000001</v>
      </c>
      <c r="H31" s="22">
        <f>BOM___AnthC_M2_R4[[#This Row],[Unit Price]]*BOM___AnthC_M2_R4[[#This Row],[Qty]]</f>
        <v>0.23971000000000001</v>
      </c>
    </row>
    <row r="32" spans="1:8" x14ac:dyDescent="0.25">
      <c r="A32" s="4" t="s">
        <v>93</v>
      </c>
      <c r="B32" t="s">
        <v>94</v>
      </c>
      <c r="C32" t="s">
        <v>95</v>
      </c>
      <c r="D32">
        <v>1</v>
      </c>
      <c r="E32" t="s">
        <v>97</v>
      </c>
      <c r="F32" t="s">
        <v>96</v>
      </c>
      <c r="G32" s="21">
        <f>3.0222/10</f>
        <v>0.30222000000000004</v>
      </c>
      <c r="H32" s="22">
        <f>BOM___AnthC_M2_R4[[#This Row],[Unit Price]]*BOM___AnthC_M2_R4[[#This Row],[Qty]]</f>
        <v>0.30222000000000004</v>
      </c>
    </row>
    <row r="33" spans="1:8" x14ac:dyDescent="0.25">
      <c r="A33" s="4" t="s">
        <v>98</v>
      </c>
      <c r="B33" t="s">
        <v>99</v>
      </c>
      <c r="C33" t="s">
        <v>100</v>
      </c>
      <c r="D33">
        <v>1</v>
      </c>
      <c r="E33" t="s">
        <v>10</v>
      </c>
      <c r="F33" t="s">
        <v>101</v>
      </c>
      <c r="G33" s="21">
        <f>1.4895/10</f>
        <v>0.14895</v>
      </c>
      <c r="H33" s="22">
        <f>BOM___AnthC_M2_R4[[#This Row],[Unit Price]]*BOM___AnthC_M2_R4[[#This Row],[Qty]]</f>
        <v>0.14895</v>
      </c>
    </row>
    <row r="34" spans="1:8" x14ac:dyDescent="0.25">
      <c r="A34" s="4" t="s">
        <v>102</v>
      </c>
      <c r="B34" t="s">
        <v>103</v>
      </c>
      <c r="C34" t="s">
        <v>104</v>
      </c>
      <c r="D34">
        <v>1</v>
      </c>
      <c r="E34" t="s">
        <v>10</v>
      </c>
      <c r="F34" t="s">
        <v>105</v>
      </c>
      <c r="G34" s="21">
        <f>1.1547/10</f>
        <v>0.11547</v>
      </c>
      <c r="H34" s="22">
        <f>BOM___AnthC_M2_R4[[#This Row],[Unit Price]]*BOM___AnthC_M2_R4[[#This Row],[Qty]]</f>
        <v>0.11547</v>
      </c>
    </row>
    <row r="35" spans="1:8" x14ac:dyDescent="0.25">
      <c r="A35" s="4" t="s">
        <v>106</v>
      </c>
      <c r="B35" t="s">
        <v>107</v>
      </c>
      <c r="C35" t="s">
        <v>108</v>
      </c>
      <c r="D35">
        <v>1</v>
      </c>
      <c r="E35" t="s">
        <v>10</v>
      </c>
      <c r="F35" t="s">
        <v>109</v>
      </c>
      <c r="G35" s="21">
        <v>5.82</v>
      </c>
      <c r="H35" s="22">
        <f>BOM___AnthC_M2_R4[[#This Row],[Unit Price]]*BOM___AnthC_M2_R4[[#This Row],[Qty]]</f>
        <v>5.82</v>
      </c>
    </row>
    <row r="36" spans="1:8" x14ac:dyDescent="0.25">
      <c r="A36" s="4" t="s">
        <v>110</v>
      </c>
      <c r="B36" t="s">
        <v>111</v>
      </c>
      <c r="C36" t="s">
        <v>112</v>
      </c>
      <c r="D36">
        <v>1</v>
      </c>
      <c r="E36" t="s">
        <v>10</v>
      </c>
      <c r="F36" t="s">
        <v>113</v>
      </c>
      <c r="G36" s="21">
        <f>0.7988/14</f>
        <v>5.7057142857142855E-2</v>
      </c>
      <c r="H36" s="22">
        <f>BOM___AnthC_M2_R4[[#This Row],[Unit Price]]*BOM___AnthC_M2_R4[[#This Row],[Qty]]</f>
        <v>5.7057142857142855E-2</v>
      </c>
    </row>
    <row r="37" spans="1:8" x14ac:dyDescent="0.25">
      <c r="A37" s="4" t="s">
        <v>114</v>
      </c>
      <c r="B37" t="s">
        <v>115</v>
      </c>
      <c r="C37" t="s">
        <v>116</v>
      </c>
      <c r="D37">
        <v>4</v>
      </c>
      <c r="E37" t="s">
        <v>117</v>
      </c>
      <c r="F37" t="s">
        <v>115</v>
      </c>
      <c r="G37" s="21">
        <f>1.6488/44</f>
        <v>3.7472727272727276E-2</v>
      </c>
      <c r="H37" s="22">
        <f>BOM___AnthC_M2_R4[[#This Row],[Unit Price]]*BOM___AnthC_M2_R4[[#This Row],[Qty]]</f>
        <v>0.1498909090909091</v>
      </c>
    </row>
    <row r="38" spans="1:8" x14ac:dyDescent="0.25">
      <c r="A38" s="4" t="s">
        <v>118</v>
      </c>
      <c r="B38" t="s">
        <v>119</v>
      </c>
      <c r="C38" t="s">
        <v>120</v>
      </c>
      <c r="D38">
        <v>2</v>
      </c>
      <c r="E38" t="s">
        <v>121</v>
      </c>
      <c r="F38" t="s">
        <v>119</v>
      </c>
      <c r="G38" s="21">
        <f>0.6073/25</f>
        <v>2.4291999999999998E-2</v>
      </c>
      <c r="H38" s="22">
        <f>BOM___AnthC_M2_R4[[#This Row],[Unit Price]]*BOM___AnthC_M2_R4[[#This Row],[Qty]]</f>
        <v>4.8583999999999995E-2</v>
      </c>
    </row>
    <row r="39" spans="1:8" x14ac:dyDescent="0.25">
      <c r="A39" s="4" t="s">
        <v>122</v>
      </c>
      <c r="B39" t="s">
        <v>123</v>
      </c>
      <c r="C39" t="s">
        <v>120</v>
      </c>
      <c r="D39">
        <v>2</v>
      </c>
      <c r="E39" t="s">
        <v>124</v>
      </c>
      <c r="F39" t="s">
        <v>123</v>
      </c>
      <c r="G39" s="21">
        <f>3.2595/20</f>
        <v>0.16297500000000001</v>
      </c>
      <c r="H39" s="22">
        <f>BOM___AnthC_M2_R4[[#This Row],[Unit Price]]*BOM___AnthC_M2_R4[[#This Row],[Qty]]</f>
        <v>0.32595000000000002</v>
      </c>
    </row>
    <row r="40" spans="1:8" x14ac:dyDescent="0.25">
      <c r="A40" s="4" t="s">
        <v>125</v>
      </c>
      <c r="B40" t="s">
        <v>126</v>
      </c>
      <c r="C40" t="s">
        <v>120</v>
      </c>
      <c r="D40">
        <v>1</v>
      </c>
      <c r="E40" t="s">
        <v>73</v>
      </c>
      <c r="F40" t="s">
        <v>126</v>
      </c>
      <c r="G40" s="21">
        <f>0.4392/15</f>
        <v>2.9279999999999997E-2</v>
      </c>
      <c r="H40" s="22">
        <f>BOM___AnthC_M2_R4[[#This Row],[Unit Price]]*BOM___AnthC_M2_R4[[#This Row],[Qty]]</f>
        <v>2.9279999999999997E-2</v>
      </c>
    </row>
    <row r="41" spans="1:8" x14ac:dyDescent="0.25">
      <c r="A41" s="4" t="s">
        <v>127</v>
      </c>
      <c r="B41" t="s">
        <v>128</v>
      </c>
      <c r="C41" t="s">
        <v>129</v>
      </c>
      <c r="D41">
        <v>3</v>
      </c>
      <c r="E41" t="s">
        <v>131</v>
      </c>
      <c r="F41" t="s">
        <v>130</v>
      </c>
      <c r="G41" s="21">
        <f>0.0377/40</f>
        <v>9.4249999999999998E-4</v>
      </c>
      <c r="H41" s="22">
        <f>BOM___AnthC_M2_R4[[#This Row],[Unit Price]]*BOM___AnthC_M2_R4[[#This Row],[Qty]]</f>
        <v>2.8275000000000002E-3</v>
      </c>
    </row>
    <row r="42" spans="1:8" x14ac:dyDescent="0.25">
      <c r="A42" s="4" t="s">
        <v>132</v>
      </c>
      <c r="B42" t="s">
        <v>133</v>
      </c>
      <c r="C42" t="s">
        <v>129</v>
      </c>
      <c r="D42">
        <v>1</v>
      </c>
      <c r="E42" t="s">
        <v>135</v>
      </c>
      <c r="F42" t="s">
        <v>134</v>
      </c>
      <c r="G42" s="21">
        <f>0.0188/20</f>
        <v>9.4000000000000008E-4</v>
      </c>
      <c r="H42" s="22">
        <f>BOM___AnthC_M2_R4[[#This Row],[Unit Price]]*BOM___AnthC_M2_R4[[#This Row],[Qty]]</f>
        <v>9.4000000000000008E-4</v>
      </c>
    </row>
    <row r="43" spans="1:8" x14ac:dyDescent="0.25">
      <c r="A43" s="4" t="s">
        <v>136</v>
      </c>
      <c r="B43" t="s">
        <v>137</v>
      </c>
      <c r="C43" t="s">
        <v>129</v>
      </c>
      <c r="D43">
        <v>11</v>
      </c>
      <c r="E43" t="s">
        <v>131</v>
      </c>
      <c r="F43" t="s">
        <v>138</v>
      </c>
      <c r="G43" s="21">
        <f>0.113/100</f>
        <v>1.1299999999999999E-3</v>
      </c>
      <c r="H43" s="22">
        <f>BOM___AnthC_M2_R4[[#This Row],[Unit Price]]*BOM___AnthC_M2_R4[[#This Row],[Qty]]</f>
        <v>1.243E-2</v>
      </c>
    </row>
    <row r="44" spans="1:8" x14ac:dyDescent="0.25">
      <c r="A44" s="4" t="s">
        <v>139</v>
      </c>
      <c r="B44" t="s">
        <v>140</v>
      </c>
      <c r="C44" t="s">
        <v>129</v>
      </c>
      <c r="D44">
        <v>1</v>
      </c>
      <c r="E44" t="s">
        <v>80</v>
      </c>
      <c r="F44" t="s">
        <v>141</v>
      </c>
      <c r="G44" s="21">
        <f>0.0207/20</f>
        <v>1.0349999999999999E-3</v>
      </c>
      <c r="H44" s="22">
        <f>BOM___AnthC_M2_R4[[#This Row],[Unit Price]]*BOM___AnthC_M2_R4[[#This Row],[Qty]]</f>
        <v>1.0349999999999999E-3</v>
      </c>
    </row>
    <row r="45" spans="1:8" x14ac:dyDescent="0.25">
      <c r="A45" s="4" t="s">
        <v>142</v>
      </c>
      <c r="B45" t="s">
        <v>143</v>
      </c>
      <c r="C45" t="s">
        <v>129</v>
      </c>
      <c r="D45">
        <v>18</v>
      </c>
      <c r="E45" t="s">
        <v>131</v>
      </c>
      <c r="F45" t="s">
        <v>144</v>
      </c>
      <c r="G45" s="21">
        <f>0.1864/220</f>
        <v>8.4727272727272733E-4</v>
      </c>
      <c r="H45" s="22">
        <f>BOM___AnthC_M2_R4[[#This Row],[Unit Price]]*BOM___AnthC_M2_R4[[#This Row],[Qty]]</f>
        <v>1.5250909090909093E-2</v>
      </c>
    </row>
    <row r="46" spans="1:8" x14ac:dyDescent="0.25">
      <c r="A46" s="4" t="s">
        <v>145</v>
      </c>
      <c r="B46" t="s">
        <v>146</v>
      </c>
      <c r="C46" t="s">
        <v>129</v>
      </c>
      <c r="D46">
        <v>1</v>
      </c>
      <c r="E46" t="s">
        <v>131</v>
      </c>
      <c r="F46" t="s">
        <v>147</v>
      </c>
      <c r="G46" s="21">
        <f>0.0188/20</f>
        <v>9.4000000000000008E-4</v>
      </c>
      <c r="H46" s="22">
        <f>BOM___AnthC_M2_R4[[#This Row],[Unit Price]]*BOM___AnthC_M2_R4[[#This Row],[Qty]]</f>
        <v>9.4000000000000008E-4</v>
      </c>
    </row>
    <row r="47" spans="1:8" x14ac:dyDescent="0.25">
      <c r="A47" s="4" t="s">
        <v>148</v>
      </c>
      <c r="B47" t="s">
        <v>149</v>
      </c>
      <c r="C47" t="s">
        <v>129</v>
      </c>
      <c r="D47">
        <v>3</v>
      </c>
      <c r="E47" t="s">
        <v>131</v>
      </c>
      <c r="F47" t="s">
        <v>150</v>
      </c>
      <c r="G47" s="21">
        <f>0.0377/40</f>
        <v>9.4249999999999998E-4</v>
      </c>
      <c r="H47" s="22">
        <f>BOM___AnthC_M2_R4[[#This Row],[Unit Price]]*BOM___AnthC_M2_R4[[#This Row],[Qty]]</f>
        <v>2.8275000000000002E-3</v>
      </c>
    </row>
    <row r="48" spans="1:8" x14ac:dyDescent="0.25">
      <c r="A48" s="4" t="s">
        <v>151</v>
      </c>
      <c r="B48" t="s">
        <v>152</v>
      </c>
      <c r="C48" t="s">
        <v>129</v>
      </c>
      <c r="D48">
        <v>3</v>
      </c>
      <c r="E48" t="s">
        <v>131</v>
      </c>
      <c r="F48" t="s">
        <v>144</v>
      </c>
      <c r="G48" s="21">
        <f>0.1864/220</f>
        <v>8.4727272727272733E-4</v>
      </c>
      <c r="H48" s="22">
        <f>BOM___AnthC_M2_R4[[#This Row],[Unit Price]]*BOM___AnthC_M2_R4[[#This Row],[Qty]]</f>
        <v>2.541818181818182E-3</v>
      </c>
    </row>
    <row r="49" spans="1:8" x14ac:dyDescent="0.25">
      <c r="A49" s="4" t="s">
        <v>153</v>
      </c>
      <c r="B49" t="s">
        <v>154</v>
      </c>
      <c r="C49" t="s">
        <v>129</v>
      </c>
      <c r="D49">
        <v>4</v>
      </c>
      <c r="E49" t="s">
        <v>156</v>
      </c>
      <c r="F49" t="s">
        <v>155</v>
      </c>
      <c r="G49" s="21">
        <f>0.0471/50</f>
        <v>9.4200000000000002E-4</v>
      </c>
      <c r="H49" s="22">
        <f>BOM___AnthC_M2_R4[[#This Row],[Unit Price]]*BOM___AnthC_M2_R4[[#This Row],[Qty]]</f>
        <v>3.7680000000000001E-3</v>
      </c>
    </row>
    <row r="50" spans="1:8" x14ac:dyDescent="0.25">
      <c r="A50" s="4" t="s">
        <v>157</v>
      </c>
      <c r="B50" t="s">
        <v>158</v>
      </c>
      <c r="C50" t="s">
        <v>129</v>
      </c>
      <c r="D50">
        <v>32</v>
      </c>
      <c r="E50" t="s">
        <v>131</v>
      </c>
      <c r="F50" t="s">
        <v>159</v>
      </c>
      <c r="G50" s="21">
        <f>0.3107/330</f>
        <v>9.4151515151515142E-4</v>
      </c>
      <c r="H50" s="22">
        <f>BOM___AnthC_M2_R4[[#This Row],[Unit Price]]*BOM___AnthC_M2_R4[[#This Row],[Qty]]</f>
        <v>3.0128484848484845E-2</v>
      </c>
    </row>
    <row r="51" spans="1:8" x14ac:dyDescent="0.25">
      <c r="A51" s="4" t="s">
        <v>160</v>
      </c>
      <c r="B51" t="s">
        <v>161</v>
      </c>
      <c r="C51" t="s">
        <v>129</v>
      </c>
      <c r="D51">
        <v>1</v>
      </c>
      <c r="E51" t="s">
        <v>156</v>
      </c>
      <c r="F51" t="s">
        <v>162</v>
      </c>
      <c r="G51" s="21">
        <f>0.0226/20</f>
        <v>1.1299999999999999E-3</v>
      </c>
      <c r="H51" s="22">
        <f>BOM___AnthC_M2_R4[[#This Row],[Unit Price]]*BOM___AnthC_M2_R4[[#This Row],[Qty]]</f>
        <v>1.1299999999999999E-3</v>
      </c>
    </row>
    <row r="52" spans="1:8" x14ac:dyDescent="0.25">
      <c r="A52" s="4" t="s">
        <v>163</v>
      </c>
      <c r="B52" t="s">
        <v>164</v>
      </c>
      <c r="C52" t="s">
        <v>129</v>
      </c>
      <c r="D52">
        <v>1</v>
      </c>
      <c r="E52" t="s">
        <v>135</v>
      </c>
      <c r="F52" t="s">
        <v>165</v>
      </c>
      <c r="G52" s="21">
        <f>0.0188/20</f>
        <v>9.4000000000000008E-4</v>
      </c>
      <c r="H52" s="22">
        <f>BOM___AnthC_M2_R4[[#This Row],[Unit Price]]*BOM___AnthC_M2_R4[[#This Row],[Qty]]</f>
        <v>9.4000000000000008E-4</v>
      </c>
    </row>
    <row r="53" spans="1:8" x14ac:dyDescent="0.25">
      <c r="A53" s="4" t="s">
        <v>166</v>
      </c>
      <c r="B53" t="s">
        <v>167</v>
      </c>
      <c r="C53" t="s">
        <v>129</v>
      </c>
      <c r="D53">
        <v>1</v>
      </c>
      <c r="E53" t="s">
        <v>131</v>
      </c>
      <c r="F53" t="s">
        <v>168</v>
      </c>
      <c r="G53" s="21">
        <f>0.0188/20</f>
        <v>9.4000000000000008E-4</v>
      </c>
      <c r="H53" s="22">
        <f>BOM___AnthC_M2_R4[[#This Row],[Unit Price]]*BOM___AnthC_M2_R4[[#This Row],[Qty]]</f>
        <v>9.4000000000000008E-4</v>
      </c>
    </row>
    <row r="54" spans="1:8" x14ac:dyDescent="0.25">
      <c r="A54" s="4" t="s">
        <v>169</v>
      </c>
      <c r="B54" t="s">
        <v>170</v>
      </c>
      <c r="C54" t="s">
        <v>129</v>
      </c>
      <c r="D54">
        <v>9</v>
      </c>
      <c r="E54" t="s">
        <v>80</v>
      </c>
      <c r="F54" t="s">
        <v>171</v>
      </c>
      <c r="G54" s="21">
        <f>0.0942/100</f>
        <v>9.4200000000000002E-4</v>
      </c>
      <c r="H54" s="22">
        <f>BOM___AnthC_M2_R4[[#This Row],[Unit Price]]*BOM___AnthC_M2_R4[[#This Row],[Qty]]</f>
        <v>8.4779999999999994E-3</v>
      </c>
    </row>
    <row r="55" spans="1:8" x14ac:dyDescent="0.25">
      <c r="A55" s="4" t="s">
        <v>172</v>
      </c>
      <c r="B55" t="s">
        <v>173</v>
      </c>
      <c r="C55" t="s">
        <v>129</v>
      </c>
      <c r="D55">
        <v>1</v>
      </c>
      <c r="E55" t="s">
        <v>175</v>
      </c>
      <c r="F55" t="s">
        <v>174</v>
      </c>
      <c r="G55" s="21">
        <f>0.0188/20</f>
        <v>9.4000000000000008E-4</v>
      </c>
      <c r="H55" s="22">
        <f>BOM___AnthC_M2_R4[[#This Row],[Unit Price]]*BOM___AnthC_M2_R4[[#This Row],[Qty]]</f>
        <v>9.4000000000000008E-4</v>
      </c>
    </row>
    <row r="56" spans="1:8" x14ac:dyDescent="0.25">
      <c r="A56" s="4" t="s">
        <v>176</v>
      </c>
      <c r="B56" t="s">
        <v>177</v>
      </c>
      <c r="C56" t="s">
        <v>129</v>
      </c>
      <c r="D56">
        <v>1</v>
      </c>
      <c r="E56" t="s">
        <v>135</v>
      </c>
      <c r="F56" t="s">
        <v>178</v>
      </c>
      <c r="G56" s="21">
        <f>0.0188/20</f>
        <v>9.4000000000000008E-4</v>
      </c>
      <c r="H56" s="22">
        <f>BOM___AnthC_M2_R4[[#This Row],[Unit Price]]*BOM___AnthC_M2_R4[[#This Row],[Qty]]</f>
        <v>9.4000000000000008E-4</v>
      </c>
    </row>
    <row r="57" spans="1:8" x14ac:dyDescent="0.25">
      <c r="A57" s="4" t="s">
        <v>179</v>
      </c>
      <c r="B57" t="s">
        <v>180</v>
      </c>
      <c r="C57" t="s">
        <v>129</v>
      </c>
      <c r="D57">
        <v>1</v>
      </c>
      <c r="E57" t="s">
        <v>182</v>
      </c>
      <c r="F57" t="s">
        <v>181</v>
      </c>
      <c r="G57" s="21">
        <f>0.0188/20</f>
        <v>9.4000000000000008E-4</v>
      </c>
      <c r="H57" s="22">
        <f>BOM___AnthC_M2_R4[[#This Row],[Unit Price]]*BOM___AnthC_M2_R4[[#This Row],[Qty]]</f>
        <v>9.4000000000000008E-4</v>
      </c>
    </row>
    <row r="58" spans="1:8" x14ac:dyDescent="0.25">
      <c r="A58" s="4" t="s">
        <v>183</v>
      </c>
      <c r="B58" t="s">
        <v>184</v>
      </c>
      <c r="C58" t="s">
        <v>185</v>
      </c>
      <c r="D58">
        <v>1</v>
      </c>
      <c r="E58" t="s">
        <v>10</v>
      </c>
      <c r="F58" t="s">
        <v>186</v>
      </c>
      <c r="G58" s="21">
        <f>5.536/10</f>
        <v>0.55359999999999998</v>
      </c>
      <c r="H58" s="22">
        <f>BOM___AnthC_M2_R4[[#This Row],[Unit Price]]*BOM___AnthC_M2_R4[[#This Row],[Qty]]</f>
        <v>0.55359999999999998</v>
      </c>
    </row>
    <row r="59" spans="1:8" x14ac:dyDescent="0.25">
      <c r="A59" s="4" t="s">
        <v>187</v>
      </c>
      <c r="B59" t="s">
        <v>188</v>
      </c>
      <c r="C59" t="s">
        <v>129</v>
      </c>
      <c r="D59">
        <v>1</v>
      </c>
      <c r="E59" t="s">
        <v>84</v>
      </c>
      <c r="F59" t="s">
        <v>189</v>
      </c>
      <c r="G59" s="21">
        <f>0.696/14</f>
        <v>4.9714285714285711E-2</v>
      </c>
      <c r="H59" s="22">
        <f>BOM___AnthC_M2_R4[[#This Row],[Unit Price]]*BOM___AnthC_M2_R4[[#This Row],[Qty]]</f>
        <v>4.9714285714285711E-2</v>
      </c>
    </row>
    <row r="60" spans="1:8" x14ac:dyDescent="0.25">
      <c r="A60" s="4" t="s">
        <v>190</v>
      </c>
      <c r="B60" t="s">
        <v>191</v>
      </c>
      <c r="C60" t="s">
        <v>192</v>
      </c>
      <c r="D60">
        <v>1</v>
      </c>
      <c r="E60" t="s">
        <v>193</v>
      </c>
      <c r="F60" t="s">
        <v>191</v>
      </c>
      <c r="G60" s="21">
        <f>2.1852/10</f>
        <v>0.21851999999999999</v>
      </c>
      <c r="H60" s="22">
        <f>BOM___AnthC_M2_R4[[#This Row],[Unit Price]]*BOM___AnthC_M2_R4[[#This Row],[Qty]]</f>
        <v>0.21851999999999999</v>
      </c>
    </row>
    <row r="61" spans="1:8" x14ac:dyDescent="0.25">
      <c r="A61" s="4" t="s">
        <v>194</v>
      </c>
      <c r="B61" t="s">
        <v>195</v>
      </c>
      <c r="C61" t="s">
        <v>196</v>
      </c>
      <c r="D61">
        <v>1</v>
      </c>
      <c r="E61" t="s">
        <v>198</v>
      </c>
      <c r="F61" t="s">
        <v>197</v>
      </c>
      <c r="G61" s="21">
        <v>1.746</v>
      </c>
      <c r="H61" s="22">
        <f>BOM___AnthC_M2_R4[[#This Row],[Unit Price]]*BOM___AnthC_M2_R4[[#This Row],[Qty]]</f>
        <v>1.746</v>
      </c>
    </row>
    <row r="62" spans="1:8" x14ac:dyDescent="0.25">
      <c r="A62" s="4" t="s">
        <v>199</v>
      </c>
      <c r="B62" t="s">
        <v>200</v>
      </c>
      <c r="C62" t="s">
        <v>201</v>
      </c>
      <c r="D62">
        <v>1</v>
      </c>
      <c r="E62" t="s">
        <v>202</v>
      </c>
      <c r="F62" t="s">
        <v>200</v>
      </c>
      <c r="G62" s="21">
        <v>1.353</v>
      </c>
      <c r="H62" s="22">
        <f>BOM___AnthC_M2_R4[[#This Row],[Unit Price]]*BOM___AnthC_M2_R4[[#This Row],[Qty]]</f>
        <v>1.353</v>
      </c>
    </row>
    <row r="63" spans="1:8" x14ac:dyDescent="0.25">
      <c r="A63" s="4" t="s">
        <v>203</v>
      </c>
      <c r="B63" t="s">
        <v>204</v>
      </c>
      <c r="C63" t="s">
        <v>205</v>
      </c>
      <c r="D63">
        <v>1</v>
      </c>
      <c r="E63" t="s">
        <v>206</v>
      </c>
      <c r="F63" t="s">
        <v>204</v>
      </c>
      <c r="G63" s="21">
        <f>2.1852/10</f>
        <v>0.21851999999999999</v>
      </c>
      <c r="H63" s="22">
        <f>BOM___AnthC_M2_R4[[#This Row],[Unit Price]]*BOM___AnthC_M2_R4[[#This Row],[Qty]]</f>
        <v>0.21851999999999999</v>
      </c>
    </row>
    <row r="64" spans="1:8" x14ac:dyDescent="0.25">
      <c r="A64" s="4" t="s">
        <v>207</v>
      </c>
      <c r="B64" t="s">
        <v>208</v>
      </c>
      <c r="C64" t="s">
        <v>209</v>
      </c>
      <c r="D64">
        <v>1</v>
      </c>
      <c r="E64" t="s">
        <v>210</v>
      </c>
      <c r="F64" t="s">
        <v>208</v>
      </c>
      <c r="G64" s="21">
        <f>17.0741/10</f>
        <v>1.7074100000000001</v>
      </c>
      <c r="H64" s="22">
        <f>BOM___AnthC_M2_R4[[#This Row],[Unit Price]]*BOM___AnthC_M2_R4[[#This Row],[Qty]]</f>
        <v>1.7074100000000001</v>
      </c>
    </row>
    <row r="65" spans="1:8" x14ac:dyDescent="0.25">
      <c r="A65" s="4" t="s">
        <v>211</v>
      </c>
      <c r="B65" t="s">
        <v>212</v>
      </c>
      <c r="C65" t="s">
        <v>213</v>
      </c>
      <c r="D65">
        <v>1</v>
      </c>
      <c r="E65" t="s">
        <v>215</v>
      </c>
      <c r="F65" t="s">
        <v>214</v>
      </c>
      <c r="G65" s="21">
        <f>41.5202/10</f>
        <v>4.1520200000000003</v>
      </c>
      <c r="H65" s="22">
        <f>BOM___AnthC_M2_R4[[#This Row],[Unit Price]]*BOM___AnthC_M2_R4[[#This Row],[Qty]]</f>
        <v>4.1520200000000003</v>
      </c>
    </row>
    <row r="66" spans="1:8" x14ac:dyDescent="0.25">
      <c r="A66" s="4" t="s">
        <v>216</v>
      </c>
      <c r="B66" t="s">
        <v>217</v>
      </c>
      <c r="C66" t="s">
        <v>218</v>
      </c>
      <c r="D66">
        <v>1</v>
      </c>
      <c r="E66" t="s">
        <v>198</v>
      </c>
      <c r="F66" t="s">
        <v>217</v>
      </c>
      <c r="G66" s="21">
        <f>7.5838/10</f>
        <v>0.75838000000000005</v>
      </c>
      <c r="H66" s="22">
        <f>BOM___AnthC_M2_R4[[#This Row],[Unit Price]]*BOM___AnthC_M2_R4[[#This Row],[Qty]]</f>
        <v>0.75838000000000005</v>
      </c>
    </row>
    <row r="67" spans="1:8" x14ac:dyDescent="0.25">
      <c r="A67" s="4" t="s">
        <v>219</v>
      </c>
      <c r="B67" t="s">
        <v>220</v>
      </c>
      <c r="C67" t="s">
        <v>221</v>
      </c>
      <c r="D67">
        <v>1</v>
      </c>
      <c r="E67" t="s">
        <v>222</v>
      </c>
      <c r="F67" t="s">
        <v>220</v>
      </c>
      <c r="G67" s="21">
        <f>14.2496/10</f>
        <v>1.42496</v>
      </c>
      <c r="H67" s="22">
        <f>BOM___AnthC_M2_R4[[#This Row],[Unit Price]]*BOM___AnthC_M2_R4[[#This Row],[Qty]]</f>
        <v>1.42496</v>
      </c>
    </row>
    <row r="68" spans="1:8" x14ac:dyDescent="0.25">
      <c r="A68" s="4" t="s">
        <v>223</v>
      </c>
      <c r="B68" t="s">
        <v>224</v>
      </c>
      <c r="C68" t="s">
        <v>225</v>
      </c>
      <c r="D68">
        <v>1</v>
      </c>
      <c r="E68" t="s">
        <v>193</v>
      </c>
      <c r="F68" t="s">
        <v>226</v>
      </c>
      <c r="G68" s="21">
        <f>4.5757/10</f>
        <v>0.45757000000000003</v>
      </c>
      <c r="H68" s="22">
        <f>BOM___AnthC_M2_R4[[#This Row],[Unit Price]]*BOM___AnthC_M2_R4[[#This Row],[Qty]]</f>
        <v>0.45757000000000003</v>
      </c>
    </row>
    <row r="69" spans="1:8" x14ac:dyDescent="0.25">
      <c r="A69" s="4" t="s">
        <v>227</v>
      </c>
      <c r="B69" t="s">
        <v>228</v>
      </c>
      <c r="C69" t="s">
        <v>229</v>
      </c>
      <c r="D69">
        <v>1</v>
      </c>
      <c r="E69" t="s">
        <v>198</v>
      </c>
      <c r="F69" t="s">
        <v>230</v>
      </c>
      <c r="G69" s="21">
        <v>6.9850000000000003</v>
      </c>
      <c r="H69" s="22">
        <f>BOM___AnthC_M2_R4[[#This Row],[Unit Price]]*BOM___AnthC_M2_R4[[#This Row],[Qty]]</f>
        <v>6.9850000000000003</v>
      </c>
    </row>
    <row r="70" spans="1:8" x14ac:dyDescent="0.25">
      <c r="A70" s="4" t="s">
        <v>231</v>
      </c>
      <c r="B70" t="s">
        <v>232</v>
      </c>
      <c r="C70" t="s">
        <v>233</v>
      </c>
      <c r="D70">
        <v>1</v>
      </c>
      <c r="E70" t="s">
        <v>234</v>
      </c>
      <c r="F70" t="s">
        <v>232</v>
      </c>
      <c r="G70" s="21">
        <f>2.3556/10</f>
        <v>0.23555999999999999</v>
      </c>
      <c r="H70" s="22">
        <f>BOM___AnthC_M2_R4[[#This Row],[Unit Price]]*BOM___AnthC_M2_R4[[#This Row],[Qty]]</f>
        <v>0.23555999999999999</v>
      </c>
    </row>
    <row r="71" spans="1:8" x14ac:dyDescent="0.25">
      <c r="A71" s="4" t="s">
        <v>235</v>
      </c>
      <c r="B71" t="s">
        <v>236</v>
      </c>
      <c r="C71" t="s">
        <v>237</v>
      </c>
      <c r="D71">
        <v>1</v>
      </c>
      <c r="E71" t="s">
        <v>193</v>
      </c>
      <c r="F71" t="s">
        <v>238</v>
      </c>
      <c r="G71" s="21">
        <v>1.0469999999999999</v>
      </c>
      <c r="H71" s="22">
        <f>BOM___AnthC_M2_R4[[#This Row],[Unit Price]]*BOM___AnthC_M2_R4[[#This Row],[Qty]]</f>
        <v>1.0469999999999999</v>
      </c>
    </row>
    <row r="72" spans="1:8" x14ac:dyDescent="0.25">
      <c r="A72" s="4" t="s">
        <v>239</v>
      </c>
      <c r="B72" t="s">
        <v>240</v>
      </c>
      <c r="C72" t="s">
        <v>205</v>
      </c>
      <c r="D72">
        <v>1</v>
      </c>
      <c r="E72" t="s">
        <v>193</v>
      </c>
      <c r="F72" t="s">
        <v>240</v>
      </c>
      <c r="G72" s="21">
        <v>0.94599999999999995</v>
      </c>
      <c r="H72" s="22">
        <f>BOM___AnthC_M2_R4[[#This Row],[Unit Price]]*BOM___AnthC_M2_R4[[#This Row],[Qty]]</f>
        <v>0.94599999999999995</v>
      </c>
    </row>
    <row r="73" spans="1:8" ht="15.75" thickBot="1" x14ac:dyDescent="0.3">
      <c r="A73" s="6" t="s">
        <v>241</v>
      </c>
      <c r="B73" s="7" t="s">
        <v>242</v>
      </c>
      <c r="C73" s="7" t="s">
        <v>243</v>
      </c>
      <c r="D73" s="7">
        <v>1</v>
      </c>
      <c r="E73" s="7" t="s">
        <v>245</v>
      </c>
      <c r="F73" s="7" t="s">
        <v>244</v>
      </c>
      <c r="G73" s="7">
        <v>0.436</v>
      </c>
      <c r="H73" s="23">
        <f>BOM___AnthC_M2_R4[[#This Row],[Unit Price]]*BOM___AnthC_M2_R4[[#This Row],[Qty]]</f>
        <v>0.436</v>
      </c>
    </row>
    <row r="74" spans="1:8" ht="21.75" thickTop="1" x14ac:dyDescent="0.35">
      <c r="F74" s="14" t="s">
        <v>252</v>
      </c>
      <c r="H74" s="14">
        <f>SUM(H10:H73)</f>
        <v>36.242552487315642</v>
      </c>
    </row>
  </sheetData>
  <mergeCells count="4">
    <mergeCell ref="A1:B2"/>
    <mergeCell ref="C4:F4"/>
    <mergeCell ref="C5:F5"/>
    <mergeCell ref="C6:F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55ED-B436-4A2D-B38E-FAF85CBFD3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59D4D-0C2E-4916-A7C1-11596E57F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- AnthC M2-R4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De Mendizabal</dc:creator>
  <cp:lastModifiedBy>Ignacio De Mendizabal</cp:lastModifiedBy>
  <dcterms:created xsi:type="dcterms:W3CDTF">2024-03-16T14:24:37Z</dcterms:created>
  <dcterms:modified xsi:type="dcterms:W3CDTF">2024-04-16T19:24:31Z</dcterms:modified>
</cp:coreProperties>
</file>