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93DE569E-B9ED-4EAE-9316-251B01E3B4EA}" xr6:coauthVersionLast="47" xr6:coauthVersionMax="47" xr10:uidLastSave="{00000000-0000-0000-0000-000000000000}"/>
  <bookViews>
    <workbookView xWindow="-108" yWindow="-108" windowWidth="23256" windowHeight="12576" firstSheet="8" activeTab="12" xr2:uid="{00000000-000D-0000-FFFF-FFFF00000000}"/>
  </bookViews>
  <sheets>
    <sheet name="Purchase_Orders" sheetId="1" r:id="rId1"/>
    <sheet name="Spend_Summary" sheetId="5" r:id="rId2"/>
    <sheet name="Suppliers" sheetId="2" r:id="rId3"/>
    <sheet name="Bids_Quotes" sheetId="3" r:id="rId4"/>
    <sheet name="Bid_Evaluation" sheetId="7" r:id="rId5"/>
    <sheet name="Material_Cost_History" sheetId="4" r:id="rId6"/>
    <sheet name="Forecast_Steel" sheetId="12" r:id="rId7"/>
    <sheet name="Forecast_Gravel" sheetId="13" r:id="rId8"/>
    <sheet name="Forecast_Cement" sheetId="11" r:id="rId9"/>
    <sheet name="On-Time delivery by Supplier" sheetId="8" r:id="rId10"/>
    <sheet name="Avg Delay by Supplier" sheetId="9" r:id="rId11"/>
    <sheet name="Supplier_Performance KPI" sheetId="6" r:id="rId12"/>
    <sheet name="Dashboards" sheetId="10" r:id="rId13"/>
  </sheets>
  <calcPr calcId="191028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" i="5" l="1"/>
  <c r="G3" i="6"/>
  <c r="G4" i="6"/>
  <c r="G5" i="6"/>
  <c r="G6" i="6"/>
  <c r="G2" i="6"/>
  <c r="F3" i="6"/>
  <c r="F4" i="6"/>
  <c r="F5" i="6"/>
  <c r="F6" i="6"/>
  <c r="F2" i="6"/>
  <c r="D5" i="8"/>
  <c r="D6" i="8"/>
  <c r="D7" i="8"/>
  <c r="D8" i="8"/>
  <c r="D4" i="8"/>
  <c r="F2" i="7"/>
  <c r="G3" i="7"/>
  <c r="G4" i="7"/>
  <c r="G2" i="7"/>
  <c r="F3" i="7"/>
  <c r="F4" i="7"/>
  <c r="E3" i="6"/>
  <c r="E4" i="6"/>
  <c r="E5" i="6"/>
  <c r="E6" i="6"/>
  <c r="E2" i="6"/>
  <c r="D3" i="6"/>
  <c r="D4" i="6"/>
  <c r="D5" i="6"/>
  <c r="D6" i="6"/>
  <c r="D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C3" i="6"/>
  <c r="C4" i="6"/>
  <c r="C5" i="6"/>
  <c r="C6" i="6"/>
  <c r="C2" i="6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4" i="1"/>
  <c r="I5" i="1"/>
  <c r="I2" i="1"/>
  <c r="B3" i="6"/>
  <c r="B4" i="6"/>
  <c r="B5" i="6"/>
  <c r="B6" i="6"/>
  <c r="B2" i="6"/>
  <c r="F3" i="4"/>
  <c r="F4" i="4"/>
  <c r="G4" i="4" s="1"/>
  <c r="F5" i="4"/>
  <c r="G5" i="4" s="1"/>
  <c r="F6" i="4"/>
  <c r="G6" i="4" s="1"/>
  <c r="F7" i="4"/>
  <c r="G7" i="4" s="1"/>
  <c r="F8" i="4"/>
  <c r="G8" i="4" s="1"/>
  <c r="F9" i="4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2" i="4"/>
  <c r="E3" i="5"/>
  <c r="E4" i="5"/>
  <c r="E5" i="5"/>
  <c r="E6" i="5"/>
  <c r="E7" i="5"/>
  <c r="E2" i="5"/>
  <c r="B3" i="5"/>
  <c r="B4" i="5"/>
  <c r="B5" i="5"/>
  <c r="B6" i="5"/>
  <c r="B2" i="5"/>
  <c r="D11" i="11"/>
  <c r="D12" i="11"/>
  <c r="D13" i="11"/>
  <c r="D10" i="11"/>
  <c r="D9" i="11"/>
  <c r="D11" i="13"/>
  <c r="D13" i="13"/>
  <c r="D12" i="13"/>
  <c r="D10" i="13"/>
  <c r="D9" i="13"/>
  <c r="D11" i="12"/>
  <c r="D12" i="12"/>
  <c r="D13" i="12"/>
  <c r="D10" i="12"/>
  <c r="D9" i="12"/>
  <c r="G2" i="4" l="1"/>
  <c r="G37" i="4"/>
  <c r="I7" i="5"/>
  <c r="G30" i="4"/>
  <c r="I6" i="5"/>
  <c r="G23" i="4"/>
  <c r="I5" i="5"/>
  <c r="G16" i="4"/>
  <c r="I4" i="5"/>
  <c r="G9" i="4"/>
  <c r="I3" i="5"/>
  <c r="G3" i="4"/>
</calcChain>
</file>

<file path=xl/sharedStrings.xml><?xml version="1.0" encoding="utf-8"?>
<sst xmlns="http://schemas.openxmlformats.org/spreadsheetml/2006/main" count="359" uniqueCount="118">
  <si>
    <t>PO_ID</t>
  </si>
  <si>
    <t>Supplier_ID</t>
  </si>
  <si>
    <t>Material</t>
  </si>
  <si>
    <t>Quantity</t>
  </si>
  <si>
    <t>Unit_Price (€)</t>
  </si>
  <si>
    <t>Order_Date</t>
  </si>
  <si>
    <t>Expected_Delivery</t>
  </si>
  <si>
    <t>Actual_Delivery</t>
  </si>
  <si>
    <t>On_Time_Flag</t>
  </si>
  <si>
    <t>Status</t>
  </si>
  <si>
    <t>Total_Spend (€)</t>
  </si>
  <si>
    <t>Delay_Days</t>
  </si>
  <si>
    <t>PO001</t>
  </si>
  <si>
    <t>SUP01</t>
  </si>
  <si>
    <t>Cement</t>
  </si>
  <si>
    <t>Delivered</t>
  </si>
  <si>
    <t>PO002</t>
  </si>
  <si>
    <t>SUP05</t>
  </si>
  <si>
    <t>PO003</t>
  </si>
  <si>
    <t>SUP02</t>
  </si>
  <si>
    <t>Sand</t>
  </si>
  <si>
    <t>PO004</t>
  </si>
  <si>
    <t>Gravel</t>
  </si>
  <si>
    <t>PO005</t>
  </si>
  <si>
    <t>SUP03</t>
  </si>
  <si>
    <t>Bricks</t>
  </si>
  <si>
    <t>PO006</t>
  </si>
  <si>
    <t>SUP04</t>
  </si>
  <si>
    <t>PO007</t>
  </si>
  <si>
    <t>Delayed</t>
  </si>
  <si>
    <t>PO008</t>
  </si>
  <si>
    <t>Steel</t>
  </si>
  <si>
    <t>PO009</t>
  </si>
  <si>
    <t>PO010</t>
  </si>
  <si>
    <t>PO011</t>
  </si>
  <si>
    <t>Pipes</t>
  </si>
  <si>
    <t>PO012</t>
  </si>
  <si>
    <t>PO013</t>
  </si>
  <si>
    <t>PO014</t>
  </si>
  <si>
    <t>PO015</t>
  </si>
  <si>
    <t>PO016</t>
  </si>
  <si>
    <t>PO017</t>
  </si>
  <si>
    <t>PO018</t>
  </si>
  <si>
    <t>PO019</t>
  </si>
  <si>
    <t>PO020</t>
  </si>
  <si>
    <t xml:space="preserve">Total_Spend </t>
  </si>
  <si>
    <t>Total_Spend</t>
  </si>
  <si>
    <t>Material (H1)</t>
  </si>
  <si>
    <t>Avg_Over_Market</t>
  </si>
  <si>
    <t>Supplier_Name</t>
  </si>
  <si>
    <t>Category</t>
  </si>
  <si>
    <t>Lead_Time (Days)</t>
  </si>
  <si>
    <t>On_Time_Delivery %</t>
  </si>
  <si>
    <t>Avg_Rating (1–5)</t>
  </si>
  <si>
    <t>Active</t>
  </si>
  <si>
    <t>SteelMart Ltd</t>
  </si>
  <si>
    <t>Materials</t>
  </si>
  <si>
    <t>No</t>
  </si>
  <si>
    <t>CementCo Ltd</t>
  </si>
  <si>
    <t>Yes</t>
  </si>
  <si>
    <t>BrickWorld Ltd</t>
  </si>
  <si>
    <t>RFQ_ID</t>
  </si>
  <si>
    <t>Price_per_Unit (€)</t>
  </si>
  <si>
    <t>Warranty (Months)</t>
  </si>
  <si>
    <t>Compliance_OK</t>
  </si>
  <si>
    <t>Selected</t>
  </si>
  <si>
    <t>RFQ001</t>
  </si>
  <si>
    <t>RFQ002</t>
  </si>
  <si>
    <t>RFQ003</t>
  </si>
  <si>
    <t>RFQ004</t>
  </si>
  <si>
    <t>RFQ005</t>
  </si>
  <si>
    <t>RFQ006</t>
  </si>
  <si>
    <t>RFQ007</t>
  </si>
  <si>
    <t>RFQ008</t>
  </si>
  <si>
    <t>RFQ009</t>
  </si>
  <si>
    <t>RFQ010</t>
  </si>
  <si>
    <t>RFQ011</t>
  </si>
  <si>
    <t>RFQ012</t>
  </si>
  <si>
    <t>RFQ013</t>
  </si>
  <si>
    <t>RFQ014</t>
  </si>
  <si>
    <t>RFQ015</t>
  </si>
  <si>
    <t>RFQ016</t>
  </si>
  <si>
    <t>RFQ017</t>
  </si>
  <si>
    <t>RFQ018</t>
  </si>
  <si>
    <t>RFQ019</t>
  </si>
  <si>
    <t>RFQ020</t>
  </si>
  <si>
    <t>Supplier</t>
  </si>
  <si>
    <t>Price</t>
  </si>
  <si>
    <t>Lead Time</t>
  </si>
  <si>
    <t>Warranty</t>
  </si>
  <si>
    <t>Compliance</t>
  </si>
  <si>
    <t>Score</t>
  </si>
  <si>
    <t>Month</t>
  </si>
  <si>
    <t>Market_Avg_Price (€)</t>
  </si>
  <si>
    <t>Company_Price (€)</t>
  </si>
  <si>
    <t>Price_Difference (€)</t>
  </si>
  <si>
    <t>Over_Market ()</t>
  </si>
  <si>
    <t>Flag</t>
  </si>
  <si>
    <t>Summary Metric</t>
  </si>
  <si>
    <t>Value</t>
  </si>
  <si>
    <t xml:space="preserve">Count of Overpriced (&gt;5%) </t>
  </si>
  <si>
    <t>Count of Underpriced(&lt;-5%)</t>
  </si>
  <si>
    <t>Average Over_Market (5)</t>
  </si>
  <si>
    <t>Avg Market Price</t>
  </si>
  <si>
    <t>Count On-Time</t>
  </si>
  <si>
    <t>Total Deliveries</t>
  </si>
  <si>
    <t>On-Time %</t>
  </si>
  <si>
    <t>Grand Total</t>
  </si>
  <si>
    <t>Average Delay (Days)</t>
  </si>
  <si>
    <t>Total POs</t>
  </si>
  <si>
    <t>% On-Time</t>
  </si>
  <si>
    <t>Avg Delay (Days)</t>
  </si>
  <si>
    <t>Total Spend (€)</t>
  </si>
  <si>
    <t>Cost Per Order</t>
  </si>
  <si>
    <t>Supplier Risk Level</t>
  </si>
  <si>
    <t>Company Spend Price</t>
  </si>
  <si>
    <t>Forecast_Price</t>
  </si>
  <si>
    <t>Company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</si>
</sst>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[$€-2]\ #,##0.00"/>
    <numFmt numFmtId="166" formatCode="0.0%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0" fontId="2" fillId="2" borderId="2" xfId="0" applyFont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0" fillId="0" borderId="0" xfId="0" applyNumberFormat="1" applyAlignment="1">
      <alignment wrapText="1"/>
    </xf>
    <xf numFmtId="2" fontId="0" fillId="0" borderId="0" xfId="0" applyNumberFormat="1"/>
    <xf numFmtId="9" fontId="0" fillId="0" borderId="0" xfId="0" applyNumberFormat="1" applyAlignment="1">
      <alignment horizontal="right"/>
    </xf>
    <xf numFmtId="10" fontId="1" fillId="0" borderId="1" xfId="0" applyNumberFormat="1" applyFont="1" applyBorder="1" applyAlignment="1">
      <alignment horizontal="right" vertical="top"/>
    </xf>
    <xf numFmtId="10" fontId="0" fillId="0" borderId="0" xfId="0" applyNumberFormat="1" applyAlignment="1">
      <alignment horizontal="right"/>
    </xf>
    <xf numFmtId="14" fontId="2" fillId="0" borderId="0" xfId="0" applyNumberFormat="1" applyFont="1"/>
    <xf numFmtId="2" fontId="2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accent6">
                    <a:lumMod val="75000"/>
                  </a:schemeClr>
                </a:solidFill>
              </a:rPr>
              <a:t>Steel</a:t>
            </a:r>
            <a:r>
              <a:rPr lang="en-GB" sz="1800" b="1" baseline="0">
                <a:solidFill>
                  <a:schemeClr val="accent6">
                    <a:lumMod val="75000"/>
                  </a:schemeClr>
                </a:solidFill>
              </a:rPr>
              <a:t> Price Forecast</a:t>
            </a:r>
            <a:endParaRPr lang="en-GB" sz="1800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42189974187111E-2"/>
          <c:y val="0.26782480314960627"/>
          <c:w val="0.92200096888715377"/>
          <c:h val="0.49749708369787121"/>
        </c:manualLayout>
      </c:layout>
      <c:lineChart>
        <c:grouping val="standard"/>
        <c:varyColors val="0"/>
        <c:ser>
          <c:idx val="0"/>
          <c:order val="0"/>
          <c:tx>
            <c:strRef>
              <c:f>Forecast_Steel!$B$1</c:f>
              <c:strCache>
                <c:ptCount val="1"/>
                <c:pt idx="0">
                  <c:v>Avg Market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4.2087055894280971E-17"/>
                  <c:y val="-2.3148148148148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6-41E3-89BC-1366DCEEBC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Forecast_Steel!$A$2:$A$13</c:f>
              <c:numCache>
                <c:formatCode>m/d/yyyy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Forecast_Steel!$B$2:$B$13</c:f>
              <c:numCache>
                <c:formatCode>General</c:formatCode>
                <c:ptCount val="12"/>
                <c:pt idx="0">
                  <c:v>5.0199999999999996</c:v>
                </c:pt>
                <c:pt idx="1">
                  <c:v>7.98</c:v>
                </c:pt>
                <c:pt idx="2">
                  <c:v>3.67</c:v>
                </c:pt>
                <c:pt idx="3">
                  <c:v>7.63</c:v>
                </c:pt>
                <c:pt idx="4">
                  <c:v>7.34</c:v>
                </c:pt>
                <c:pt idx="5">
                  <c:v>3.37</c:v>
                </c:pt>
                <c:pt idx="6">
                  <c:v>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6-41E3-89BC-1366DCEEBCDB}"/>
            </c:ext>
          </c:extLst>
        </c:ser>
        <c:ser>
          <c:idx val="1"/>
          <c:order val="1"/>
          <c:tx>
            <c:strRef>
              <c:f>Forecast_Steel!$D$1</c:f>
              <c:strCache>
                <c:ptCount val="1"/>
                <c:pt idx="0">
                  <c:v>Forecast_Price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Forecast_Steel!$A$2:$A$13</c:f>
              <c:numCache>
                <c:formatCode>m/d/yyyy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Forecast_Steel!$D$2:$D$13</c:f>
              <c:numCache>
                <c:formatCode>General</c:formatCode>
                <c:ptCount val="12"/>
                <c:pt idx="7" formatCode="0.00">
                  <c:v>6.9127643021622553</c:v>
                </c:pt>
                <c:pt idx="8" formatCode="0.00">
                  <c:v>4.9532223563289399</c:v>
                </c:pt>
                <c:pt idx="9" formatCode="0.00">
                  <c:v>6.8035919397509543</c:v>
                </c:pt>
                <c:pt idx="10" formatCode="0.00">
                  <c:v>4.8440499939176389</c:v>
                </c:pt>
                <c:pt idx="11" formatCode="0.00">
                  <c:v>6.6944195773396533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76-41E3-89BC-1366DCEE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987471"/>
        <c:axId val="1006987951"/>
      </c:lineChart>
      <c:dateAx>
        <c:axId val="100698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87951"/>
        <c:crosses val="autoZero"/>
        <c:auto val="1"/>
        <c:lblOffset val="100"/>
        <c:baseTimeUnit val="months"/>
      </c:dateAx>
      <c:valAx>
        <c:axId val="10069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8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accent6">
                    <a:lumMod val="75000"/>
                  </a:schemeClr>
                </a:solidFill>
              </a:rPr>
              <a:t>Gravel</a:t>
            </a:r>
            <a:r>
              <a:rPr lang="en-GB" sz="1800" b="1" baseline="0">
                <a:solidFill>
                  <a:schemeClr val="accent6">
                    <a:lumMod val="75000"/>
                  </a:schemeClr>
                </a:solidFill>
              </a:rPr>
              <a:t> Price Forecast</a:t>
            </a:r>
            <a:endParaRPr lang="en-GB" sz="1800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6415338489294E-2"/>
          <c:y val="0.26319517351997668"/>
          <c:w val="0.92915837076909225"/>
          <c:h val="0.5021267133275007"/>
        </c:manualLayout>
      </c:layout>
      <c:lineChart>
        <c:grouping val="standard"/>
        <c:varyColors val="0"/>
        <c:ser>
          <c:idx val="0"/>
          <c:order val="0"/>
          <c:tx>
            <c:strRef>
              <c:f>Forecast_Gravel!$B$1</c:f>
              <c:strCache>
                <c:ptCount val="1"/>
                <c:pt idx="0">
                  <c:v>Avg Market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Forecast_Gravel!$A$2:$A$13</c:f>
              <c:numCache>
                <c:formatCode>m/d/yyyy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Forecast_Gravel!$B$2:$B$13</c:f>
              <c:numCache>
                <c:formatCode>General</c:formatCode>
                <c:ptCount val="12"/>
                <c:pt idx="0">
                  <c:v>3.62</c:v>
                </c:pt>
                <c:pt idx="1">
                  <c:v>3.95</c:v>
                </c:pt>
                <c:pt idx="2">
                  <c:v>7.48</c:v>
                </c:pt>
                <c:pt idx="3">
                  <c:v>3.01</c:v>
                </c:pt>
                <c:pt idx="4">
                  <c:v>4.0199999999999996</c:v>
                </c:pt>
                <c:pt idx="5">
                  <c:v>6.74</c:v>
                </c:pt>
                <c:pt idx="6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B-4EC3-A3B3-5F04E86CDA2F}"/>
            </c:ext>
          </c:extLst>
        </c:ser>
        <c:ser>
          <c:idx val="1"/>
          <c:order val="1"/>
          <c:tx>
            <c:strRef>
              <c:f>Forecast_Gravel!$D$1</c:f>
              <c:strCache>
                <c:ptCount val="1"/>
                <c:pt idx="0">
                  <c:v>Forecast_Price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1.111111111111121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8B-4EC3-A3B3-5F04E86CDA2F}"/>
                </c:ext>
              </c:extLst>
            </c:dLbl>
            <c:dLbl>
              <c:idx val="8"/>
              <c:layout>
                <c:manualLayout>
                  <c:x val="-5.5555555555555558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8B-4EC3-A3B3-5F04E86CDA2F}"/>
                </c:ext>
              </c:extLst>
            </c:dLbl>
            <c:dLbl>
              <c:idx val="9"/>
              <c:layout>
                <c:manualLayout>
                  <c:x val="0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8B-4EC3-A3B3-5F04E86CDA2F}"/>
                </c:ext>
              </c:extLst>
            </c:dLbl>
            <c:dLbl>
              <c:idx val="10"/>
              <c:layout>
                <c:manualLayout>
                  <c:x val="-2.7777777777778798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8B-4EC3-A3B3-5F04E86CD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Forecast_Gravel!$A$2:$A$13</c:f>
              <c:numCache>
                <c:formatCode>m/d/yyyy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Forecast_Gravel!$D$2:$D$13</c:f>
              <c:numCache>
                <c:formatCode>General</c:formatCode>
                <c:ptCount val="12"/>
                <c:pt idx="7" formatCode="0.00">
                  <c:v>4.4203801700760232</c:v>
                </c:pt>
                <c:pt idx="8" formatCode="0.00">
                  <c:v>4.535423289799331</c:v>
                </c:pt>
                <c:pt idx="9" formatCode="0.00">
                  <c:v>4.6504664095226396</c:v>
                </c:pt>
                <c:pt idx="10" formatCode="0.00">
                  <c:v>4.7655095292459473</c:v>
                </c:pt>
                <c:pt idx="11" formatCode="0.00">
                  <c:v>4.880552648969255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8B-4EC3-A3B3-5F04E86C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091663"/>
        <c:axId val="909097423"/>
      </c:lineChart>
      <c:dateAx>
        <c:axId val="90909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97423"/>
        <c:crosses val="autoZero"/>
        <c:auto val="1"/>
        <c:lblOffset val="100"/>
        <c:baseTimeUnit val="months"/>
      </c:dateAx>
      <c:valAx>
        <c:axId val="9090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accent6">
                    <a:lumMod val="75000"/>
                  </a:schemeClr>
                </a:solidFill>
              </a:rPr>
              <a:t>Cement</a:t>
            </a:r>
            <a:r>
              <a:rPr lang="en-GB" sz="1800" b="1" baseline="0">
                <a:solidFill>
                  <a:schemeClr val="accent6">
                    <a:lumMod val="75000"/>
                  </a:schemeClr>
                </a:solidFill>
              </a:rPr>
              <a:t> Price Forecast</a:t>
            </a:r>
            <a:endParaRPr lang="en-GB" sz="1800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351049868766409E-2"/>
          <c:y val="0.26319517351997668"/>
          <c:w val="0.91353783902012253"/>
          <c:h val="0.5021267133275007"/>
        </c:manualLayout>
      </c:layout>
      <c:lineChart>
        <c:grouping val="standard"/>
        <c:varyColors val="0"/>
        <c:ser>
          <c:idx val="0"/>
          <c:order val="0"/>
          <c:tx>
            <c:strRef>
              <c:f>Forecast_Cement!$B$1</c:f>
              <c:strCache>
                <c:ptCount val="1"/>
                <c:pt idx="0">
                  <c:v>Avg Market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Forecast_Cement!$A$2:$A$13</c:f>
              <c:numCache>
                <c:formatCode>m/d/yyyy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Forecast_Cement!$B$2:$B$13</c:f>
              <c:numCache>
                <c:formatCode>General</c:formatCode>
                <c:ptCount val="12"/>
                <c:pt idx="0">
                  <c:v>5.91</c:v>
                </c:pt>
                <c:pt idx="1">
                  <c:v>5.71</c:v>
                </c:pt>
                <c:pt idx="2">
                  <c:v>7.64</c:v>
                </c:pt>
                <c:pt idx="3">
                  <c:v>6.44</c:v>
                </c:pt>
                <c:pt idx="4">
                  <c:v>4.68</c:v>
                </c:pt>
                <c:pt idx="5">
                  <c:v>4.1500000000000004</c:v>
                </c:pt>
                <c:pt idx="6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6-4152-ACFE-CB48B657BE18}"/>
            </c:ext>
          </c:extLst>
        </c:ser>
        <c:ser>
          <c:idx val="1"/>
          <c:order val="1"/>
          <c:tx>
            <c:strRef>
              <c:f>Forecast_Cement!$D$1</c:f>
              <c:strCache>
                <c:ptCount val="1"/>
                <c:pt idx="0">
                  <c:v>Forecast_Price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2.5799793601650241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E6-4152-ACFE-CB48B657BE18}"/>
                </c:ext>
              </c:extLst>
            </c:dLbl>
            <c:dLbl>
              <c:idx val="8"/>
              <c:layout>
                <c:manualLayout>
                  <c:x val="-5.1599587203302374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E6-4152-ACFE-CB48B657BE18}"/>
                </c:ext>
              </c:extLst>
            </c:dLbl>
            <c:dLbl>
              <c:idx val="9"/>
              <c:layout>
                <c:manualLayout>
                  <c:x val="-9.4598150400148559E-17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E6-4152-ACFE-CB48B657BE18}"/>
                </c:ext>
              </c:extLst>
            </c:dLbl>
            <c:dLbl>
              <c:idx val="10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E6-4152-ACFE-CB48B657BE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Forecast_Cement!$A$2:$A$13</c:f>
              <c:numCache>
                <c:formatCode>m/d/yyyy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Forecast_Cement!$D$2:$D$13</c:f>
              <c:numCache>
                <c:formatCode>General</c:formatCode>
                <c:ptCount val="12"/>
                <c:pt idx="7" formatCode="0.00">
                  <c:v>4.953642252593478</c:v>
                </c:pt>
                <c:pt idx="8" formatCode="0.00">
                  <c:v>4.817393295223698</c:v>
                </c:pt>
                <c:pt idx="9" formatCode="0.00">
                  <c:v>4.681144337853917</c:v>
                </c:pt>
                <c:pt idx="10" formatCode="0.00">
                  <c:v>4.544895380484137</c:v>
                </c:pt>
                <c:pt idx="11" formatCode="0.00">
                  <c:v>4.4086464231143561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E6-4152-ACFE-CB48B657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79503"/>
        <c:axId val="1076178063"/>
      </c:lineChart>
      <c:dateAx>
        <c:axId val="1076179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78063"/>
        <c:crosses val="autoZero"/>
        <c:auto val="1"/>
        <c:lblOffset val="100"/>
        <c:baseTimeUnit val="months"/>
      </c:dateAx>
      <c:valAx>
        <c:axId val="10761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[Procurement_Project_Dataset1.xlsx]Avg Delay by Supplier!PivotTable3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26B0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Delivery Delay By supplier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E26B0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Delay by Supplier'!$B$3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'Avg Delay by Supplier'!$A$4:$A$9</c:f>
              <c:strCache>
                <c:ptCount val="5"/>
                <c:pt idx="0">
                  <c:v>SUP01</c:v>
                </c:pt>
                <c:pt idx="1">
                  <c:v>SUP02</c:v>
                </c:pt>
                <c:pt idx="2">
                  <c:v>SUP03</c:v>
                </c:pt>
                <c:pt idx="3">
                  <c:v>SUP04</c:v>
                </c:pt>
                <c:pt idx="4">
                  <c:v>SUP05</c:v>
                </c:pt>
              </c:strCache>
            </c:strRef>
          </c:cat>
          <c:val>
            <c:numRef>
              <c:f>'Avg Delay by Supplier'!$B$4:$B$9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B1F-A2D2-EF084225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7987848"/>
        <c:axId val="1838346760"/>
      </c:barChart>
      <c:catAx>
        <c:axId val="1317987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26B0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E26B0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46760"/>
        <c:crosses val="autoZero"/>
        <c:auto val="1"/>
        <c:lblAlgn val="ctr"/>
        <c:lblOffset val="100"/>
        <c:noMultiLvlLbl val="0"/>
      </c:catAx>
      <c:valAx>
        <c:axId val="183834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26B0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E26B0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8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26B0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Spend (€) by Supplier</a:t>
            </a:r>
          </a:p>
        </c:rich>
      </c:tx>
      <c:layout>
        <c:manualLayout>
          <c:xMode val="edge"/>
          <c:yMode val="edge"/>
          <c:x val="0.27850002543131508"/>
          <c:y val="4.6527756585015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E26B0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'Supplier_Performance KPI'!$E$1</c:f>
              <c:strCache>
                <c:ptCount val="1"/>
                <c:pt idx="0">
                  <c:v>Total Spend (€)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'Supplier_Performance KPI'!$A$2:$A$6</c:f>
              <c:strCache>
                <c:ptCount val="5"/>
                <c:pt idx="0">
                  <c:v>SUP01</c:v>
                </c:pt>
                <c:pt idx="1">
                  <c:v>SUP02</c:v>
                </c:pt>
                <c:pt idx="2">
                  <c:v>SUP03</c:v>
                </c:pt>
                <c:pt idx="3">
                  <c:v>SUP04</c:v>
                </c:pt>
                <c:pt idx="4">
                  <c:v>SUP05</c:v>
                </c:pt>
              </c:strCache>
            </c:strRef>
          </c:cat>
          <c:val>
            <c:numRef>
              <c:f>'Supplier_Performance KPI'!$E$2:$E$6</c:f>
              <c:numCache>
                <c:formatCode>[$€-2]\ #,##0.00</c:formatCode>
                <c:ptCount val="5"/>
                <c:pt idx="0">
                  <c:v>14342.03</c:v>
                </c:pt>
                <c:pt idx="1">
                  <c:v>6619.63</c:v>
                </c:pt>
                <c:pt idx="2">
                  <c:v>7079.9000000000005</c:v>
                </c:pt>
                <c:pt idx="3">
                  <c:v>5886.92</c:v>
                </c:pt>
                <c:pt idx="4">
                  <c:v>26389.31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1-4190-97EC-CDB12749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4248"/>
        <c:axId val="17996296"/>
      </c:barChart>
      <c:catAx>
        <c:axId val="179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296"/>
        <c:crosses val="autoZero"/>
        <c:auto val="1"/>
        <c:lblAlgn val="ctr"/>
        <c:lblOffset val="100"/>
        <c:noMultiLvlLbl val="0"/>
      </c:catAx>
      <c:valAx>
        <c:axId val="179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E26B0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26B0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 On-Time Delivery %</a:t>
            </a:r>
          </a:p>
        </c:rich>
      </c:tx>
      <c:layout>
        <c:manualLayout>
          <c:xMode val="edge"/>
          <c:yMode val="edge"/>
          <c:x val="0.28226381767453174"/>
          <c:y val="3.8888952467176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E26B0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'Supplier_Performance KPI'!$C$1</c:f>
              <c:strCache>
                <c:ptCount val="1"/>
                <c:pt idx="0">
                  <c:v>% On-Time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'Supplier_Performance KPI'!$A$2:$A$6</c:f>
              <c:strCache>
                <c:ptCount val="5"/>
                <c:pt idx="0">
                  <c:v>SUP01</c:v>
                </c:pt>
                <c:pt idx="1">
                  <c:v>SUP02</c:v>
                </c:pt>
                <c:pt idx="2">
                  <c:v>SUP03</c:v>
                </c:pt>
                <c:pt idx="3">
                  <c:v>SUP04</c:v>
                </c:pt>
                <c:pt idx="4">
                  <c:v>SUP05</c:v>
                </c:pt>
              </c:strCache>
            </c:strRef>
          </c:cat>
          <c:val>
            <c:numRef>
              <c:f>'Supplier_Performance KPI'!$C$2:$C$6</c:f>
              <c:numCache>
                <c:formatCode>0.0%</c:formatCode>
                <c:ptCount val="5"/>
                <c:pt idx="0">
                  <c:v>0.75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8-4720-B286-7E130E2B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65704"/>
        <c:axId val="135967752"/>
      </c:lineChart>
      <c:catAx>
        <c:axId val="13596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7752"/>
        <c:crosses val="autoZero"/>
        <c:auto val="1"/>
        <c:lblAlgn val="ctr"/>
        <c:lblOffset val="100"/>
        <c:noMultiLvlLbl val="0"/>
      </c:catAx>
      <c:valAx>
        <c:axId val="1359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E26B0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7</xdr:row>
      <xdr:rowOff>0</xdr:rowOff>
    </xdr:from>
    <xdr:to>
      <xdr:col>15</xdr:col>
      <xdr:colOff>38100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04CD7-6359-B992-C157-DAF445C9E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13</xdr:row>
      <xdr:rowOff>53340</xdr:rowOff>
    </xdr:from>
    <xdr:to>
      <xdr:col>11</xdr:col>
      <xdr:colOff>449580</xdr:colOff>
      <xdr:row>18</xdr:row>
      <xdr:rowOff>53340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E253B4C-1E4E-F591-3A75-593CB29575A7}"/>
            </a:ext>
          </a:extLst>
        </xdr:cNvPr>
        <xdr:cNvCxnSpPr/>
      </xdr:nvCxnSpPr>
      <xdr:spPr>
        <a:xfrm flipH="1">
          <a:off x="8572500" y="2430780"/>
          <a:ext cx="7620" cy="914400"/>
        </a:xfrm>
        <a:prstGeom prst="line">
          <a:avLst/>
        </a:prstGeom>
        <a:ln w="15875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0.61157</cdr:x>
      <cdr:y>0.28333</cdr:y>
    </cdr:from>
    <cdr:to>
      <cdr:x>0.76584</cdr:x>
      <cdr:y>0.39223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E096D7D-E4D1-0E68-0BED-7CC2AC5F55B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83281" y="777240"/>
          <a:ext cx="8534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701040</xdr:colOff>
      <xdr:row>7</xdr:row>
      <xdr:rowOff>175260</xdr:rowOff>
    </xdr:from>
    <xdr:to>
      <xdr:col>15</xdr:col>
      <xdr:colOff>236220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A59E8-4189-F79F-A201-020D3EDE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15</xdr:row>
      <xdr:rowOff>137160</xdr:rowOff>
    </xdr:from>
    <xdr:to>
      <xdr:col>11</xdr:col>
      <xdr:colOff>419100</xdr:colOff>
      <xdr:row>19</xdr:row>
      <xdr:rowOff>137160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92DB709-F9B7-3DAD-14DD-03A7DE43EB85}"/>
            </a:ext>
          </a:extLst>
        </xdr:cNvPr>
        <xdr:cNvCxnSpPr/>
      </xdr:nvCxnSpPr>
      <xdr:spPr>
        <a:xfrm>
          <a:off x="8770620" y="2880360"/>
          <a:ext cx="0" cy="731520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0.60822</cdr:x>
      <cdr:y>0.34907</cdr:y>
    </cdr:from>
    <cdr:to>
      <cdr:x>0.75053</cdr:x>
      <cdr:y>0.45797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E9A37CF2-BD25-C762-62D4-840F456560E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47440" y="957580"/>
          <a:ext cx="8534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8</xdr:row>
      <xdr:rowOff>45720</xdr:rowOff>
    </xdr:from>
    <xdr:to>
      <xdr:col>7</xdr:col>
      <xdr:colOff>213360</xdr:colOff>
      <xdr:row>8</xdr:row>
      <xdr:rowOff>99060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1FB7700-4566-3949-3F38-253CA399754D}"/>
            </a:ext>
          </a:extLst>
        </xdr:cNvPr>
        <xdr:cNvCxnSpPr/>
      </xdr:nvCxnSpPr>
      <xdr:spPr>
        <a:xfrm>
          <a:off x="6454140" y="1508760"/>
          <a:ext cx="7620" cy="533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9</xdr:row>
      <xdr:rowOff>99060</xdr:rowOff>
    </xdr:from>
    <xdr:to>
      <xdr:col>8</xdr:col>
      <xdr:colOff>152400</xdr:colOff>
      <xdr:row>14</xdr:row>
      <xdr:rowOff>91440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107185C-92FA-1B09-759E-517F8C943956}"/>
            </a:ext>
          </a:extLst>
        </xdr:cNvPr>
        <xdr:cNvCxnSpPr/>
      </xdr:nvCxnSpPr>
      <xdr:spPr>
        <a:xfrm>
          <a:off x="7010400" y="1744980"/>
          <a:ext cx="0" cy="906780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11</xdr:row>
      <xdr:rowOff>53340</xdr:rowOff>
    </xdr:from>
    <xdr:to>
      <xdr:col>9</xdr:col>
      <xdr:colOff>464820</xdr:colOff>
      <xdr:row>12</xdr:row>
      <xdr:rowOff>68580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9D21FE4-50CD-B455-69FA-4BF95520592F}"/>
            </a:ext>
          </a:extLst>
        </xdr:cNvPr>
        <xdr:cNvSpPr txBox="1"/>
      </xdr:nvSpPr>
      <xdr:spPr>
        <a:xfrm>
          <a:off x="7040880" y="2065020"/>
          <a:ext cx="89154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/>
            <a:t>Forecast Starts</a:t>
          </a:r>
        </a:p>
      </xdr:txBody>
    </xdr:sp>
    <xdr:clientData/>
  </xdr:twoCellAnchor>
  <xdr:twoCellAnchor>
    <xdr:from>
      <xdr:col>6</xdr:col>
      <xdr:colOff>7620</xdr:colOff>
      <xdr:row>4</xdr:row>
      <xdr:rowOff>167640</xdr:rowOff>
    </xdr:from>
    <xdr:to>
      <xdr:col>15</xdr:col>
      <xdr:colOff>7620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7CC5B-1E71-73CE-FE5A-FDBC4C395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12</xdr:row>
      <xdr:rowOff>106680</xdr:rowOff>
    </xdr:from>
    <xdr:to>
      <xdr:col>11</xdr:col>
      <xdr:colOff>495300</xdr:colOff>
      <xdr:row>16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1179B75-8387-A6BC-03B7-E4BEF7CCEA1D}"/>
            </a:ext>
          </a:extLst>
        </xdr:cNvPr>
        <xdr:cNvCxnSpPr/>
      </xdr:nvCxnSpPr>
      <xdr:spPr>
        <a:xfrm flipH="1">
          <a:off x="8915400" y="2301240"/>
          <a:ext cx="7620" cy="731520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0.41667</cdr:x>
      <cdr:y>0.33333</cdr:y>
    </cdr:from>
    <cdr:to>
      <cdr:x>0.58333</cdr:x>
      <cdr:y>0.66667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02E76EB-C6CE-AF7F-56DD-EDE284EBF8D7}"/>
            </a:ext>
          </a:extLst>
        </cdr:cNvPr>
        <cdr:cNvSpPr txBox="1"/>
      </cdr:nvSpPr>
      <cdr:spPr>
        <a:xfrm xmlns:a="http://schemas.openxmlformats.org/drawingml/2006/main">
          <a:off x="22860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0.40556</cdr:x>
      <cdr:y>0.30556</cdr:y>
    </cdr:from>
    <cdr:to>
      <cdr:x>0.56806</cdr:x>
      <cdr:y>0.35278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93C111B-8A35-AD7E-0C97-5BCCEB01B83E}"/>
            </a:ext>
          </a:extLst>
        </cdr:cNvPr>
        <cdr:cNvSpPr txBox="1"/>
      </cdr:nvSpPr>
      <cdr:spPr>
        <a:xfrm xmlns:a="http://schemas.openxmlformats.org/drawingml/2006/main" flipV="1">
          <a:off x="2225041" y="838201"/>
          <a:ext cx="891539" cy="12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0.64306</cdr:x>
      <cdr:y>0.34722</cdr:y>
    </cdr:from>
    <cdr:to>
      <cdr:x>0.89444</cdr:x>
      <cdr:y>0.40556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8C0C5D5-9F1F-2917-EFA7-5D844A7ED5BC}"/>
            </a:ext>
          </a:extLst>
        </cdr:cNvPr>
        <cdr:cNvSpPr txBox="1"/>
      </cdr:nvSpPr>
      <cdr:spPr>
        <a:xfrm xmlns:a="http://schemas.openxmlformats.org/drawingml/2006/main">
          <a:off x="3528060" y="952500"/>
          <a:ext cx="1379220" cy="16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0.63565</cdr:x>
      <cdr:y>0.34907</cdr:y>
    </cdr:from>
    <cdr:to>
      <cdr:x>0.7912</cdr:x>
      <cdr:y>0.45797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E9A37CF2-BD25-C762-62D4-840F456560E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487420" y="957580"/>
          <a:ext cx="8534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180975</xdr:rowOff>
    </xdr:from>
    <xdr:to>
      <xdr:col>10</xdr:col>
      <xdr:colOff>19050</xdr:colOff>
      <xdr:row>7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47DCB3-0214-E5E8-4AED-DBCAB740DA06}"/>
            </a:ext>
          </a:extLst>
        </xdr:cNvPr>
        <xdr:cNvSpPr txBox="1"/>
      </xdr:nvSpPr>
      <xdr:spPr>
        <a:xfrm>
          <a:off x="5410200" y="561975"/>
          <a:ext cx="258127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Supplier On-Time Delivery Summary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All 5 Suppliers achieved 100% on-time         delivery across all recorded orders.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180975</xdr:rowOff>
    </xdr:from>
    <xdr:to>
      <xdr:col>10</xdr:col>
      <xdr:colOff>9525</xdr:colOff>
      <xdr:row>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B73AA2-367F-EA91-9EC1-CE57D989AB77}"/>
            </a:ext>
            <a:ext uri="{147F2762-F138-4A5C-976F-8EAC2B608ADB}">
              <a16:predDERef xmlns:a16="http://schemas.microsoft.com/office/drawing/2014/main" pred="{95DDF6CA-A3CC-5B87-3F0E-8A62A36E849A}"/>
            </a:ext>
          </a:extLst>
        </xdr:cNvPr>
        <xdr:cNvSpPr txBox="1"/>
      </xdr:nvSpPr>
      <xdr:spPr>
        <a:xfrm>
          <a:off x="3409950" y="371475"/>
          <a:ext cx="36576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Supplier Delay Summary</a:t>
          </a:r>
          <a:endParaRPr lang="en-US" sz="12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Only 3 out of 5 Suppliers experienced delivery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SUP03 </a:t>
          </a:r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AND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SUP05</a:t>
          </a:r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had the highest averge delays,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SUP01</a:t>
          </a:r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and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SUP02</a:t>
          </a:r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had zero delays.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7</xdr:col>
      <xdr:colOff>600075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97965-994A-4A0A-8C1D-35F8EB9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16</xdr:row>
      <xdr:rowOff>0</xdr:rowOff>
    </xdr:from>
    <xdr:to>
      <xdr:col>16</xdr:col>
      <xdr:colOff>304800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20FC0-9DC5-4CAE-9E65-BD15A25D589A}"/>
            </a:ext>
            <a:ext uri="{147F2762-F138-4A5C-976F-8EAC2B608ADB}">
              <a16:predDERef xmlns:a16="http://schemas.microsoft.com/office/drawing/2014/main" pred="{BFB97965-994A-4A0A-8C1D-35F8EB9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15</xdr:row>
      <xdr:rowOff>180975</xdr:rowOff>
    </xdr:from>
    <xdr:to>
      <xdr:col>25</xdr:col>
      <xdr:colOff>381000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B669C4-F804-4A4E-9811-F0FF50EAF487}"/>
            </a:ext>
            <a:ext uri="{147F2762-F138-4A5C-976F-8EAC2B608ADB}">
              <a16:predDERef xmlns:a16="http://schemas.microsoft.com/office/drawing/2014/main" pred="{65720FC0-9DC5-4CAE-9E65-BD15A25D5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0</xdr:row>
      <xdr:rowOff>161925</xdr:rowOff>
    </xdr:from>
    <xdr:to>
      <xdr:col>9</xdr:col>
      <xdr:colOff>57150</xdr:colOff>
      <xdr:row>14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15E5AF-6A78-884A-456E-F4C6E3CF400A}"/>
            </a:ext>
            <a:ext uri="{147F2762-F138-4A5C-976F-8EAC2B608ADB}">
              <a16:predDERef xmlns:a16="http://schemas.microsoft.com/office/drawing/2014/main" pred="{14B669C4-F804-4A4E-9811-F0FF50EAF487}"/>
            </a:ext>
          </a:extLst>
        </xdr:cNvPr>
        <xdr:cNvSpPr txBox="1"/>
      </xdr:nvSpPr>
      <xdr:spPr>
        <a:xfrm>
          <a:off x="600075" y="161925"/>
          <a:ext cx="4943475" cy="267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Procurement Insights Summary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-SUP01 had the highest on-time rate (75%) with no delays and moderate spend.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-SUP05 had the lowest on-time rate (25%) , caused one of the longest delays (1 day avg) and had the highest spend (€26,389.31).this shows poor supplier value.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-SUP03 had the most delays (1 day avg) and had the third highest spend.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-Only SUP01 met target KPIs across-on-time delivery.It had the lowest risk Level.</a:t>
          </a: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Recommendation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Prioritize 0rders through SUP01 due to consistent on-time performance, Zero delays, and lower risk, while reviweing SUP05 for potential phase-out due to poor delivery and hgh speed.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3.879703587962" createdVersion="8" refreshedVersion="8" minRefreshableVersion="3" recordCount="5" xr:uid="{5AD44890-2162-44BD-A658-03B8497C57E4}">
  <cacheSource type="worksheet">
    <worksheetSource ref="A1:E6" sheet="Supplier_Performance KPI"/>
  </cacheSource>
  <cacheFields count="5">
    <cacheField name="Supplier_ID" numFmtId="0">
      <sharedItems count="5">
        <s v="SUP01"/>
        <s v="SUP02"/>
        <s v="SUP03"/>
        <s v="SUP04"/>
        <s v="SUP05"/>
      </sharedItems>
    </cacheField>
    <cacheField name="Total POs" numFmtId="0">
      <sharedItems containsSemiMixedTypes="0" containsString="0" containsNumber="1" containsInteger="1" minValue="2" maxValue="8"/>
    </cacheField>
    <cacheField name="% On-Time" numFmtId="166">
      <sharedItems containsSemiMixedTypes="0" containsString="0" containsNumber="1" minValue="0.25" maxValue="0.75"/>
    </cacheField>
    <cacheField name="Avg Delay (Days)" numFmtId="0">
      <sharedItems containsSemiMixedTypes="0" containsString="0" containsNumber="1" minValue="0" maxValue="1"/>
    </cacheField>
    <cacheField name="Total Spend (€)" numFmtId="165">
      <sharedItems containsSemiMixedTypes="0" containsString="0" containsNumber="1" minValue="5886.92" maxValue="26389.31"/>
    </cacheField>
  </cacheFields>
  <extLst>
    <ext xmlns:x14="http://schemas.microsoft.com/office/spreadsheetml/2009/9/main" uri="{725AE2AE-9491-48be-B2B4-4EB974FC3084}">
      <x14:pivotCacheDefinition pivotCacheId="13220660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"/>
    <n v="0.75"/>
    <n v="0"/>
    <n v="14342.03"/>
  </r>
  <r>
    <x v="1"/>
    <n v="3"/>
    <n v="0.66666666666666663"/>
    <n v="0"/>
    <n v="6619.63"/>
  </r>
  <r>
    <x v="2"/>
    <n v="3"/>
    <n v="0.33333333333333331"/>
    <n v="1"/>
    <n v="7079.9000000000005"/>
  </r>
  <r>
    <x v="3"/>
    <n v="2"/>
    <n v="0.5"/>
    <n v="0.5"/>
    <n v="5886.92"/>
  </r>
  <r>
    <x v="4"/>
    <n v="8"/>
    <n v="0.25"/>
    <n v="1"/>
    <n v="26389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ED006-9623-4834-9F64-8636833D5E4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C9" firstHeaderRow="0" firstDataRow="1" firstDataCol="1"/>
  <pivotFields count="5">
    <pivotField axis="axisRow" dataField="1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dataField="1" compact="0" numFmtId="166" outline="0" showAll="0"/>
    <pivotField compact="0" outline="0" showAll="0"/>
    <pivotField compact="0" numFmtId="165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n-Time" fld="2" subtotal="count" baseField="0" baseItem="0"/>
    <dataField name="Total Deliver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D2333-40BE-411F-AFAC-A126F96FC9D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9" firstHeaderRow="1" firstDataRow="1" firstDataCol="1"/>
  <pivotFields count="5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numFmtId="166" outline="0" showAll="0"/>
    <pivotField dataField="1" compact="0" outline="0" showAll="0"/>
    <pivotField compact="0" numFmtId="165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Delay (Days)" fld="3" subtotal="average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L2" sqref="L2"/>
    </sheetView>
  </sheetViews>
  <sheetFormatPr defaultRowHeight="14.4" x14ac:dyDescent="0.3"/>
  <cols>
    <col min="2" max="2" width="12.109375" customWidth="1"/>
    <col min="5" max="5" width="13.44140625" customWidth="1"/>
    <col min="6" max="6" width="14.5546875" customWidth="1"/>
    <col min="7" max="7" width="16.88671875" customWidth="1"/>
    <col min="8" max="8" width="15.5546875" customWidth="1"/>
    <col min="9" max="9" width="15.5546875" style="9" customWidth="1"/>
    <col min="11" max="11" width="13.6640625" customWidth="1"/>
    <col min="12" max="12" width="11" bestFit="1" customWidth="1"/>
  </cols>
  <sheetData>
    <row r="1" spans="1:12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3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859</v>
      </c>
      <c r="E2">
        <v>4.2</v>
      </c>
      <c r="F2" s="2">
        <v>45846</v>
      </c>
      <c r="G2" s="2">
        <v>45849</v>
      </c>
      <c r="H2" s="2">
        <v>45849</v>
      </c>
      <c r="I2" s="9">
        <f>IF(H2&lt;=G2,1,0)</f>
        <v>1</v>
      </c>
      <c r="J2" t="s">
        <v>15</v>
      </c>
      <c r="K2">
        <v>3607.8</v>
      </c>
      <c r="L2">
        <f>H2-G2</f>
        <v>0</v>
      </c>
    </row>
    <row r="3" spans="1:12" x14ac:dyDescent="0.3">
      <c r="A3" t="s">
        <v>16</v>
      </c>
      <c r="B3" t="s">
        <v>17</v>
      </c>
      <c r="C3" t="s">
        <v>14</v>
      </c>
      <c r="D3">
        <v>704</v>
      </c>
      <c r="E3">
        <v>5.38</v>
      </c>
      <c r="F3" s="2">
        <v>45839</v>
      </c>
      <c r="G3" s="2">
        <v>45841</v>
      </c>
      <c r="H3" s="2">
        <v>45842</v>
      </c>
      <c r="I3" s="9">
        <f t="shared" ref="I3:I21" si="0">IF(H3&lt;=G3,1,0)</f>
        <v>0</v>
      </c>
      <c r="J3" t="s">
        <v>15</v>
      </c>
      <c r="K3">
        <v>3787.52</v>
      </c>
      <c r="L3">
        <f t="shared" ref="L3:L21" si="1">H3-G3</f>
        <v>1</v>
      </c>
    </row>
    <row r="4" spans="1:12" x14ac:dyDescent="0.3">
      <c r="A4" t="s">
        <v>18</v>
      </c>
      <c r="B4" t="s">
        <v>19</v>
      </c>
      <c r="C4" t="s">
        <v>20</v>
      </c>
      <c r="D4">
        <v>716</v>
      </c>
      <c r="E4">
        <v>2.21</v>
      </c>
      <c r="F4" s="2">
        <v>45845</v>
      </c>
      <c r="G4" s="2">
        <v>45852</v>
      </c>
      <c r="H4" s="2">
        <v>45851</v>
      </c>
      <c r="I4" s="9">
        <f t="shared" si="0"/>
        <v>1</v>
      </c>
      <c r="J4" t="s">
        <v>15</v>
      </c>
      <c r="K4">
        <v>1582.36</v>
      </c>
      <c r="L4">
        <f t="shared" si="1"/>
        <v>-1</v>
      </c>
    </row>
    <row r="5" spans="1:12" x14ac:dyDescent="0.3">
      <c r="A5" t="s">
        <v>21</v>
      </c>
      <c r="B5" t="s">
        <v>19</v>
      </c>
      <c r="C5" t="s">
        <v>22</v>
      </c>
      <c r="D5">
        <v>703</v>
      </c>
      <c r="E5">
        <v>4.2300000000000004</v>
      </c>
      <c r="F5" s="2">
        <v>45839</v>
      </c>
      <c r="G5" s="2">
        <v>45842</v>
      </c>
      <c r="H5" s="2">
        <v>45841</v>
      </c>
      <c r="I5" s="9">
        <f t="shared" si="0"/>
        <v>1</v>
      </c>
      <c r="J5" t="s">
        <v>15</v>
      </c>
      <c r="K5">
        <v>2973.69</v>
      </c>
      <c r="L5">
        <f t="shared" si="1"/>
        <v>-1</v>
      </c>
    </row>
    <row r="6" spans="1:12" x14ac:dyDescent="0.3">
      <c r="A6" t="s">
        <v>23</v>
      </c>
      <c r="B6" t="s">
        <v>24</v>
      </c>
      <c r="C6" t="s">
        <v>25</v>
      </c>
      <c r="D6">
        <v>259</v>
      </c>
      <c r="E6">
        <v>3.72</v>
      </c>
      <c r="F6" s="2">
        <v>45849</v>
      </c>
      <c r="G6" s="2">
        <v>45851</v>
      </c>
      <c r="H6" s="2">
        <v>45851</v>
      </c>
      <c r="I6" s="9">
        <f t="shared" si="0"/>
        <v>1</v>
      </c>
      <c r="J6" t="s">
        <v>15</v>
      </c>
      <c r="K6">
        <v>963.48</v>
      </c>
      <c r="L6">
        <f t="shared" si="1"/>
        <v>0</v>
      </c>
    </row>
    <row r="7" spans="1:12" x14ac:dyDescent="0.3">
      <c r="A7" t="s">
        <v>26</v>
      </c>
      <c r="B7" t="s">
        <v>27</v>
      </c>
      <c r="C7" t="s">
        <v>14</v>
      </c>
      <c r="D7">
        <v>467</v>
      </c>
      <c r="E7">
        <v>8.7799999999999994</v>
      </c>
      <c r="F7" s="2">
        <v>45847</v>
      </c>
      <c r="G7" s="2">
        <v>45849</v>
      </c>
      <c r="H7" s="2">
        <v>45848</v>
      </c>
      <c r="I7" s="9">
        <f t="shared" si="0"/>
        <v>1</v>
      </c>
      <c r="J7" t="s">
        <v>15</v>
      </c>
      <c r="K7">
        <v>4100.26</v>
      </c>
      <c r="L7">
        <f t="shared" si="1"/>
        <v>-1</v>
      </c>
    </row>
    <row r="8" spans="1:12" x14ac:dyDescent="0.3">
      <c r="A8" t="s">
        <v>28</v>
      </c>
      <c r="B8" t="s">
        <v>17</v>
      </c>
      <c r="C8" t="s">
        <v>14</v>
      </c>
      <c r="D8">
        <v>487</v>
      </c>
      <c r="E8">
        <v>2.63</v>
      </c>
      <c r="F8" s="2">
        <v>45848</v>
      </c>
      <c r="G8" s="2">
        <v>45855</v>
      </c>
      <c r="H8" s="2">
        <v>45857</v>
      </c>
      <c r="I8" s="9">
        <f t="shared" si="0"/>
        <v>0</v>
      </c>
      <c r="J8" t="s">
        <v>29</v>
      </c>
      <c r="K8">
        <v>1280.81</v>
      </c>
      <c r="L8">
        <f t="shared" si="1"/>
        <v>2</v>
      </c>
    </row>
    <row r="9" spans="1:12" x14ac:dyDescent="0.3">
      <c r="A9" t="s">
        <v>30</v>
      </c>
      <c r="B9" t="s">
        <v>17</v>
      </c>
      <c r="C9" t="s">
        <v>31</v>
      </c>
      <c r="D9">
        <v>821</v>
      </c>
      <c r="E9">
        <v>2.56</v>
      </c>
      <c r="F9" s="2">
        <v>45846</v>
      </c>
      <c r="G9" s="2">
        <v>45850</v>
      </c>
      <c r="H9" s="2">
        <v>45850</v>
      </c>
      <c r="I9" s="9">
        <f t="shared" si="0"/>
        <v>1</v>
      </c>
      <c r="J9" t="s">
        <v>15</v>
      </c>
      <c r="K9">
        <v>2101.7600000000002</v>
      </c>
      <c r="L9">
        <f t="shared" si="1"/>
        <v>0</v>
      </c>
    </row>
    <row r="10" spans="1:12" x14ac:dyDescent="0.3">
      <c r="A10" t="s">
        <v>32</v>
      </c>
      <c r="B10" t="s">
        <v>19</v>
      </c>
      <c r="C10" t="s">
        <v>14</v>
      </c>
      <c r="D10">
        <v>489</v>
      </c>
      <c r="E10">
        <v>4.22</v>
      </c>
      <c r="F10" s="2">
        <v>45850</v>
      </c>
      <c r="G10" s="2">
        <v>45853</v>
      </c>
      <c r="H10" s="2">
        <v>45855</v>
      </c>
      <c r="I10" s="9">
        <f t="shared" si="0"/>
        <v>0</v>
      </c>
      <c r="J10" t="s">
        <v>29</v>
      </c>
      <c r="K10">
        <v>2063.58</v>
      </c>
      <c r="L10">
        <f t="shared" si="1"/>
        <v>2</v>
      </c>
    </row>
    <row r="11" spans="1:12" x14ac:dyDescent="0.3">
      <c r="A11" t="s">
        <v>33</v>
      </c>
      <c r="B11" t="s">
        <v>24</v>
      </c>
      <c r="C11" t="s">
        <v>31</v>
      </c>
      <c r="D11">
        <v>786</v>
      </c>
      <c r="E11">
        <v>4.1399999999999997</v>
      </c>
      <c r="F11" s="2">
        <v>45841</v>
      </c>
      <c r="G11" s="2">
        <v>45847</v>
      </c>
      <c r="H11" s="2">
        <v>45848</v>
      </c>
      <c r="I11" s="9">
        <f t="shared" si="0"/>
        <v>0</v>
      </c>
      <c r="J11" t="s">
        <v>15</v>
      </c>
      <c r="K11">
        <v>3254.04</v>
      </c>
      <c r="L11">
        <f t="shared" si="1"/>
        <v>1</v>
      </c>
    </row>
    <row r="12" spans="1:12" x14ac:dyDescent="0.3">
      <c r="A12" t="s">
        <v>34</v>
      </c>
      <c r="B12" t="s">
        <v>17</v>
      </c>
      <c r="C12" t="s">
        <v>35</v>
      </c>
      <c r="D12">
        <v>350</v>
      </c>
      <c r="E12">
        <v>3.31</v>
      </c>
      <c r="F12" s="2">
        <v>45851</v>
      </c>
      <c r="G12" s="2">
        <v>45855</v>
      </c>
      <c r="H12" s="2">
        <v>45856</v>
      </c>
      <c r="I12" s="9">
        <f t="shared" si="0"/>
        <v>0</v>
      </c>
      <c r="J12" t="s">
        <v>15</v>
      </c>
      <c r="K12">
        <v>1158.5</v>
      </c>
      <c r="L12">
        <f t="shared" si="1"/>
        <v>1</v>
      </c>
    </row>
    <row r="13" spans="1:12" x14ac:dyDescent="0.3">
      <c r="A13" t="s">
        <v>36</v>
      </c>
      <c r="B13" t="s">
        <v>24</v>
      </c>
      <c r="C13" t="s">
        <v>14</v>
      </c>
      <c r="D13">
        <v>334</v>
      </c>
      <c r="E13">
        <v>8.57</v>
      </c>
      <c r="F13" s="2">
        <v>45849</v>
      </c>
      <c r="G13" s="2">
        <v>45854</v>
      </c>
      <c r="H13" s="2">
        <v>45856</v>
      </c>
      <c r="I13" s="9">
        <f t="shared" si="0"/>
        <v>0</v>
      </c>
      <c r="J13" t="s">
        <v>29</v>
      </c>
      <c r="K13">
        <v>2862.38</v>
      </c>
      <c r="L13">
        <f t="shared" si="1"/>
        <v>2</v>
      </c>
    </row>
    <row r="14" spans="1:12" x14ac:dyDescent="0.3">
      <c r="A14" t="s">
        <v>37</v>
      </c>
      <c r="B14" t="s">
        <v>13</v>
      </c>
      <c r="C14" t="s">
        <v>31</v>
      </c>
      <c r="D14">
        <v>680</v>
      </c>
      <c r="E14">
        <v>9.01</v>
      </c>
      <c r="F14" s="2">
        <v>45849</v>
      </c>
      <c r="G14" s="2">
        <v>45852</v>
      </c>
      <c r="H14" s="2">
        <v>45851</v>
      </c>
      <c r="I14" s="9">
        <f t="shared" si="0"/>
        <v>1</v>
      </c>
      <c r="J14" t="s">
        <v>15</v>
      </c>
      <c r="K14">
        <v>6126.8</v>
      </c>
      <c r="L14">
        <f t="shared" si="1"/>
        <v>-1</v>
      </c>
    </row>
    <row r="15" spans="1:12" x14ac:dyDescent="0.3">
      <c r="A15" t="s">
        <v>38</v>
      </c>
      <c r="B15" t="s">
        <v>27</v>
      </c>
      <c r="C15" t="s">
        <v>35</v>
      </c>
      <c r="D15">
        <v>569</v>
      </c>
      <c r="E15">
        <v>3.14</v>
      </c>
      <c r="F15" s="2">
        <v>45843</v>
      </c>
      <c r="G15" s="2">
        <v>45846</v>
      </c>
      <c r="H15" s="2">
        <v>45848</v>
      </c>
      <c r="I15" s="9">
        <f t="shared" si="0"/>
        <v>0</v>
      </c>
      <c r="J15" t="s">
        <v>29</v>
      </c>
      <c r="K15">
        <v>1786.66</v>
      </c>
      <c r="L15">
        <f t="shared" si="1"/>
        <v>2</v>
      </c>
    </row>
    <row r="16" spans="1:12" x14ac:dyDescent="0.3">
      <c r="A16" t="s">
        <v>39</v>
      </c>
      <c r="B16" t="s">
        <v>17</v>
      </c>
      <c r="C16" t="s">
        <v>22</v>
      </c>
      <c r="D16">
        <v>697</v>
      </c>
      <c r="E16">
        <v>5.2</v>
      </c>
      <c r="F16" s="2">
        <v>45846</v>
      </c>
      <c r="G16" s="2">
        <v>45849</v>
      </c>
      <c r="H16" s="2">
        <v>45848</v>
      </c>
      <c r="I16" s="9">
        <f t="shared" si="0"/>
        <v>1</v>
      </c>
      <c r="J16" t="s">
        <v>15</v>
      </c>
      <c r="K16">
        <v>3624.4</v>
      </c>
      <c r="L16">
        <f t="shared" si="1"/>
        <v>-1</v>
      </c>
    </row>
    <row r="17" spans="1:12" x14ac:dyDescent="0.3">
      <c r="A17" t="s">
        <v>40</v>
      </c>
      <c r="B17" t="s">
        <v>13</v>
      </c>
      <c r="C17" t="s">
        <v>14</v>
      </c>
      <c r="D17">
        <v>981</v>
      </c>
      <c r="E17">
        <v>2.88</v>
      </c>
      <c r="F17" s="2">
        <v>45844</v>
      </c>
      <c r="G17" s="2">
        <v>45851</v>
      </c>
      <c r="H17" s="2">
        <v>45850</v>
      </c>
      <c r="I17" s="9">
        <f t="shared" si="0"/>
        <v>1</v>
      </c>
      <c r="J17" t="s">
        <v>15</v>
      </c>
      <c r="K17">
        <v>2825.28</v>
      </c>
      <c r="L17">
        <f t="shared" si="1"/>
        <v>-1</v>
      </c>
    </row>
    <row r="18" spans="1:12" x14ac:dyDescent="0.3">
      <c r="A18" t="s">
        <v>41</v>
      </c>
      <c r="B18" t="s">
        <v>17</v>
      </c>
      <c r="C18" t="s">
        <v>14</v>
      </c>
      <c r="D18">
        <v>494</v>
      </c>
      <c r="E18">
        <v>5.05</v>
      </c>
      <c r="F18" s="2">
        <v>45853</v>
      </c>
      <c r="G18" s="2">
        <v>45859</v>
      </c>
      <c r="H18" s="2">
        <v>45861</v>
      </c>
      <c r="I18" s="9">
        <f t="shared" si="0"/>
        <v>0</v>
      </c>
      <c r="J18" t="s">
        <v>29</v>
      </c>
      <c r="K18">
        <v>2494.6999999999998</v>
      </c>
      <c r="L18">
        <f t="shared" si="1"/>
        <v>2</v>
      </c>
    </row>
    <row r="19" spans="1:12" x14ac:dyDescent="0.3">
      <c r="A19" t="s">
        <v>42</v>
      </c>
      <c r="B19" t="s">
        <v>17</v>
      </c>
      <c r="C19" t="s">
        <v>14</v>
      </c>
      <c r="D19">
        <v>796</v>
      </c>
      <c r="E19">
        <v>7.77</v>
      </c>
      <c r="F19" s="2">
        <v>45847</v>
      </c>
      <c r="G19" s="2">
        <v>45854</v>
      </c>
      <c r="H19" s="2">
        <v>45856</v>
      </c>
      <c r="I19" s="9">
        <f t="shared" si="0"/>
        <v>0</v>
      </c>
      <c r="J19" t="s">
        <v>29</v>
      </c>
      <c r="K19">
        <v>6184.92</v>
      </c>
      <c r="L19">
        <f t="shared" si="1"/>
        <v>2</v>
      </c>
    </row>
    <row r="20" spans="1:12" x14ac:dyDescent="0.3">
      <c r="A20" t="s">
        <v>43</v>
      </c>
      <c r="B20" t="s">
        <v>13</v>
      </c>
      <c r="C20" t="s">
        <v>25</v>
      </c>
      <c r="D20">
        <v>545</v>
      </c>
      <c r="E20">
        <v>3.27</v>
      </c>
      <c r="F20" s="2">
        <v>45839</v>
      </c>
      <c r="G20" s="2">
        <v>45846</v>
      </c>
      <c r="H20" s="2">
        <v>45848</v>
      </c>
      <c r="I20" s="9">
        <f t="shared" si="0"/>
        <v>0</v>
      </c>
      <c r="J20" t="s">
        <v>29</v>
      </c>
      <c r="K20">
        <v>1782.15</v>
      </c>
      <c r="L20">
        <f t="shared" si="1"/>
        <v>2</v>
      </c>
    </row>
    <row r="21" spans="1:12" x14ac:dyDescent="0.3">
      <c r="A21" t="s">
        <v>44</v>
      </c>
      <c r="B21" t="s">
        <v>17</v>
      </c>
      <c r="C21" t="s">
        <v>31</v>
      </c>
      <c r="D21">
        <v>619</v>
      </c>
      <c r="E21">
        <v>9.3000000000000007</v>
      </c>
      <c r="F21" s="2">
        <v>45848</v>
      </c>
      <c r="G21" s="2">
        <v>45855</v>
      </c>
      <c r="H21" s="2">
        <v>45856</v>
      </c>
      <c r="I21" s="9">
        <f t="shared" si="0"/>
        <v>0</v>
      </c>
      <c r="J21" t="s">
        <v>15</v>
      </c>
      <c r="K21">
        <v>5756.7</v>
      </c>
      <c r="L21">
        <f t="shared" si="1"/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AC66-0843-423A-A840-6881A81138FF}">
  <dimension ref="A3:H9"/>
  <sheetViews>
    <sheetView topLeftCell="C1" workbookViewId="0">
      <selection activeCell="D18" sqref="D18"/>
    </sheetView>
  </sheetViews>
  <sheetFormatPr defaultRowHeight="14.4" x14ac:dyDescent="0.3"/>
  <cols>
    <col min="1" max="1" width="14.33203125" bestFit="1" customWidth="1"/>
    <col min="2" max="2" width="18.6640625" bestFit="1" customWidth="1"/>
    <col min="3" max="3" width="19.33203125" bestFit="1" customWidth="1"/>
    <col min="4" max="4" width="10.44140625" style="16" bestFit="1" customWidth="1"/>
    <col min="7" max="7" width="11.109375" customWidth="1"/>
  </cols>
  <sheetData>
    <row r="3" spans="1:8" x14ac:dyDescent="0.3">
      <c r="A3" s="14" t="s">
        <v>1</v>
      </c>
      <c r="B3" t="s">
        <v>104</v>
      </c>
      <c r="C3" t="s">
        <v>105</v>
      </c>
      <c r="D3" s="17" t="s">
        <v>106</v>
      </c>
      <c r="G3" s="18"/>
      <c r="H3" s="17"/>
    </row>
    <row r="4" spans="1:8" x14ac:dyDescent="0.3">
      <c r="A4" t="s">
        <v>13</v>
      </c>
      <c r="B4" s="15">
        <v>1</v>
      </c>
      <c r="C4" s="15">
        <v>1</v>
      </c>
      <c r="D4" s="16">
        <f>B4/C4</f>
        <v>1</v>
      </c>
      <c r="H4" s="16"/>
    </row>
    <row r="5" spans="1:8" x14ac:dyDescent="0.3">
      <c r="A5" t="s">
        <v>19</v>
      </c>
      <c r="B5" s="15">
        <v>1</v>
      </c>
      <c r="C5" s="15">
        <v>1</v>
      </c>
      <c r="D5" s="16">
        <f t="shared" ref="D5:D8" si="0">B5/C5</f>
        <v>1</v>
      </c>
      <c r="H5" s="16"/>
    </row>
    <row r="6" spans="1:8" x14ac:dyDescent="0.3">
      <c r="A6" t="s">
        <v>24</v>
      </c>
      <c r="B6" s="15">
        <v>1</v>
      </c>
      <c r="C6" s="15">
        <v>1</v>
      </c>
      <c r="D6" s="16">
        <f t="shared" si="0"/>
        <v>1</v>
      </c>
      <c r="H6" s="16"/>
    </row>
    <row r="7" spans="1:8" x14ac:dyDescent="0.3">
      <c r="A7" t="s">
        <v>27</v>
      </c>
      <c r="B7" s="15">
        <v>1</v>
      </c>
      <c r="C7" s="15">
        <v>1</v>
      </c>
      <c r="D7" s="16">
        <f t="shared" si="0"/>
        <v>1</v>
      </c>
      <c r="H7" s="16"/>
    </row>
    <row r="8" spans="1:8" x14ac:dyDescent="0.3">
      <c r="A8" t="s">
        <v>17</v>
      </c>
      <c r="B8" s="15">
        <v>1</v>
      </c>
      <c r="C8" s="15">
        <v>1</v>
      </c>
      <c r="D8" s="16">
        <f t="shared" si="0"/>
        <v>1</v>
      </c>
      <c r="H8" s="16"/>
    </row>
    <row r="9" spans="1:8" x14ac:dyDescent="0.3">
      <c r="A9" t="s">
        <v>107</v>
      </c>
      <c r="B9" s="15">
        <v>5</v>
      </c>
      <c r="C9" s="15">
        <v>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292D-BB99-4259-8CAF-37CF8A010A78}">
  <dimension ref="A3:B9"/>
  <sheetViews>
    <sheetView workbookViewId="0">
      <selection activeCell="H12" sqref="H12"/>
    </sheetView>
  </sheetViews>
  <sheetFormatPr defaultRowHeight="14.4" x14ac:dyDescent="0.3"/>
  <cols>
    <col min="1" max="1" width="14.33203125" bestFit="1" customWidth="1"/>
    <col min="2" max="2" width="19.6640625" bestFit="1" customWidth="1"/>
  </cols>
  <sheetData>
    <row r="3" spans="1:2" x14ac:dyDescent="0.3">
      <c r="A3" s="14" t="s">
        <v>1</v>
      </c>
      <c r="B3" t="s">
        <v>108</v>
      </c>
    </row>
    <row r="4" spans="1:2" x14ac:dyDescent="0.3">
      <c r="A4" t="s">
        <v>13</v>
      </c>
      <c r="B4" s="15">
        <v>0</v>
      </c>
    </row>
    <row r="5" spans="1:2" x14ac:dyDescent="0.3">
      <c r="A5" t="s">
        <v>19</v>
      </c>
      <c r="B5" s="15">
        <v>0</v>
      </c>
    </row>
    <row r="6" spans="1:2" x14ac:dyDescent="0.3">
      <c r="A6" t="s">
        <v>24</v>
      </c>
      <c r="B6" s="15">
        <v>1</v>
      </c>
    </row>
    <row r="7" spans="1:2" x14ac:dyDescent="0.3">
      <c r="A7" t="s">
        <v>27</v>
      </c>
      <c r="B7" s="15">
        <v>0.5</v>
      </c>
    </row>
    <row r="8" spans="1:2" x14ac:dyDescent="0.3">
      <c r="A8" t="s">
        <v>17</v>
      </c>
      <c r="B8" s="15">
        <v>1</v>
      </c>
    </row>
    <row r="9" spans="1:2" x14ac:dyDescent="0.3">
      <c r="A9" t="s">
        <v>107</v>
      </c>
      <c r="B9" s="15">
        <v>0.5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DD30-8F9F-47C1-BCCB-34BF23ED1BCC}">
  <dimension ref="A1:G6"/>
  <sheetViews>
    <sheetView workbookViewId="0">
      <selection activeCell="G16" sqref="G16"/>
    </sheetView>
  </sheetViews>
  <sheetFormatPr defaultRowHeight="14.4" x14ac:dyDescent="0.3"/>
  <cols>
    <col min="1" max="1" width="11" bestFit="1" customWidth="1"/>
    <col min="3" max="3" width="10.44140625" style="11" bestFit="1" customWidth="1"/>
    <col min="4" max="4" width="15.44140625" bestFit="1" customWidth="1"/>
    <col min="5" max="5" width="13.88671875" style="5" bestFit="1" customWidth="1"/>
    <col min="6" max="6" width="13.88671875" bestFit="1" customWidth="1"/>
    <col min="7" max="7" width="17.44140625" bestFit="1" customWidth="1"/>
  </cols>
  <sheetData>
    <row r="1" spans="1:7" s="3" customFormat="1" x14ac:dyDescent="0.3">
      <c r="A1" s="3" t="s">
        <v>1</v>
      </c>
      <c r="B1" s="3" t="s">
        <v>109</v>
      </c>
      <c r="C1" s="10" t="s">
        <v>110</v>
      </c>
      <c r="D1" s="3" t="s">
        <v>111</v>
      </c>
      <c r="E1" s="4" t="s">
        <v>112</v>
      </c>
      <c r="F1" s="3" t="s">
        <v>113</v>
      </c>
      <c r="G1" s="3" t="s">
        <v>114</v>
      </c>
    </row>
    <row r="2" spans="1:7" x14ac:dyDescent="0.3">
      <c r="A2" t="s">
        <v>13</v>
      </c>
      <c r="B2">
        <f>COUNTIFS(Purchase_Orders!B:B,A2)</f>
        <v>4</v>
      </c>
      <c r="C2" s="11">
        <f>AVERAGEIFS(Purchase_Orders!I:I,Purchase_Orders!B:B,'Supplier_Performance KPI'!A2)</f>
        <v>0.75</v>
      </c>
      <c r="D2">
        <f>AVERAGEIFS(Purchase_Orders!L:L,Purchase_Orders!B:B,'Supplier_Performance KPI'!A2)</f>
        <v>0</v>
      </c>
      <c r="E2" s="5">
        <f>SUMIFS(Purchase_Orders!K:K, Purchase_Orders!B:B,'Supplier_Performance KPI'!A2)</f>
        <v>14342.03</v>
      </c>
      <c r="F2" s="5">
        <f>E2/B2</f>
        <v>3585.5075000000002</v>
      </c>
      <c r="G2" t="str">
        <f>IF(AND(C2&gt;=70%, D2=0), "Low", IF(AND(C2&gt;=40%,C2&lt;70%,D2&lt;=0.5),"Medium","High"))</f>
        <v>Low</v>
      </c>
    </row>
    <row r="3" spans="1:7" x14ac:dyDescent="0.3">
      <c r="A3" t="s">
        <v>19</v>
      </c>
      <c r="B3">
        <f>COUNTIFS(Purchase_Orders!B:B,A3)</f>
        <v>3</v>
      </c>
      <c r="C3" s="11">
        <f>AVERAGEIFS(Purchase_Orders!I:I,Purchase_Orders!B:B,'Supplier_Performance KPI'!A3)</f>
        <v>0.66666666666666663</v>
      </c>
      <c r="D3">
        <f>AVERAGEIFS(Purchase_Orders!L:L,Purchase_Orders!B:B,'Supplier_Performance KPI'!A3)</f>
        <v>0</v>
      </c>
      <c r="E3" s="5">
        <f>SUMIFS(Purchase_Orders!K:K, Purchase_Orders!B:B,'Supplier_Performance KPI'!A3)</f>
        <v>6619.63</v>
      </c>
      <c r="F3" s="5">
        <f t="shared" ref="F3:F6" si="0">E3/B3</f>
        <v>2206.5433333333335</v>
      </c>
      <c r="G3" t="str">
        <f t="shared" ref="G3:G6" si="1">IF(AND(C3&gt;=70%, D3=0), "Low", IF(AND(C3&gt;=40%,C3&lt;70%,D3&lt;=0.5),"Medium","High"))</f>
        <v>Medium</v>
      </c>
    </row>
    <row r="4" spans="1:7" x14ac:dyDescent="0.3">
      <c r="A4" t="s">
        <v>24</v>
      </c>
      <c r="B4">
        <f>COUNTIFS(Purchase_Orders!B:B,A4)</f>
        <v>3</v>
      </c>
      <c r="C4" s="11">
        <f>AVERAGEIFS(Purchase_Orders!I:I,Purchase_Orders!B:B,'Supplier_Performance KPI'!A4)</f>
        <v>0.33333333333333331</v>
      </c>
      <c r="D4">
        <f>AVERAGEIFS(Purchase_Orders!L:L,Purchase_Orders!B:B,'Supplier_Performance KPI'!A4)</f>
        <v>1</v>
      </c>
      <c r="E4" s="5">
        <f>SUMIFS(Purchase_Orders!K:K, Purchase_Orders!B:B,'Supplier_Performance KPI'!A4)</f>
        <v>7079.9000000000005</v>
      </c>
      <c r="F4" s="5">
        <f t="shared" si="0"/>
        <v>2359.9666666666667</v>
      </c>
      <c r="G4" t="str">
        <f t="shared" si="1"/>
        <v>High</v>
      </c>
    </row>
    <row r="5" spans="1:7" x14ac:dyDescent="0.3">
      <c r="A5" t="s">
        <v>27</v>
      </c>
      <c r="B5">
        <f>COUNTIFS(Purchase_Orders!B:B,A5)</f>
        <v>2</v>
      </c>
      <c r="C5" s="11">
        <f>AVERAGEIFS(Purchase_Orders!I:I,Purchase_Orders!B:B,'Supplier_Performance KPI'!A5)</f>
        <v>0.5</v>
      </c>
      <c r="D5">
        <f>AVERAGEIFS(Purchase_Orders!L:L,Purchase_Orders!B:B,'Supplier_Performance KPI'!A5)</f>
        <v>0.5</v>
      </c>
      <c r="E5" s="5">
        <f>SUMIFS(Purchase_Orders!K:K, Purchase_Orders!B:B,'Supplier_Performance KPI'!A5)</f>
        <v>5886.92</v>
      </c>
      <c r="F5" s="5">
        <f t="shared" si="0"/>
        <v>2943.46</v>
      </c>
      <c r="G5" t="str">
        <f t="shared" si="1"/>
        <v>Medium</v>
      </c>
    </row>
    <row r="6" spans="1:7" x14ac:dyDescent="0.3">
      <c r="A6" t="s">
        <v>17</v>
      </c>
      <c r="B6">
        <f>COUNTIFS(Purchase_Orders!B:B,A6)</f>
        <v>8</v>
      </c>
      <c r="C6" s="11">
        <f>AVERAGEIFS(Purchase_Orders!I:I,Purchase_Orders!B:B,'Supplier_Performance KPI'!A6)</f>
        <v>0.25</v>
      </c>
      <c r="D6">
        <f>AVERAGEIFS(Purchase_Orders!L:L,Purchase_Orders!B:B,'Supplier_Performance KPI'!A6)</f>
        <v>1</v>
      </c>
      <c r="E6" s="5">
        <f>SUMIFS(Purchase_Orders!K:K, Purchase_Orders!B:B,'Supplier_Performance KPI'!A6)</f>
        <v>26389.31</v>
      </c>
      <c r="F6" s="5">
        <f t="shared" si="0"/>
        <v>3298.6637500000002</v>
      </c>
      <c r="G6" t="str">
        <f t="shared" si="1"/>
        <v>High</v>
      </c>
    </row>
  </sheetData>
  <conditionalFormatting sqref="C2:C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6">
    <cfRule type="cellIs" dxfId="3" priority="7" operator="greaterThan">
      <formula>26000</formula>
    </cfRule>
  </conditionalFormatting>
  <conditionalFormatting sqref="G2:G6">
    <cfRule type="containsText" dxfId="2" priority="1" operator="containsText" text="High">
      <formula>NOT(ISERROR(SEARCH("High",G2)))</formula>
    </cfRule>
    <cfRule type="containsText" dxfId="1" priority="2" operator="containsText" text="Medium">
      <formula>NOT(ISERROR(SEARCH("Medium",G2)))</formula>
    </cfRule>
    <cfRule type="containsText" dxfId="0" priority="3" operator="containsText" text="Low">
      <formula>NOT(ISERROR(SEARCH("Low",G2)))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576B-53E7-4E20-9C52-A60DE7126DA4}">
  <dimension ref="A1"/>
  <sheetViews>
    <sheetView tabSelected="1" topLeftCell="A8" workbookViewId="0">
      <selection activeCell="S11" sqref="S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29D4-F793-47E4-8EAC-8688C06CDBCC}">
  <dimension ref="A1:I7"/>
  <sheetViews>
    <sheetView workbookViewId="0">
      <selection activeCell="E2" sqref="E2"/>
    </sheetView>
  </sheetViews>
  <sheetFormatPr defaultRowHeight="14.4" x14ac:dyDescent="0.3"/>
  <cols>
    <col min="1" max="1" width="11" bestFit="1" customWidth="1"/>
    <col min="2" max="2" width="13.33203125" style="5" customWidth="1"/>
    <col min="5" max="5" width="13.5546875" style="5" customWidth="1"/>
    <col min="8" max="8" width="12.6640625" bestFit="1" customWidth="1"/>
    <col min="9" max="9" width="17.109375" style="6" bestFit="1" customWidth="1"/>
  </cols>
  <sheetData>
    <row r="1" spans="1:9" s="3" customFormat="1" x14ac:dyDescent="0.3">
      <c r="A1" s="3" t="s">
        <v>1</v>
      </c>
      <c r="B1" s="4" t="s">
        <v>45</v>
      </c>
      <c r="D1" s="3" t="s">
        <v>2</v>
      </c>
      <c r="E1" s="4" t="s">
        <v>46</v>
      </c>
      <c r="H1" s="3" t="s">
        <v>47</v>
      </c>
      <c r="I1" s="7" t="s">
        <v>48</v>
      </c>
    </row>
    <row r="2" spans="1:9" x14ac:dyDescent="0.3">
      <c r="A2" t="s">
        <v>13</v>
      </c>
      <c r="B2" s="5">
        <f>SUMIFS(Purchase_Orders!K:K,Purchase_Orders!B:B,A2)</f>
        <v>14342.03</v>
      </c>
      <c r="D2" t="s">
        <v>14</v>
      </c>
      <c r="E2" s="5">
        <f>SUMIFS(Purchase_Orders!K:K,Purchase_Orders!C:C,D2)</f>
        <v>29207.25</v>
      </c>
      <c r="H2" t="s">
        <v>14</v>
      </c>
      <c r="I2" s="6">
        <f>AVERAGEIFS(Material_Cost_History!F:F,Material_Cost_History!A:A,H2)</f>
        <v>9.6336652369540775E-3</v>
      </c>
    </row>
    <row r="3" spans="1:9" x14ac:dyDescent="0.3">
      <c r="A3" t="s">
        <v>19</v>
      </c>
      <c r="B3" s="5">
        <f>SUMIFS(Purchase_Orders!K:K,Purchase_Orders!B:B,A3)</f>
        <v>6619.63</v>
      </c>
      <c r="D3" t="s">
        <v>31</v>
      </c>
      <c r="E3" s="5">
        <f>SUMIFS(Purchase_Orders!K:K,Purchase_Orders!C:C,D3)</f>
        <v>17239.3</v>
      </c>
      <c r="H3" t="s">
        <v>31</v>
      </c>
      <c r="I3" s="6">
        <f>AVERAGEIFS(Material_Cost_History!F:F,Material_Cost_History!A:A,H3)</f>
        <v>7.5121649336442914E-2</v>
      </c>
    </row>
    <row r="4" spans="1:9" x14ac:dyDescent="0.3">
      <c r="A4" t="s">
        <v>24</v>
      </c>
      <c r="B4" s="5">
        <f>SUMIFS(Purchase_Orders!K:K,Purchase_Orders!B:B,A4)</f>
        <v>7079.9000000000005</v>
      </c>
      <c r="D4" t="s">
        <v>25</v>
      </c>
      <c r="E4" s="5">
        <f>SUMIFS(Purchase_Orders!K:K,Purchase_Orders!C:C,D4)</f>
        <v>2745.63</v>
      </c>
      <c r="H4" t="s">
        <v>25</v>
      </c>
      <c r="I4" s="6">
        <f>AVERAGEIFS(Material_Cost_History!F:F,Material_Cost_History!A:A,H4)</f>
        <v>5.7694625820707092E-2</v>
      </c>
    </row>
    <row r="5" spans="1:9" x14ac:dyDescent="0.3">
      <c r="A5" t="s">
        <v>27</v>
      </c>
      <c r="B5" s="5">
        <f>SUMIFS(Purchase_Orders!K:K,Purchase_Orders!B:B,A5)</f>
        <v>5886.92</v>
      </c>
      <c r="D5" t="s">
        <v>22</v>
      </c>
      <c r="E5" s="5">
        <f>SUMIFS(Purchase_Orders!K:K,Purchase_Orders!C:C,D5)</f>
        <v>6598.09</v>
      </c>
      <c r="H5" t="s">
        <v>22</v>
      </c>
      <c r="I5" s="6">
        <f>AVERAGEIFS(Material_Cost_History!F:F,Material_Cost_History!A:A,H5)</f>
        <v>6.1881584380851513E-2</v>
      </c>
    </row>
    <row r="6" spans="1:9" x14ac:dyDescent="0.3">
      <c r="A6" t="s">
        <v>17</v>
      </c>
      <c r="B6" s="5">
        <f>SUMIFS(Purchase_Orders!K:K,Purchase_Orders!B:B,A6)</f>
        <v>26389.31</v>
      </c>
      <c r="D6" t="s">
        <v>20</v>
      </c>
      <c r="E6" s="5">
        <f>SUMIFS(Purchase_Orders!K:K,Purchase_Orders!C:C,D6)</f>
        <v>1582.36</v>
      </c>
      <c r="H6" t="s">
        <v>20</v>
      </c>
      <c r="I6" s="6">
        <f>AVERAGEIFS(Material_Cost_History!F:F,Material_Cost_History!A:A,H6)</f>
        <v>2.2386552877504906E-2</v>
      </c>
    </row>
    <row r="7" spans="1:9" x14ac:dyDescent="0.3">
      <c r="D7" t="s">
        <v>35</v>
      </c>
      <c r="E7" s="5">
        <f>SUMIFS(Purchase_Orders!K:K,Purchase_Orders!C:C,D7)</f>
        <v>2945.16</v>
      </c>
      <c r="H7" t="s">
        <v>35</v>
      </c>
      <c r="I7" s="6">
        <f>AVERAGEIFS(Material_Cost_History!F:F,Material_Cost_History!A:A,H7)</f>
        <v>6.659421172357112E-2</v>
      </c>
    </row>
  </sheetData>
  <conditionalFormatting sqref="B2:B6 E2:E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{02E2D5F8-1DD5-4F38-A052-135A428EE07B}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{26DE3A0C-9814-4F07-A817-A6CB1CAED1CF}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E2D5F8-1DD5-4F38-A052-135A428EE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DE3A0C-9814-4F07-A817-A6CB1CAED1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B2:B6 E2:E7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opLeftCell="D1" workbookViewId="0">
      <selection activeCell="F12" sqref="F12"/>
    </sheetView>
  </sheetViews>
  <sheetFormatPr defaultRowHeight="14.4" x14ac:dyDescent="0.3"/>
  <cols>
    <col min="1" max="1" width="12.5546875" customWidth="1"/>
    <col min="2" max="2" width="15.109375" customWidth="1"/>
    <col min="3" max="3" width="11.6640625" customWidth="1"/>
    <col min="4" max="4" width="16.33203125" customWidth="1"/>
    <col min="5" max="5" width="19.6640625" style="27" customWidth="1"/>
    <col min="6" max="6" width="14.5546875" customWidth="1"/>
    <col min="7" max="7" width="11.33203125" customWidth="1"/>
  </cols>
  <sheetData>
    <row r="1" spans="1:7" x14ac:dyDescent="0.3">
      <c r="A1" s="1" t="s">
        <v>1</v>
      </c>
      <c r="B1" s="1" t="s">
        <v>49</v>
      </c>
      <c r="C1" s="1" t="s">
        <v>50</v>
      </c>
      <c r="D1" s="1" t="s">
        <v>51</v>
      </c>
      <c r="E1" s="26" t="s">
        <v>52</v>
      </c>
      <c r="F1" s="1" t="s">
        <v>53</v>
      </c>
      <c r="G1" s="1" t="s">
        <v>54</v>
      </c>
    </row>
    <row r="2" spans="1:7" x14ac:dyDescent="0.3">
      <c r="A2" t="s">
        <v>13</v>
      </c>
      <c r="B2" t="s">
        <v>55</v>
      </c>
      <c r="C2" t="s">
        <v>56</v>
      </c>
      <c r="D2">
        <v>4</v>
      </c>
      <c r="E2" s="25">
        <v>0.85</v>
      </c>
      <c r="F2">
        <v>4.3</v>
      </c>
      <c r="G2" t="s">
        <v>57</v>
      </c>
    </row>
    <row r="3" spans="1:7" x14ac:dyDescent="0.3">
      <c r="A3" t="s">
        <v>19</v>
      </c>
      <c r="B3" t="s">
        <v>58</v>
      </c>
      <c r="C3" t="s">
        <v>56</v>
      </c>
      <c r="D3">
        <v>6</v>
      </c>
      <c r="E3" s="25">
        <v>0.9</v>
      </c>
      <c r="F3">
        <v>4.2</v>
      </c>
      <c r="G3" t="s">
        <v>59</v>
      </c>
    </row>
    <row r="4" spans="1:7" x14ac:dyDescent="0.3">
      <c r="A4" t="s">
        <v>24</v>
      </c>
      <c r="B4" t="s">
        <v>60</v>
      </c>
      <c r="C4" t="s">
        <v>56</v>
      </c>
      <c r="D4">
        <v>4</v>
      </c>
      <c r="E4" s="25">
        <v>0.87</v>
      </c>
      <c r="F4">
        <v>3.6</v>
      </c>
      <c r="G4" t="s">
        <v>57</v>
      </c>
    </row>
    <row r="5" spans="1:7" x14ac:dyDescent="0.3">
      <c r="A5" t="s">
        <v>27</v>
      </c>
      <c r="B5" t="s">
        <v>58</v>
      </c>
      <c r="C5" t="s">
        <v>56</v>
      </c>
      <c r="D5">
        <v>2</v>
      </c>
      <c r="E5" s="25">
        <v>0.95</v>
      </c>
      <c r="F5">
        <v>4.7</v>
      </c>
      <c r="G5" t="s">
        <v>57</v>
      </c>
    </row>
    <row r="6" spans="1:7" x14ac:dyDescent="0.3">
      <c r="A6" t="s">
        <v>17</v>
      </c>
      <c r="B6" t="s">
        <v>55</v>
      </c>
      <c r="C6" t="s">
        <v>56</v>
      </c>
      <c r="D6">
        <v>3</v>
      </c>
      <c r="E6" s="25">
        <v>0.95</v>
      </c>
      <c r="F6">
        <v>4.9000000000000004</v>
      </c>
      <c r="G6" t="s">
        <v>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E3" sqref="E3"/>
    </sheetView>
  </sheetViews>
  <sheetFormatPr defaultRowHeight="14.4" x14ac:dyDescent="0.3"/>
  <cols>
    <col min="2" max="2" width="12.109375" customWidth="1"/>
    <col min="3" max="3" width="11" customWidth="1"/>
    <col min="4" max="4" width="19.44140625" customWidth="1"/>
    <col min="5" max="5" width="17.109375" customWidth="1"/>
    <col min="6" max="6" width="19" customWidth="1"/>
    <col min="7" max="7" width="14.6640625" customWidth="1"/>
    <col min="8" max="8" width="12" customWidth="1"/>
  </cols>
  <sheetData>
    <row r="1" spans="1:8" x14ac:dyDescent="0.3">
      <c r="A1" s="1" t="s">
        <v>61</v>
      </c>
      <c r="B1" s="1" t="s">
        <v>1</v>
      </c>
      <c r="C1" s="1" t="s">
        <v>2</v>
      </c>
      <c r="D1" s="1" t="s">
        <v>62</v>
      </c>
      <c r="E1" s="1" t="s">
        <v>51</v>
      </c>
      <c r="F1" s="1" t="s">
        <v>63</v>
      </c>
      <c r="G1" s="1" t="s">
        <v>64</v>
      </c>
      <c r="H1" s="1" t="s">
        <v>65</v>
      </c>
    </row>
    <row r="2" spans="1:8" x14ac:dyDescent="0.3">
      <c r="A2" t="s">
        <v>66</v>
      </c>
      <c r="B2" t="s">
        <v>24</v>
      </c>
      <c r="C2" t="s">
        <v>20</v>
      </c>
      <c r="D2">
        <v>8.11</v>
      </c>
      <c r="E2">
        <v>6</v>
      </c>
      <c r="F2">
        <v>6</v>
      </c>
      <c r="G2" t="s">
        <v>59</v>
      </c>
      <c r="H2" t="s">
        <v>57</v>
      </c>
    </row>
    <row r="3" spans="1:8" x14ac:dyDescent="0.3">
      <c r="A3" t="s">
        <v>67</v>
      </c>
      <c r="B3" t="s">
        <v>24</v>
      </c>
      <c r="C3" t="s">
        <v>22</v>
      </c>
      <c r="D3">
        <v>8.9700000000000006</v>
      </c>
      <c r="E3">
        <v>8</v>
      </c>
      <c r="F3">
        <v>12</v>
      </c>
      <c r="G3" t="s">
        <v>57</v>
      </c>
      <c r="H3" t="s">
        <v>57</v>
      </c>
    </row>
    <row r="4" spans="1:8" x14ac:dyDescent="0.3">
      <c r="A4" t="s">
        <v>68</v>
      </c>
      <c r="B4" t="s">
        <v>17</v>
      </c>
      <c r="C4" t="s">
        <v>22</v>
      </c>
      <c r="D4">
        <v>2.85</v>
      </c>
      <c r="E4">
        <v>4</v>
      </c>
      <c r="F4">
        <v>6</v>
      </c>
      <c r="G4" t="s">
        <v>57</v>
      </c>
      <c r="H4" t="s">
        <v>57</v>
      </c>
    </row>
    <row r="5" spans="1:8" x14ac:dyDescent="0.3">
      <c r="A5" t="s">
        <v>69</v>
      </c>
      <c r="B5" t="s">
        <v>13</v>
      </c>
      <c r="C5" t="s">
        <v>20</v>
      </c>
      <c r="D5">
        <v>5.88</v>
      </c>
      <c r="E5">
        <v>7</v>
      </c>
      <c r="F5">
        <v>6</v>
      </c>
      <c r="G5" t="s">
        <v>59</v>
      </c>
      <c r="H5" t="s">
        <v>59</v>
      </c>
    </row>
    <row r="6" spans="1:8" x14ac:dyDescent="0.3">
      <c r="A6" t="s">
        <v>70</v>
      </c>
      <c r="B6" t="s">
        <v>13</v>
      </c>
      <c r="C6" t="s">
        <v>35</v>
      </c>
      <c r="D6">
        <v>6.42</v>
      </c>
      <c r="E6">
        <v>4</v>
      </c>
      <c r="F6">
        <v>6</v>
      </c>
      <c r="G6" t="s">
        <v>59</v>
      </c>
      <c r="H6" t="s">
        <v>59</v>
      </c>
    </row>
    <row r="7" spans="1:8" x14ac:dyDescent="0.3">
      <c r="A7" t="s">
        <v>71</v>
      </c>
      <c r="B7" t="s">
        <v>24</v>
      </c>
      <c r="C7" t="s">
        <v>14</v>
      </c>
      <c r="D7">
        <v>5.6</v>
      </c>
      <c r="E7">
        <v>5</v>
      </c>
      <c r="F7">
        <v>18</v>
      </c>
      <c r="G7" t="s">
        <v>57</v>
      </c>
      <c r="H7" t="s">
        <v>57</v>
      </c>
    </row>
    <row r="8" spans="1:8" x14ac:dyDescent="0.3">
      <c r="A8" t="s">
        <v>72</v>
      </c>
      <c r="B8" t="s">
        <v>19</v>
      </c>
      <c r="C8" t="s">
        <v>20</v>
      </c>
      <c r="D8">
        <v>2.93</v>
      </c>
      <c r="E8">
        <v>7</v>
      </c>
      <c r="F8">
        <v>18</v>
      </c>
      <c r="G8" t="s">
        <v>57</v>
      </c>
      <c r="H8" t="s">
        <v>57</v>
      </c>
    </row>
    <row r="9" spans="1:8" x14ac:dyDescent="0.3">
      <c r="A9" t="s">
        <v>73</v>
      </c>
      <c r="B9" t="s">
        <v>19</v>
      </c>
      <c r="C9" t="s">
        <v>22</v>
      </c>
      <c r="D9">
        <v>7.65</v>
      </c>
      <c r="E9">
        <v>4</v>
      </c>
      <c r="F9">
        <v>6</v>
      </c>
      <c r="G9" t="s">
        <v>59</v>
      </c>
      <c r="H9" t="s">
        <v>57</v>
      </c>
    </row>
    <row r="10" spans="1:8" x14ac:dyDescent="0.3">
      <c r="A10" t="s">
        <v>74</v>
      </c>
      <c r="B10" t="s">
        <v>27</v>
      </c>
      <c r="C10" t="s">
        <v>25</v>
      </c>
      <c r="D10">
        <v>4.97</v>
      </c>
      <c r="E10">
        <v>6</v>
      </c>
      <c r="F10">
        <v>18</v>
      </c>
      <c r="G10" t="s">
        <v>59</v>
      </c>
      <c r="H10" t="s">
        <v>59</v>
      </c>
    </row>
    <row r="11" spans="1:8" x14ac:dyDescent="0.3">
      <c r="A11" t="s">
        <v>75</v>
      </c>
      <c r="B11" t="s">
        <v>13</v>
      </c>
      <c r="C11" t="s">
        <v>14</v>
      </c>
      <c r="D11">
        <v>4.82</v>
      </c>
      <c r="E11">
        <v>5</v>
      </c>
      <c r="F11">
        <v>6</v>
      </c>
      <c r="G11" t="s">
        <v>59</v>
      </c>
      <c r="H11" t="s">
        <v>59</v>
      </c>
    </row>
    <row r="12" spans="1:8" x14ac:dyDescent="0.3">
      <c r="A12" t="s">
        <v>76</v>
      </c>
      <c r="B12" t="s">
        <v>19</v>
      </c>
      <c r="C12" t="s">
        <v>31</v>
      </c>
      <c r="D12">
        <v>5.75</v>
      </c>
      <c r="E12">
        <v>4</v>
      </c>
      <c r="F12">
        <v>12</v>
      </c>
      <c r="G12" t="s">
        <v>59</v>
      </c>
      <c r="H12" t="s">
        <v>59</v>
      </c>
    </row>
    <row r="13" spans="1:8" x14ac:dyDescent="0.3">
      <c r="A13" t="s">
        <v>77</v>
      </c>
      <c r="B13" t="s">
        <v>24</v>
      </c>
      <c r="C13" t="s">
        <v>22</v>
      </c>
      <c r="D13">
        <v>3.75</v>
      </c>
      <c r="E13">
        <v>3</v>
      </c>
      <c r="F13">
        <v>12</v>
      </c>
      <c r="G13" t="s">
        <v>59</v>
      </c>
      <c r="H13" t="s">
        <v>59</v>
      </c>
    </row>
    <row r="14" spans="1:8" x14ac:dyDescent="0.3">
      <c r="A14" t="s">
        <v>78</v>
      </c>
      <c r="B14" t="s">
        <v>13</v>
      </c>
      <c r="C14" t="s">
        <v>35</v>
      </c>
      <c r="D14">
        <v>8.99</v>
      </c>
      <c r="E14">
        <v>3</v>
      </c>
      <c r="F14">
        <v>6</v>
      </c>
      <c r="G14" t="s">
        <v>59</v>
      </c>
      <c r="H14" t="s">
        <v>57</v>
      </c>
    </row>
    <row r="15" spans="1:8" x14ac:dyDescent="0.3">
      <c r="A15" t="s">
        <v>79</v>
      </c>
      <c r="B15" t="s">
        <v>19</v>
      </c>
      <c r="C15" t="s">
        <v>22</v>
      </c>
      <c r="D15">
        <v>5.4</v>
      </c>
      <c r="E15">
        <v>4</v>
      </c>
      <c r="F15">
        <v>12</v>
      </c>
      <c r="G15" t="s">
        <v>59</v>
      </c>
      <c r="H15" t="s">
        <v>59</v>
      </c>
    </row>
    <row r="16" spans="1:8" x14ac:dyDescent="0.3">
      <c r="A16" t="s">
        <v>80</v>
      </c>
      <c r="B16" t="s">
        <v>19</v>
      </c>
      <c r="C16" t="s">
        <v>22</v>
      </c>
      <c r="D16">
        <v>2.02</v>
      </c>
      <c r="E16">
        <v>6</v>
      </c>
      <c r="F16">
        <v>12</v>
      </c>
      <c r="G16" t="s">
        <v>57</v>
      </c>
      <c r="H16" t="s">
        <v>57</v>
      </c>
    </row>
    <row r="17" spans="1:8" x14ac:dyDescent="0.3">
      <c r="A17" t="s">
        <v>81</v>
      </c>
      <c r="B17" t="s">
        <v>24</v>
      </c>
      <c r="C17" t="s">
        <v>22</v>
      </c>
      <c r="D17">
        <v>6.88</v>
      </c>
      <c r="E17">
        <v>8</v>
      </c>
      <c r="F17">
        <v>18</v>
      </c>
      <c r="G17" t="s">
        <v>57</v>
      </c>
      <c r="H17" t="s">
        <v>57</v>
      </c>
    </row>
    <row r="18" spans="1:8" x14ac:dyDescent="0.3">
      <c r="A18" t="s">
        <v>82</v>
      </c>
      <c r="B18" t="s">
        <v>19</v>
      </c>
      <c r="C18" t="s">
        <v>31</v>
      </c>
      <c r="D18">
        <v>4.08</v>
      </c>
      <c r="E18">
        <v>3</v>
      </c>
      <c r="F18">
        <v>18</v>
      </c>
      <c r="G18" t="s">
        <v>59</v>
      </c>
      <c r="H18" t="s">
        <v>59</v>
      </c>
    </row>
    <row r="19" spans="1:8" x14ac:dyDescent="0.3">
      <c r="A19" t="s">
        <v>83</v>
      </c>
      <c r="B19" t="s">
        <v>24</v>
      </c>
      <c r="C19" t="s">
        <v>14</v>
      </c>
      <c r="D19">
        <v>2.35</v>
      </c>
      <c r="E19">
        <v>6</v>
      </c>
      <c r="F19">
        <v>18</v>
      </c>
      <c r="G19" t="s">
        <v>59</v>
      </c>
      <c r="H19" t="s">
        <v>59</v>
      </c>
    </row>
    <row r="20" spans="1:8" x14ac:dyDescent="0.3">
      <c r="A20" t="s">
        <v>84</v>
      </c>
      <c r="B20" t="s">
        <v>13</v>
      </c>
      <c r="C20" t="s">
        <v>20</v>
      </c>
      <c r="D20">
        <v>2.56</v>
      </c>
      <c r="E20">
        <v>4</v>
      </c>
      <c r="F20">
        <v>6</v>
      </c>
      <c r="G20" t="s">
        <v>59</v>
      </c>
      <c r="H20" t="s">
        <v>59</v>
      </c>
    </row>
    <row r="21" spans="1:8" x14ac:dyDescent="0.3">
      <c r="A21" t="s">
        <v>85</v>
      </c>
      <c r="B21" t="s">
        <v>19</v>
      </c>
      <c r="C21" t="s">
        <v>22</v>
      </c>
      <c r="D21">
        <v>2.84</v>
      </c>
      <c r="E21">
        <v>7</v>
      </c>
      <c r="F21">
        <v>6</v>
      </c>
      <c r="G21" t="s">
        <v>59</v>
      </c>
      <c r="H21" t="s">
        <v>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FD41-FAA1-4969-8995-E63395F650FF}">
  <dimension ref="A1:G4"/>
  <sheetViews>
    <sheetView workbookViewId="0">
      <selection activeCell="B3" sqref="B3"/>
    </sheetView>
  </sheetViews>
  <sheetFormatPr defaultRowHeight="14.4" x14ac:dyDescent="0.3"/>
  <cols>
    <col min="3" max="3" width="9.6640625" bestFit="1" customWidth="1"/>
    <col min="5" max="5" width="11.109375" bestFit="1" customWidth="1"/>
    <col min="6" max="6" width="7.88671875" customWidth="1"/>
    <col min="7" max="7" width="9" customWidth="1"/>
  </cols>
  <sheetData>
    <row r="1" spans="1:7" s="3" customFormat="1" x14ac:dyDescent="0.3">
      <c r="A1" s="3" t="s">
        <v>86</v>
      </c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65</v>
      </c>
    </row>
    <row r="2" spans="1:7" x14ac:dyDescent="0.3">
      <c r="A2" t="s">
        <v>19</v>
      </c>
      <c r="B2">
        <v>7.65</v>
      </c>
      <c r="C2">
        <v>4</v>
      </c>
      <c r="D2">
        <v>6</v>
      </c>
      <c r="E2" t="s">
        <v>59</v>
      </c>
      <c r="F2">
        <f>RANK(B2,$B$2:$B$4,1) + RANK(D2,$D$2:$D$4) + RANK(C2,$C$2:$C$4,1) + IF(E2="Yes",1,0)</f>
        <v>6</v>
      </c>
      <c r="G2" t="str">
        <f>IF(F2=MIN($F$2:$F$4),"Yes","No")</f>
        <v>No</v>
      </c>
    </row>
    <row r="3" spans="1:7" x14ac:dyDescent="0.3">
      <c r="A3" t="s">
        <v>24</v>
      </c>
      <c r="B3">
        <v>8.9700000000000006</v>
      </c>
      <c r="C3">
        <v>8</v>
      </c>
      <c r="D3">
        <v>12</v>
      </c>
      <c r="E3" t="s">
        <v>57</v>
      </c>
      <c r="F3">
        <f t="shared" ref="F3:F4" si="0">RANK(B3,$B$2:$B$4,1) + RANK(D3,$D$2:$D$4) + RANK(C3,$C$2:$C$4,1) + IF(E3="Yes",1,0)</f>
        <v>7</v>
      </c>
      <c r="G3" t="str">
        <f t="shared" ref="G3:G4" si="1">IF(F3=MIN($F$2:$F$4),"Yes","No")</f>
        <v>No</v>
      </c>
    </row>
    <row r="4" spans="1:7" x14ac:dyDescent="0.3">
      <c r="A4" t="s">
        <v>17</v>
      </c>
      <c r="B4">
        <v>2.85</v>
      </c>
      <c r="C4">
        <v>4</v>
      </c>
      <c r="D4">
        <v>6</v>
      </c>
      <c r="E4" t="s">
        <v>57</v>
      </c>
      <c r="F4">
        <f t="shared" si="0"/>
        <v>4</v>
      </c>
      <c r="G4" t="str">
        <f t="shared" si="1"/>
        <v>Yes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workbookViewId="0">
      <selection activeCell="I20" sqref="I20"/>
    </sheetView>
  </sheetViews>
  <sheetFormatPr defaultRowHeight="14.4" x14ac:dyDescent="0.3"/>
  <cols>
    <col min="1" max="1" width="25.44140625" bestFit="1" customWidth="1"/>
    <col min="2" max="2" width="11" style="20" customWidth="1"/>
    <col min="3" max="3" width="19.109375" customWidth="1"/>
    <col min="4" max="4" width="17.44140625" customWidth="1"/>
    <col min="5" max="5" width="18.44140625" style="5" bestFit="1" customWidth="1"/>
    <col min="6" max="6" width="15.88671875" style="6" bestFit="1" customWidth="1"/>
  </cols>
  <sheetData>
    <row r="1" spans="1:7" x14ac:dyDescent="0.3">
      <c r="A1" s="1" t="s">
        <v>2</v>
      </c>
      <c r="B1" s="19" t="s">
        <v>92</v>
      </c>
      <c r="C1" s="1" t="s">
        <v>93</v>
      </c>
      <c r="D1" s="1" t="s">
        <v>94</v>
      </c>
      <c r="E1" s="4" t="s">
        <v>95</v>
      </c>
      <c r="F1" s="7" t="s">
        <v>96</v>
      </c>
      <c r="G1" s="3" t="s">
        <v>97</v>
      </c>
    </row>
    <row r="2" spans="1:7" x14ac:dyDescent="0.3">
      <c r="A2" t="s">
        <v>14</v>
      </c>
      <c r="B2" s="20">
        <v>45658</v>
      </c>
      <c r="C2">
        <v>5.91</v>
      </c>
      <c r="D2">
        <v>6.04</v>
      </c>
      <c r="E2" s="5">
        <f>D2-C2</f>
        <v>0.12999999999999989</v>
      </c>
      <c r="F2" s="6">
        <f>(D2-C2)/C2</f>
        <v>2.1996615905245327E-2</v>
      </c>
      <c r="G2" t="str">
        <f>IF(F2&gt;5%, "Over", IF(F2&lt;-5%, "Under", "OK"))</f>
        <v>OK</v>
      </c>
    </row>
    <row r="3" spans="1:7" x14ac:dyDescent="0.3">
      <c r="A3" t="s">
        <v>14</v>
      </c>
      <c r="B3" s="20">
        <v>45689</v>
      </c>
      <c r="C3">
        <v>5.71</v>
      </c>
      <c r="D3">
        <v>5.99</v>
      </c>
      <c r="E3" s="5">
        <f t="shared" ref="E3:E43" si="0">D3-C3</f>
        <v>0.28000000000000025</v>
      </c>
      <c r="F3" s="6">
        <f t="shared" ref="F3:F43" si="1">(D3-C3)/C3</f>
        <v>4.9036777583187433E-2</v>
      </c>
      <c r="G3" t="str">
        <f t="shared" ref="G3:G43" si="2">IF(F3&gt;5%, "Over", IF(F3&lt;-5%, "Under", "OK"))</f>
        <v>OK</v>
      </c>
    </row>
    <row r="4" spans="1:7" x14ac:dyDescent="0.3">
      <c r="A4" t="s">
        <v>14</v>
      </c>
      <c r="B4" s="20">
        <v>45717</v>
      </c>
      <c r="C4">
        <v>7.64</v>
      </c>
      <c r="D4">
        <v>7.45</v>
      </c>
      <c r="E4" s="5">
        <f t="shared" si="0"/>
        <v>-0.1899999999999995</v>
      </c>
      <c r="F4" s="6">
        <f t="shared" si="1"/>
        <v>-2.4869109947643915E-2</v>
      </c>
      <c r="G4" t="str">
        <f t="shared" si="2"/>
        <v>OK</v>
      </c>
    </row>
    <row r="5" spans="1:7" x14ac:dyDescent="0.3">
      <c r="A5" t="s">
        <v>14</v>
      </c>
      <c r="B5" s="20">
        <v>45748</v>
      </c>
      <c r="C5">
        <v>6.44</v>
      </c>
      <c r="D5">
        <v>6.3</v>
      </c>
      <c r="E5" s="5">
        <f t="shared" si="0"/>
        <v>-0.14000000000000057</v>
      </c>
      <c r="F5" s="6">
        <f t="shared" si="1"/>
        <v>-2.1739130434782695E-2</v>
      </c>
      <c r="G5" t="str">
        <f t="shared" si="2"/>
        <v>OK</v>
      </c>
    </row>
    <row r="6" spans="1:7" x14ac:dyDescent="0.3">
      <c r="A6" t="s">
        <v>14</v>
      </c>
      <c r="B6" s="20">
        <v>45778</v>
      </c>
      <c r="C6">
        <v>4.68</v>
      </c>
      <c r="D6">
        <v>5.19</v>
      </c>
      <c r="E6" s="5">
        <f t="shared" si="0"/>
        <v>0.51000000000000068</v>
      </c>
      <c r="F6" s="6">
        <f t="shared" si="1"/>
        <v>0.10897435897435913</v>
      </c>
      <c r="G6" t="str">
        <f t="shared" si="2"/>
        <v>Over</v>
      </c>
    </row>
    <row r="7" spans="1:7" x14ac:dyDescent="0.3">
      <c r="A7" t="s">
        <v>14</v>
      </c>
      <c r="B7" s="20">
        <v>45809</v>
      </c>
      <c r="C7">
        <v>4.1500000000000004</v>
      </c>
      <c r="D7">
        <v>4.12</v>
      </c>
      <c r="E7" s="5">
        <f t="shared" si="0"/>
        <v>-3.0000000000000249E-2</v>
      </c>
      <c r="F7" s="6">
        <f t="shared" si="1"/>
        <v>-7.2289156626506616E-3</v>
      </c>
      <c r="G7" t="str">
        <f t="shared" si="2"/>
        <v>OK</v>
      </c>
    </row>
    <row r="8" spans="1:7" x14ac:dyDescent="0.3">
      <c r="A8" t="s">
        <v>14</v>
      </c>
      <c r="B8" s="20">
        <v>45839</v>
      </c>
      <c r="C8">
        <v>6.64</v>
      </c>
      <c r="D8">
        <v>6.25</v>
      </c>
      <c r="E8" s="5">
        <f t="shared" si="0"/>
        <v>-0.38999999999999968</v>
      </c>
      <c r="F8" s="6">
        <f t="shared" si="1"/>
        <v>-5.8734939759036098E-2</v>
      </c>
      <c r="G8" t="str">
        <f t="shared" si="2"/>
        <v>Under</v>
      </c>
    </row>
    <row r="9" spans="1:7" x14ac:dyDescent="0.3">
      <c r="A9" t="s">
        <v>31</v>
      </c>
      <c r="B9" s="20">
        <v>45658</v>
      </c>
      <c r="C9">
        <v>5.0199999999999996</v>
      </c>
      <c r="D9">
        <v>6.02</v>
      </c>
      <c r="E9" s="5">
        <f t="shared" si="0"/>
        <v>1</v>
      </c>
      <c r="F9" s="6">
        <f t="shared" si="1"/>
        <v>0.19920318725099603</v>
      </c>
      <c r="G9" t="str">
        <f t="shared" si="2"/>
        <v>Over</v>
      </c>
    </row>
    <row r="10" spans="1:7" x14ac:dyDescent="0.3">
      <c r="A10" t="s">
        <v>31</v>
      </c>
      <c r="B10" s="20">
        <v>45689</v>
      </c>
      <c r="C10">
        <v>7.98</v>
      </c>
      <c r="D10">
        <v>7.59</v>
      </c>
      <c r="E10" s="5">
        <f t="shared" si="0"/>
        <v>-0.39000000000000057</v>
      </c>
      <c r="F10" s="6">
        <f t="shared" si="1"/>
        <v>-4.8872180451127886E-2</v>
      </c>
      <c r="G10" t="str">
        <f t="shared" si="2"/>
        <v>OK</v>
      </c>
    </row>
    <row r="11" spans="1:7" x14ac:dyDescent="0.3">
      <c r="A11" t="s">
        <v>31</v>
      </c>
      <c r="B11" s="20">
        <v>45717</v>
      </c>
      <c r="C11">
        <v>3.67</v>
      </c>
      <c r="D11">
        <v>3.57</v>
      </c>
      <c r="E11" s="5">
        <f t="shared" si="0"/>
        <v>-0.10000000000000009</v>
      </c>
      <c r="F11" s="6">
        <f t="shared" si="1"/>
        <v>-2.7247956403269779E-2</v>
      </c>
      <c r="G11" t="str">
        <f t="shared" si="2"/>
        <v>OK</v>
      </c>
    </row>
    <row r="12" spans="1:7" x14ac:dyDescent="0.3">
      <c r="A12" t="s">
        <v>31</v>
      </c>
      <c r="B12" s="20">
        <v>45748</v>
      </c>
      <c r="C12">
        <v>7.63</v>
      </c>
      <c r="D12">
        <v>8.4499999999999993</v>
      </c>
      <c r="E12" s="5">
        <f t="shared" si="0"/>
        <v>0.8199999999999994</v>
      </c>
      <c r="F12" s="6">
        <f t="shared" si="1"/>
        <v>0.10747051114023583</v>
      </c>
      <c r="G12" t="str">
        <f t="shared" si="2"/>
        <v>Over</v>
      </c>
    </row>
    <row r="13" spans="1:7" x14ac:dyDescent="0.3">
      <c r="A13" t="s">
        <v>31</v>
      </c>
      <c r="B13" s="20">
        <v>45778</v>
      </c>
      <c r="C13">
        <v>7.34</v>
      </c>
      <c r="D13">
        <v>7.39</v>
      </c>
      <c r="E13" s="5">
        <f t="shared" si="0"/>
        <v>4.9999999999999822E-2</v>
      </c>
      <c r="F13" s="6">
        <f t="shared" si="1"/>
        <v>6.8119891008174144E-3</v>
      </c>
      <c r="G13" t="str">
        <f t="shared" si="2"/>
        <v>OK</v>
      </c>
    </row>
    <row r="14" spans="1:7" x14ac:dyDescent="0.3">
      <c r="A14" t="s">
        <v>31</v>
      </c>
      <c r="B14" s="20">
        <v>45809</v>
      </c>
      <c r="C14">
        <v>3.37</v>
      </c>
      <c r="D14">
        <v>4.12</v>
      </c>
      <c r="E14" s="5">
        <f t="shared" si="0"/>
        <v>0.75</v>
      </c>
      <c r="F14" s="6">
        <f t="shared" si="1"/>
        <v>0.22255192878338279</v>
      </c>
      <c r="G14" t="str">
        <f t="shared" si="2"/>
        <v>Over</v>
      </c>
    </row>
    <row r="15" spans="1:7" x14ac:dyDescent="0.3">
      <c r="A15" t="s">
        <v>31</v>
      </c>
      <c r="B15" s="20">
        <v>45839</v>
      </c>
      <c r="C15">
        <v>6.37</v>
      </c>
      <c r="D15">
        <v>6.79</v>
      </c>
      <c r="E15" s="5">
        <f t="shared" si="0"/>
        <v>0.41999999999999993</v>
      </c>
      <c r="F15" s="6">
        <f t="shared" si="1"/>
        <v>6.5934065934065922E-2</v>
      </c>
      <c r="G15" t="str">
        <f t="shared" si="2"/>
        <v>Over</v>
      </c>
    </row>
    <row r="16" spans="1:7" x14ac:dyDescent="0.3">
      <c r="A16" t="s">
        <v>25</v>
      </c>
      <c r="B16" s="20">
        <v>45658</v>
      </c>
      <c r="C16">
        <v>7.93</v>
      </c>
      <c r="D16">
        <v>8.41</v>
      </c>
      <c r="E16" s="5">
        <f t="shared" si="0"/>
        <v>0.48000000000000043</v>
      </c>
      <c r="F16" s="6">
        <f t="shared" si="1"/>
        <v>6.0529634300126159E-2</v>
      </c>
      <c r="G16" t="str">
        <f t="shared" si="2"/>
        <v>Over</v>
      </c>
    </row>
    <row r="17" spans="1:7" x14ac:dyDescent="0.3">
      <c r="A17" t="s">
        <v>25</v>
      </c>
      <c r="B17" s="20">
        <v>45689</v>
      </c>
      <c r="C17">
        <v>2.54</v>
      </c>
      <c r="D17">
        <v>3.27</v>
      </c>
      <c r="E17" s="5">
        <f t="shared" si="0"/>
        <v>0.73</v>
      </c>
      <c r="F17" s="6">
        <f t="shared" si="1"/>
        <v>0.2874015748031496</v>
      </c>
      <c r="G17" t="str">
        <f t="shared" si="2"/>
        <v>Over</v>
      </c>
    </row>
    <row r="18" spans="1:7" x14ac:dyDescent="0.3">
      <c r="A18" t="s">
        <v>25</v>
      </c>
      <c r="B18" s="20">
        <v>45717</v>
      </c>
      <c r="C18">
        <v>4.1500000000000004</v>
      </c>
      <c r="D18">
        <v>4.6500000000000004</v>
      </c>
      <c r="E18" s="5">
        <f t="shared" si="0"/>
        <v>0.5</v>
      </c>
      <c r="F18" s="6">
        <f t="shared" si="1"/>
        <v>0.12048192771084336</v>
      </c>
      <c r="G18" t="str">
        <f t="shared" si="2"/>
        <v>Over</v>
      </c>
    </row>
    <row r="19" spans="1:7" x14ac:dyDescent="0.3">
      <c r="A19" t="s">
        <v>25</v>
      </c>
      <c r="B19" s="20">
        <v>45748</v>
      </c>
      <c r="C19">
        <v>7.66</v>
      </c>
      <c r="D19">
        <v>7.36</v>
      </c>
      <c r="E19" s="5">
        <f t="shared" si="0"/>
        <v>-0.29999999999999982</v>
      </c>
      <c r="F19" s="6">
        <f t="shared" si="1"/>
        <v>-3.9164490861618773E-2</v>
      </c>
      <c r="G19" t="str">
        <f t="shared" si="2"/>
        <v>OK</v>
      </c>
    </row>
    <row r="20" spans="1:7" x14ac:dyDescent="0.3">
      <c r="A20" t="s">
        <v>25</v>
      </c>
      <c r="B20" s="20">
        <v>45778</v>
      </c>
      <c r="C20">
        <v>3.13</v>
      </c>
      <c r="D20">
        <v>2.79</v>
      </c>
      <c r="E20" s="5">
        <f t="shared" si="0"/>
        <v>-0.33999999999999986</v>
      </c>
      <c r="F20" s="6">
        <f t="shared" si="1"/>
        <v>-0.10862619808306705</v>
      </c>
      <c r="G20" t="str">
        <f t="shared" si="2"/>
        <v>Under</v>
      </c>
    </row>
    <row r="21" spans="1:7" x14ac:dyDescent="0.3">
      <c r="A21" t="s">
        <v>25</v>
      </c>
      <c r="B21" s="20">
        <v>45809</v>
      </c>
      <c r="C21">
        <v>5.54</v>
      </c>
      <c r="D21">
        <v>5.45</v>
      </c>
      <c r="E21" s="5">
        <f t="shared" si="0"/>
        <v>-8.9999999999999858E-2</v>
      </c>
      <c r="F21" s="6">
        <f t="shared" si="1"/>
        <v>-1.6245487364620913E-2</v>
      </c>
      <c r="G21" t="str">
        <f t="shared" si="2"/>
        <v>OK</v>
      </c>
    </row>
    <row r="22" spans="1:7" x14ac:dyDescent="0.3">
      <c r="A22" t="s">
        <v>25</v>
      </c>
      <c r="B22" s="20">
        <v>45839</v>
      </c>
      <c r="C22">
        <v>5.83</v>
      </c>
      <c r="D22">
        <v>6.41</v>
      </c>
      <c r="E22" s="5">
        <f t="shared" si="0"/>
        <v>0.58000000000000007</v>
      </c>
      <c r="F22" s="6">
        <f t="shared" si="1"/>
        <v>9.9485420240137235E-2</v>
      </c>
      <c r="G22" t="str">
        <f t="shared" si="2"/>
        <v>Over</v>
      </c>
    </row>
    <row r="23" spans="1:7" x14ac:dyDescent="0.3">
      <c r="A23" t="s">
        <v>22</v>
      </c>
      <c r="B23" s="20">
        <v>45658</v>
      </c>
      <c r="C23">
        <v>3.62</v>
      </c>
      <c r="D23">
        <v>4.07</v>
      </c>
      <c r="E23" s="5">
        <f t="shared" si="0"/>
        <v>0.45000000000000018</v>
      </c>
      <c r="F23" s="6">
        <f t="shared" si="1"/>
        <v>0.12430939226519341</v>
      </c>
      <c r="G23" t="str">
        <f t="shared" si="2"/>
        <v>Over</v>
      </c>
    </row>
    <row r="24" spans="1:7" x14ac:dyDescent="0.3">
      <c r="A24" t="s">
        <v>22</v>
      </c>
      <c r="B24" s="20">
        <v>45689</v>
      </c>
      <c r="C24">
        <v>3.95</v>
      </c>
      <c r="D24">
        <v>4.18</v>
      </c>
      <c r="E24" s="5">
        <f t="shared" si="0"/>
        <v>0.22999999999999954</v>
      </c>
      <c r="F24" s="6">
        <f t="shared" si="1"/>
        <v>5.8227848101265703E-2</v>
      </c>
      <c r="G24" t="str">
        <f t="shared" si="2"/>
        <v>Over</v>
      </c>
    </row>
    <row r="25" spans="1:7" x14ac:dyDescent="0.3">
      <c r="A25" t="s">
        <v>22</v>
      </c>
      <c r="B25" s="20">
        <v>45717</v>
      </c>
      <c r="C25">
        <v>7.48</v>
      </c>
      <c r="D25">
        <v>8.25</v>
      </c>
      <c r="E25" s="5">
        <f t="shared" si="0"/>
        <v>0.76999999999999957</v>
      </c>
      <c r="F25" s="6">
        <f t="shared" si="1"/>
        <v>0.10294117647058817</v>
      </c>
      <c r="G25" t="str">
        <f t="shared" si="2"/>
        <v>Over</v>
      </c>
    </row>
    <row r="26" spans="1:7" x14ac:dyDescent="0.3">
      <c r="A26" t="s">
        <v>22</v>
      </c>
      <c r="B26" s="20">
        <v>45748</v>
      </c>
      <c r="C26">
        <v>3.01</v>
      </c>
      <c r="D26">
        <v>3.15</v>
      </c>
      <c r="E26" s="5">
        <f t="shared" si="0"/>
        <v>0.14000000000000012</v>
      </c>
      <c r="F26" s="6">
        <f t="shared" si="1"/>
        <v>4.6511627906976792E-2</v>
      </c>
      <c r="G26" t="str">
        <f t="shared" si="2"/>
        <v>OK</v>
      </c>
    </row>
    <row r="27" spans="1:7" x14ac:dyDescent="0.3">
      <c r="A27" t="s">
        <v>22</v>
      </c>
      <c r="B27" s="20">
        <v>45778</v>
      </c>
      <c r="C27">
        <v>4.0199999999999996</v>
      </c>
      <c r="D27">
        <v>3.53</v>
      </c>
      <c r="E27" s="5">
        <f t="shared" si="0"/>
        <v>-0.48999999999999977</v>
      </c>
      <c r="F27" s="6">
        <f t="shared" si="1"/>
        <v>-0.12189054726368155</v>
      </c>
      <c r="G27" t="str">
        <f t="shared" si="2"/>
        <v>Under</v>
      </c>
    </row>
    <row r="28" spans="1:7" x14ac:dyDescent="0.3">
      <c r="A28" t="s">
        <v>22</v>
      </c>
      <c r="B28" s="20">
        <v>45809</v>
      </c>
      <c r="C28">
        <v>6.74</v>
      </c>
      <c r="D28">
        <v>7.2</v>
      </c>
      <c r="E28" s="5">
        <f t="shared" si="0"/>
        <v>0.45999999999999996</v>
      </c>
      <c r="F28" s="6">
        <f t="shared" si="1"/>
        <v>6.8249258160237386E-2</v>
      </c>
      <c r="G28" t="str">
        <f t="shared" si="2"/>
        <v>Over</v>
      </c>
    </row>
    <row r="29" spans="1:7" x14ac:dyDescent="0.3">
      <c r="A29" t="s">
        <v>22</v>
      </c>
      <c r="B29" s="20">
        <v>45839</v>
      </c>
      <c r="C29">
        <v>3.94</v>
      </c>
      <c r="D29">
        <v>4.55</v>
      </c>
      <c r="E29" s="5">
        <f t="shared" si="0"/>
        <v>0.60999999999999988</v>
      </c>
      <c r="F29" s="6">
        <f t="shared" si="1"/>
        <v>0.15482233502538068</v>
      </c>
      <c r="G29" t="str">
        <f t="shared" si="2"/>
        <v>Over</v>
      </c>
    </row>
    <row r="30" spans="1:7" x14ac:dyDescent="0.3">
      <c r="A30" t="s">
        <v>20</v>
      </c>
      <c r="B30" s="20">
        <v>45658</v>
      </c>
      <c r="C30">
        <v>5.53</v>
      </c>
      <c r="D30">
        <v>5.67</v>
      </c>
      <c r="E30" s="5">
        <f t="shared" si="0"/>
        <v>0.13999999999999968</v>
      </c>
      <c r="F30" s="6">
        <f t="shared" si="1"/>
        <v>2.5316455696202472E-2</v>
      </c>
      <c r="G30" t="str">
        <f t="shared" si="2"/>
        <v>OK</v>
      </c>
    </row>
    <row r="31" spans="1:7" x14ac:dyDescent="0.3">
      <c r="A31" t="s">
        <v>20</v>
      </c>
      <c r="B31" s="20">
        <v>45689</v>
      </c>
      <c r="C31">
        <v>2.5499999999999998</v>
      </c>
      <c r="D31">
        <v>2.16</v>
      </c>
      <c r="E31" s="5">
        <f t="shared" si="0"/>
        <v>-0.38999999999999968</v>
      </c>
      <c r="F31" s="6">
        <f t="shared" si="1"/>
        <v>-0.15294117647058811</v>
      </c>
      <c r="G31" t="str">
        <f t="shared" si="2"/>
        <v>Under</v>
      </c>
    </row>
    <row r="32" spans="1:7" x14ac:dyDescent="0.3">
      <c r="A32" t="s">
        <v>20</v>
      </c>
      <c r="B32" s="20">
        <v>45717</v>
      </c>
      <c r="C32">
        <v>7.36</v>
      </c>
      <c r="D32">
        <v>8.2200000000000006</v>
      </c>
      <c r="E32" s="5">
        <f t="shared" si="0"/>
        <v>0.86000000000000032</v>
      </c>
      <c r="F32" s="6">
        <f t="shared" si="1"/>
        <v>0.11684782608695655</v>
      </c>
      <c r="G32" t="str">
        <f t="shared" si="2"/>
        <v>Over</v>
      </c>
    </row>
    <row r="33" spans="1:7" x14ac:dyDescent="0.3">
      <c r="A33" t="s">
        <v>20</v>
      </c>
      <c r="B33" s="20">
        <v>45748</v>
      </c>
      <c r="C33">
        <v>5.5</v>
      </c>
      <c r="D33">
        <v>6.25</v>
      </c>
      <c r="E33" s="5">
        <f t="shared" si="0"/>
        <v>0.75</v>
      </c>
      <c r="F33" s="6">
        <f t="shared" si="1"/>
        <v>0.13636363636363635</v>
      </c>
      <c r="G33" t="str">
        <f t="shared" si="2"/>
        <v>Over</v>
      </c>
    </row>
    <row r="34" spans="1:7" x14ac:dyDescent="0.3">
      <c r="A34" t="s">
        <v>20</v>
      </c>
      <c r="B34" s="20">
        <v>45778</v>
      </c>
      <c r="C34">
        <v>5.7</v>
      </c>
      <c r="D34">
        <v>5.42</v>
      </c>
      <c r="E34" s="5">
        <f t="shared" si="0"/>
        <v>-0.28000000000000025</v>
      </c>
      <c r="F34" s="6">
        <f t="shared" si="1"/>
        <v>-4.9122807017543901E-2</v>
      </c>
      <c r="G34" t="str">
        <f t="shared" si="2"/>
        <v>OK</v>
      </c>
    </row>
    <row r="35" spans="1:7" x14ac:dyDescent="0.3">
      <c r="A35" t="s">
        <v>20</v>
      </c>
      <c r="B35" s="20">
        <v>45809</v>
      </c>
      <c r="C35">
        <v>3.2</v>
      </c>
      <c r="D35">
        <v>3.16</v>
      </c>
      <c r="E35" s="5">
        <f t="shared" si="0"/>
        <v>-4.0000000000000036E-2</v>
      </c>
      <c r="F35" s="6">
        <f t="shared" si="1"/>
        <v>-1.2500000000000011E-2</v>
      </c>
      <c r="G35" t="str">
        <f t="shared" si="2"/>
        <v>OK</v>
      </c>
    </row>
    <row r="36" spans="1:7" x14ac:dyDescent="0.3">
      <c r="A36" t="s">
        <v>20</v>
      </c>
      <c r="B36" s="20">
        <v>45839</v>
      </c>
      <c r="C36">
        <v>7.44</v>
      </c>
      <c r="D36">
        <v>8.1300000000000008</v>
      </c>
      <c r="E36" s="5">
        <f t="shared" si="0"/>
        <v>0.69000000000000039</v>
      </c>
      <c r="F36" s="6">
        <f t="shared" si="1"/>
        <v>9.274193548387101E-2</v>
      </c>
      <c r="G36" t="str">
        <f t="shared" si="2"/>
        <v>Over</v>
      </c>
    </row>
    <row r="37" spans="1:7" x14ac:dyDescent="0.3">
      <c r="A37" t="s">
        <v>35</v>
      </c>
      <c r="B37" s="20">
        <v>45658</v>
      </c>
      <c r="C37">
        <v>7.23</v>
      </c>
      <c r="D37">
        <v>8.08</v>
      </c>
      <c r="E37" s="5">
        <f t="shared" si="0"/>
        <v>0.84999999999999964</v>
      </c>
      <c r="F37" s="6">
        <f t="shared" si="1"/>
        <v>0.11756569847856149</v>
      </c>
      <c r="G37" t="str">
        <f t="shared" si="2"/>
        <v>Over</v>
      </c>
    </row>
    <row r="38" spans="1:7" x14ac:dyDescent="0.3">
      <c r="A38" t="s">
        <v>35</v>
      </c>
      <c r="B38" s="20">
        <v>45689</v>
      </c>
      <c r="C38">
        <v>3.66</v>
      </c>
      <c r="D38">
        <v>3.53</v>
      </c>
      <c r="E38" s="5">
        <f t="shared" si="0"/>
        <v>-0.13000000000000034</v>
      </c>
      <c r="F38" s="6">
        <f t="shared" si="1"/>
        <v>-3.5519125683060197E-2</v>
      </c>
      <c r="G38" t="str">
        <f t="shared" si="2"/>
        <v>OK</v>
      </c>
    </row>
    <row r="39" spans="1:7" x14ac:dyDescent="0.3">
      <c r="A39" t="s">
        <v>35</v>
      </c>
      <c r="B39" s="20">
        <v>45717</v>
      </c>
      <c r="C39">
        <v>3.07</v>
      </c>
      <c r="D39">
        <v>3.74</v>
      </c>
      <c r="E39" s="5">
        <f t="shared" si="0"/>
        <v>0.67000000000000037</v>
      </c>
      <c r="F39" s="6">
        <f t="shared" si="1"/>
        <v>0.218241042345277</v>
      </c>
      <c r="G39" t="str">
        <f t="shared" si="2"/>
        <v>Over</v>
      </c>
    </row>
    <row r="40" spans="1:7" x14ac:dyDescent="0.3">
      <c r="A40" t="s">
        <v>35</v>
      </c>
      <c r="B40" s="20">
        <v>45748</v>
      </c>
      <c r="C40">
        <v>7.36</v>
      </c>
      <c r="D40">
        <v>7.47</v>
      </c>
      <c r="E40" s="5">
        <f t="shared" si="0"/>
        <v>0.10999999999999943</v>
      </c>
      <c r="F40" s="6">
        <f t="shared" si="1"/>
        <v>1.4945652173912966E-2</v>
      </c>
      <c r="G40" t="str">
        <f t="shared" si="2"/>
        <v>OK</v>
      </c>
    </row>
    <row r="41" spans="1:7" x14ac:dyDescent="0.3">
      <c r="A41" t="s">
        <v>35</v>
      </c>
      <c r="B41" s="20">
        <v>45778</v>
      </c>
      <c r="C41">
        <v>5.91</v>
      </c>
      <c r="D41">
        <v>5.64</v>
      </c>
      <c r="E41" s="5">
        <f t="shared" si="0"/>
        <v>-0.27000000000000046</v>
      </c>
      <c r="F41" s="6">
        <f t="shared" si="1"/>
        <v>-4.5685279187817333E-2</v>
      </c>
      <c r="G41" t="str">
        <f t="shared" si="2"/>
        <v>OK</v>
      </c>
    </row>
    <row r="42" spans="1:7" x14ac:dyDescent="0.3">
      <c r="A42" t="s">
        <v>35</v>
      </c>
      <c r="B42" s="20">
        <v>45809</v>
      </c>
      <c r="C42">
        <v>7.61</v>
      </c>
      <c r="D42">
        <v>8.41</v>
      </c>
      <c r="E42" s="5">
        <f t="shared" si="0"/>
        <v>0.79999999999999982</v>
      </c>
      <c r="F42" s="6">
        <f t="shared" si="1"/>
        <v>0.10512483574244412</v>
      </c>
      <c r="G42" t="str">
        <f t="shared" si="2"/>
        <v>Over</v>
      </c>
    </row>
    <row r="43" spans="1:7" x14ac:dyDescent="0.3">
      <c r="A43" t="s">
        <v>35</v>
      </c>
      <c r="B43" s="20">
        <v>45839</v>
      </c>
      <c r="C43">
        <v>7.87</v>
      </c>
      <c r="D43">
        <v>8.59</v>
      </c>
      <c r="E43" s="5">
        <f t="shared" si="0"/>
        <v>0.71999999999999975</v>
      </c>
      <c r="F43" s="6">
        <f t="shared" si="1"/>
        <v>9.1486658195679763E-2</v>
      </c>
      <c r="G43" t="str">
        <f t="shared" si="2"/>
        <v>Over</v>
      </c>
    </row>
    <row r="46" spans="1:7" x14ac:dyDescent="0.3">
      <c r="A46" s="13" t="s">
        <v>98</v>
      </c>
      <c r="B46" s="22" t="s">
        <v>99</v>
      </c>
    </row>
    <row r="47" spans="1:7" x14ac:dyDescent="0.3">
      <c r="A47" t="s">
        <v>100</v>
      </c>
      <c r="B47" s="15">
        <v>0</v>
      </c>
    </row>
    <row r="48" spans="1:7" x14ac:dyDescent="0.3">
      <c r="A48" t="s">
        <v>101</v>
      </c>
      <c r="B48" s="23">
        <v>4</v>
      </c>
      <c r="C48" s="6"/>
    </row>
    <row r="49" spans="1:2" x14ac:dyDescent="0.3">
      <c r="A49" t="s">
        <v>102</v>
      </c>
      <c r="B49" s="6">
        <v>4.8885381562671928E-2</v>
      </c>
    </row>
  </sheetData>
  <conditionalFormatting sqref="F2:F43">
    <cfRule type="cellIs" dxfId="6" priority="1" operator="between">
      <formula>-0.05</formula>
      <formula>0.05</formula>
    </cfRule>
    <cfRule type="cellIs" dxfId="5" priority="2" operator="lessThan">
      <formula>-0.05</formula>
    </cfRule>
    <cfRule type="cellIs" dxfId="4" priority="3" operator="greaterThan">
      <formula>0.05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7C19-01C2-4CE9-B02A-9A4F022897EB}">
  <dimension ref="A1:D13"/>
  <sheetViews>
    <sheetView zoomScaleNormal="100" workbookViewId="0">
      <selection activeCell="Q6" sqref="Q6"/>
    </sheetView>
  </sheetViews>
  <sheetFormatPr defaultRowHeight="14.4" x14ac:dyDescent="0.3"/>
  <cols>
    <col min="1" max="1" width="10.88671875" customWidth="1"/>
    <col min="2" max="2" width="14.5546875" customWidth="1"/>
    <col min="3" max="3" width="18.44140625" customWidth="1"/>
    <col min="4" max="4" width="12.44140625" customWidth="1"/>
  </cols>
  <sheetData>
    <row r="1" spans="1:4" s="3" customFormat="1" x14ac:dyDescent="0.3">
      <c r="A1" s="12" t="s">
        <v>92</v>
      </c>
      <c r="B1" s="3" t="s">
        <v>103</v>
      </c>
      <c r="C1" s="3" t="s">
        <v>115</v>
      </c>
      <c r="D1" s="3" t="s">
        <v>116</v>
      </c>
    </row>
    <row r="2" spans="1:4" x14ac:dyDescent="0.3">
      <c r="A2" s="20">
        <v>45658</v>
      </c>
      <c r="B2">
        <v>5.0199999999999996</v>
      </c>
      <c r="C2">
        <v>6.02</v>
      </c>
    </row>
    <row r="3" spans="1:4" x14ac:dyDescent="0.3">
      <c r="A3" s="20">
        <v>45689</v>
      </c>
      <c r="B3">
        <v>7.98</v>
      </c>
      <c r="C3">
        <v>7.59</v>
      </c>
    </row>
    <row r="4" spans="1:4" x14ac:dyDescent="0.3">
      <c r="A4" s="20">
        <v>45717</v>
      </c>
      <c r="B4">
        <v>3.67</v>
      </c>
      <c r="C4">
        <v>3.57</v>
      </c>
    </row>
    <row r="5" spans="1:4" x14ac:dyDescent="0.3">
      <c r="A5" s="20">
        <v>45748</v>
      </c>
      <c r="B5">
        <v>7.63</v>
      </c>
      <c r="C5">
        <v>8.4499999999999993</v>
      </c>
    </row>
    <row r="6" spans="1:4" x14ac:dyDescent="0.3">
      <c r="A6" s="20">
        <v>45778</v>
      </c>
      <c r="B6">
        <v>7.34</v>
      </c>
      <c r="C6">
        <v>7.39</v>
      </c>
    </row>
    <row r="7" spans="1:4" x14ac:dyDescent="0.3">
      <c r="A7" s="20">
        <v>45809</v>
      </c>
      <c r="B7">
        <v>3.37</v>
      </c>
      <c r="C7">
        <v>4.12</v>
      </c>
    </row>
    <row r="8" spans="1:4" x14ac:dyDescent="0.3">
      <c r="A8" s="20">
        <v>45839</v>
      </c>
      <c r="B8">
        <v>6.37</v>
      </c>
      <c r="C8">
        <v>6.79</v>
      </c>
    </row>
    <row r="9" spans="1:4" x14ac:dyDescent="0.3">
      <c r="A9" s="28">
        <v>45870</v>
      </c>
      <c r="B9" s="24"/>
      <c r="D9" s="29">
        <f>_xlfn.FORECAST.ETS(A9,$B$2:$B$8,$A$2:$A$8,1,1)</f>
        <v>6.9127643021622553</v>
      </c>
    </row>
    <row r="10" spans="1:4" x14ac:dyDescent="0.3">
      <c r="A10" s="28">
        <v>45901</v>
      </c>
      <c r="B10" s="24"/>
      <c r="D10" s="29">
        <f t="shared" ref="D10:D13" si="0">_xlfn.FORECAST.ETS(A10,$B$2:$B$8,$A$2:$A$8,1,1)</f>
        <v>4.9532223563289399</v>
      </c>
    </row>
    <row r="11" spans="1:4" x14ac:dyDescent="0.3">
      <c r="A11" s="28">
        <v>45931</v>
      </c>
      <c r="B11" s="24"/>
      <c r="D11" s="29">
        <f t="shared" si="0"/>
        <v>6.8035919397509543</v>
      </c>
    </row>
    <row r="12" spans="1:4" x14ac:dyDescent="0.3">
      <c r="A12" s="28">
        <v>45962</v>
      </c>
      <c r="B12" s="24"/>
      <c r="D12" s="29">
        <f t="shared" si="0"/>
        <v>4.8440499939176389</v>
      </c>
    </row>
    <row r="13" spans="1:4" x14ac:dyDescent="0.3">
      <c r="A13" s="28">
        <v>45992</v>
      </c>
      <c r="B13" s="24"/>
      <c r="D13" s="29">
        <f t="shared" si="0"/>
        <v>6.6944195773396533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B559-3A6C-44DE-B13D-86BD4AEEE7AC}">
  <dimension ref="A1:G13"/>
  <sheetViews>
    <sheetView workbookViewId="0">
      <selection activeCell="S13" sqref="S13"/>
    </sheetView>
  </sheetViews>
  <sheetFormatPr defaultRowHeight="14.4" x14ac:dyDescent="0.3"/>
  <cols>
    <col min="1" max="1" width="11.77734375" customWidth="1"/>
    <col min="2" max="2" width="14.5546875" customWidth="1"/>
    <col min="3" max="3" width="14.6640625" customWidth="1"/>
    <col min="4" max="4" width="13.21875" customWidth="1"/>
    <col min="6" max="6" width="10.6640625" customWidth="1"/>
    <col min="7" max="7" width="12.44140625" customWidth="1"/>
  </cols>
  <sheetData>
    <row r="1" spans="1:7" s="3" customFormat="1" x14ac:dyDescent="0.3">
      <c r="A1" s="12" t="s">
        <v>92</v>
      </c>
      <c r="B1" s="3" t="s">
        <v>103</v>
      </c>
      <c r="C1" s="3" t="s">
        <v>117</v>
      </c>
      <c r="D1" s="3" t="s">
        <v>116</v>
      </c>
    </row>
    <row r="2" spans="1:7" x14ac:dyDescent="0.3">
      <c r="A2" s="20">
        <v>45658</v>
      </c>
      <c r="B2">
        <v>3.62</v>
      </c>
      <c r="C2">
        <v>4.07</v>
      </c>
      <c r="F2" s="20"/>
      <c r="G2" s="30"/>
    </row>
    <row r="3" spans="1:7" x14ac:dyDescent="0.3">
      <c r="A3" s="20">
        <v>45689</v>
      </c>
      <c r="B3">
        <v>3.95</v>
      </c>
      <c r="C3">
        <v>4.18</v>
      </c>
    </row>
    <row r="4" spans="1:7" x14ac:dyDescent="0.3">
      <c r="A4" s="20">
        <v>45717</v>
      </c>
      <c r="B4">
        <v>7.48</v>
      </c>
      <c r="C4">
        <v>8.25</v>
      </c>
    </row>
    <row r="5" spans="1:7" x14ac:dyDescent="0.3">
      <c r="A5" s="20">
        <v>45748</v>
      </c>
      <c r="B5">
        <v>3.01</v>
      </c>
      <c r="C5">
        <v>3.15</v>
      </c>
    </row>
    <row r="6" spans="1:7" x14ac:dyDescent="0.3">
      <c r="A6" s="20">
        <v>45778</v>
      </c>
      <c r="B6">
        <v>4.0199999999999996</v>
      </c>
      <c r="C6">
        <v>3.53</v>
      </c>
    </row>
    <row r="7" spans="1:7" x14ac:dyDescent="0.3">
      <c r="A7" s="20">
        <v>45809</v>
      </c>
      <c r="B7">
        <v>6.74</v>
      </c>
      <c r="C7">
        <v>7.2</v>
      </c>
    </row>
    <row r="8" spans="1:7" x14ac:dyDescent="0.3">
      <c r="A8" s="20">
        <v>45839</v>
      </c>
      <c r="B8">
        <v>3.94</v>
      </c>
      <c r="C8">
        <v>4.55</v>
      </c>
    </row>
    <row r="9" spans="1:7" x14ac:dyDescent="0.3">
      <c r="A9" s="28">
        <v>45870</v>
      </c>
      <c r="D9" s="29">
        <f>_xlfn.FORECAST.ETS(A9,$B$2:$B$8,$A$2:$A$8,1,1)</f>
        <v>4.4203801700760232</v>
      </c>
    </row>
    <row r="10" spans="1:7" x14ac:dyDescent="0.3">
      <c r="A10" s="28">
        <v>45901</v>
      </c>
      <c r="D10" s="29">
        <f t="shared" ref="D10:D13" si="0">_xlfn.FORECAST.ETS(A10,$B$2:$B$8,$A$2:$A$8,1,1)</f>
        <v>4.535423289799331</v>
      </c>
    </row>
    <row r="11" spans="1:7" x14ac:dyDescent="0.3">
      <c r="A11" s="28">
        <v>45931</v>
      </c>
      <c r="D11" s="29">
        <f t="shared" si="0"/>
        <v>4.6504664095226396</v>
      </c>
    </row>
    <row r="12" spans="1:7" x14ac:dyDescent="0.3">
      <c r="A12" s="28">
        <v>45962</v>
      </c>
      <c r="D12" s="29">
        <f t="shared" si="0"/>
        <v>4.7655095292459473</v>
      </c>
    </row>
    <row r="13" spans="1:7" x14ac:dyDescent="0.3">
      <c r="A13" s="28">
        <v>45992</v>
      </c>
      <c r="D13" s="29">
        <f t="shared" si="0"/>
        <v>4.880552648969255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C2C1-7190-49BA-A85C-20A8386717F6}">
  <dimension ref="A1:D13"/>
  <sheetViews>
    <sheetView workbookViewId="0">
      <selection activeCell="S10" sqref="S10"/>
    </sheetView>
  </sheetViews>
  <sheetFormatPr defaultRowHeight="14.4" x14ac:dyDescent="0.3"/>
  <cols>
    <col min="1" max="1" width="11.5546875" style="20" customWidth="1"/>
    <col min="2" max="2" width="19" customWidth="1"/>
    <col min="3" max="3" width="14.88671875" customWidth="1"/>
    <col min="4" max="4" width="11.88671875" customWidth="1"/>
    <col min="5" max="5" width="12.21875" customWidth="1"/>
  </cols>
  <sheetData>
    <row r="1" spans="1:4" s="12" customFormat="1" x14ac:dyDescent="0.3">
      <c r="A1" s="21" t="s">
        <v>92</v>
      </c>
      <c r="B1" s="12" t="s">
        <v>103</v>
      </c>
      <c r="C1" s="12" t="s">
        <v>117</v>
      </c>
      <c r="D1" s="12" t="s">
        <v>116</v>
      </c>
    </row>
    <row r="2" spans="1:4" x14ac:dyDescent="0.3">
      <c r="A2" s="20">
        <v>45658</v>
      </c>
      <c r="B2">
        <v>5.91</v>
      </c>
      <c r="C2">
        <v>6.04</v>
      </c>
      <c r="D2" s="20"/>
    </row>
    <row r="3" spans="1:4" x14ac:dyDescent="0.3">
      <c r="A3" s="20">
        <v>45689</v>
      </c>
      <c r="B3">
        <v>5.71</v>
      </c>
      <c r="C3">
        <v>5.99</v>
      </c>
    </row>
    <row r="4" spans="1:4" x14ac:dyDescent="0.3">
      <c r="A4" s="20">
        <v>45717</v>
      </c>
      <c r="B4">
        <v>7.64</v>
      </c>
      <c r="C4">
        <v>7.45</v>
      </c>
    </row>
    <row r="5" spans="1:4" x14ac:dyDescent="0.3">
      <c r="A5" s="20">
        <v>45748</v>
      </c>
      <c r="B5">
        <v>6.44</v>
      </c>
      <c r="C5">
        <v>6.3</v>
      </c>
    </row>
    <row r="6" spans="1:4" x14ac:dyDescent="0.3">
      <c r="A6" s="20">
        <v>45778</v>
      </c>
      <c r="B6">
        <v>4.68</v>
      </c>
      <c r="C6">
        <v>5.19</v>
      </c>
    </row>
    <row r="7" spans="1:4" x14ac:dyDescent="0.3">
      <c r="A7" s="20">
        <v>45809</v>
      </c>
      <c r="B7">
        <v>4.1500000000000004</v>
      </c>
      <c r="C7">
        <v>4.12</v>
      </c>
    </row>
    <row r="8" spans="1:4" x14ac:dyDescent="0.3">
      <c r="A8" s="20">
        <v>45839</v>
      </c>
      <c r="B8">
        <v>6.64</v>
      </c>
      <c r="C8">
        <v>6.25</v>
      </c>
    </row>
    <row r="9" spans="1:4" x14ac:dyDescent="0.3">
      <c r="A9" s="28">
        <v>45870</v>
      </c>
      <c r="B9" s="24"/>
      <c r="D9" s="29">
        <f>_xlfn.FORECAST.ETS(A9,$B$2:$B$8,$A$2:$A$8)</f>
        <v>4.953642252593478</v>
      </c>
    </row>
    <row r="10" spans="1:4" x14ac:dyDescent="0.3">
      <c r="A10" s="28">
        <v>45901</v>
      </c>
      <c r="B10" s="24"/>
      <c r="D10" s="29">
        <f t="shared" ref="D10:D13" si="0">_xlfn.FORECAST.ETS(A10,$B$2:$B$8,$A$2:$A$8)</f>
        <v>4.817393295223698</v>
      </c>
    </row>
    <row r="11" spans="1:4" x14ac:dyDescent="0.3">
      <c r="A11" s="28">
        <v>45931</v>
      </c>
      <c r="B11" s="24"/>
      <c r="D11" s="29">
        <f t="shared" si="0"/>
        <v>4.681144337853917</v>
      </c>
    </row>
    <row r="12" spans="1:4" x14ac:dyDescent="0.3">
      <c r="A12" s="28">
        <v>45962</v>
      </c>
      <c r="B12" s="24"/>
      <c r="D12" s="29">
        <f t="shared" si="0"/>
        <v>4.544895380484137</v>
      </c>
    </row>
    <row r="13" spans="1:4" x14ac:dyDescent="0.3">
      <c r="A13" s="28">
        <v>45992</v>
      </c>
      <c r="B13" s="24"/>
      <c r="D13" s="29">
        <f t="shared" si="0"/>
        <v>4.4086464231143561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Purchase_Orders</vt:lpstr>
      <vt:lpstr>Spend_Summary</vt:lpstr>
      <vt:lpstr>Suppliers</vt:lpstr>
      <vt:lpstr>Bids_Quotes</vt:lpstr>
      <vt:lpstr>Bid_Evaluation</vt:lpstr>
      <vt:lpstr>Material_Cost_History</vt:lpstr>
      <vt:lpstr>Forecast_Steel</vt:lpstr>
      <vt:lpstr>Forecast_Gravel</vt:lpstr>
      <vt:lpstr>Forecast_Cement</vt:lpstr>
      <vt:lpstr>On-Time delivery by Supplier</vt:lpstr>
      <vt:lpstr>Avg Delay by Supplier</vt:lpstr>
      <vt:lpstr>Supplier_Performance KPI</vt:lpstr>
      <vt:lpstr>Dashboards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Anthonia ikhaduwor</cp:lastModifiedBy>
  <cp:revision/>
  <dcterms:created xsi:type="dcterms:W3CDTF">2025-09-03T10:54:20Z</dcterms:created>
  <dcterms:modified xsi:type="dcterms:W3CDTF">2025-09-09T08:49:09Z</dcterms:modified>
  <cp:category/>
  <cp:contentStatus/>
</cp:coreProperties>
</file>