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ntho\Desktop\"/>
    </mc:Choice>
  </mc:AlternateContent>
  <xr:revisionPtr revIDLastSave="0" documentId="13_ncr:1_{2D960962-0D26-4E95-B46F-868DB2DC3EB5}" xr6:coauthVersionLast="47" xr6:coauthVersionMax="47" xr10:uidLastSave="{00000000-0000-0000-0000-000000000000}"/>
  <bookViews>
    <workbookView xWindow="-28920" yWindow="-120" windowWidth="29040" windowHeight="16440" xr2:uid="{00000000-000D-0000-FFFF-FFFF00000000}"/>
  </bookViews>
  <sheets>
    <sheet name="Watchlis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02" i="1" l="1"/>
  <c r="Q102" i="1"/>
  <c r="P102" i="1"/>
  <c r="O102" i="1"/>
  <c r="N102" i="1"/>
  <c r="M102" i="1"/>
  <c r="L102" i="1"/>
  <c r="K102" i="1"/>
  <c r="J102" i="1"/>
  <c r="I102" i="1"/>
  <c r="H102" i="1"/>
  <c r="G102" i="1"/>
  <c r="F102" i="1"/>
  <c r="D102" i="1"/>
  <c r="R101" i="1"/>
  <c r="Q101" i="1"/>
  <c r="P101" i="1"/>
  <c r="O101" i="1"/>
  <c r="N101" i="1"/>
  <c r="M101" i="1"/>
  <c r="L101" i="1"/>
  <c r="K101" i="1"/>
  <c r="J101" i="1"/>
  <c r="I101" i="1"/>
  <c r="H101" i="1"/>
  <c r="G101" i="1"/>
  <c r="F101" i="1"/>
  <c r="D101" i="1"/>
  <c r="R100" i="1"/>
  <c r="Q100" i="1"/>
  <c r="P100" i="1"/>
  <c r="O100" i="1"/>
  <c r="N100" i="1"/>
  <c r="M100" i="1"/>
  <c r="L100" i="1"/>
  <c r="K100" i="1"/>
  <c r="J100" i="1"/>
  <c r="I100" i="1"/>
  <c r="H100" i="1"/>
  <c r="G100" i="1"/>
  <c r="F100" i="1"/>
  <c r="D100" i="1"/>
  <c r="C100" i="1"/>
  <c r="R99" i="1"/>
  <c r="Q99" i="1"/>
  <c r="P99" i="1"/>
  <c r="O99" i="1"/>
  <c r="N99" i="1"/>
  <c r="M99" i="1"/>
  <c r="L99" i="1"/>
  <c r="K99" i="1"/>
  <c r="J99" i="1"/>
  <c r="I99" i="1"/>
  <c r="H99" i="1"/>
  <c r="G99" i="1"/>
  <c r="F99" i="1"/>
  <c r="D99" i="1"/>
  <c r="C99" i="1"/>
  <c r="R98" i="1"/>
  <c r="Q98" i="1"/>
  <c r="P98" i="1"/>
  <c r="O98" i="1"/>
  <c r="N98" i="1"/>
  <c r="M98" i="1"/>
  <c r="L98" i="1"/>
  <c r="K98" i="1"/>
  <c r="J98" i="1"/>
  <c r="I98" i="1"/>
  <c r="H98" i="1"/>
  <c r="G98" i="1"/>
  <c r="F98" i="1"/>
  <c r="D98" i="1"/>
  <c r="C98" i="1"/>
  <c r="R97" i="1"/>
  <c r="Q97" i="1"/>
  <c r="P97" i="1"/>
  <c r="O97" i="1"/>
  <c r="N97" i="1"/>
  <c r="M97" i="1"/>
  <c r="L97" i="1"/>
  <c r="K97" i="1"/>
  <c r="J97" i="1"/>
  <c r="I97" i="1"/>
  <c r="H97" i="1"/>
  <c r="G97" i="1"/>
  <c r="F97" i="1"/>
  <c r="D97" i="1"/>
  <c r="C97" i="1"/>
  <c r="R96" i="1"/>
  <c r="Q96" i="1"/>
  <c r="P96" i="1"/>
  <c r="O96" i="1"/>
  <c r="N96" i="1"/>
  <c r="M96" i="1"/>
  <c r="L96" i="1"/>
  <c r="K96" i="1"/>
  <c r="J96" i="1"/>
  <c r="I96" i="1"/>
  <c r="H96" i="1"/>
  <c r="G96" i="1"/>
  <c r="F96" i="1"/>
  <c r="D96" i="1"/>
  <c r="C96" i="1"/>
  <c r="R95" i="1"/>
  <c r="Q95" i="1"/>
  <c r="P95" i="1"/>
  <c r="O95" i="1"/>
  <c r="N95" i="1"/>
  <c r="M95" i="1"/>
  <c r="L95" i="1"/>
  <c r="K95" i="1"/>
  <c r="J95" i="1"/>
  <c r="I95" i="1"/>
  <c r="H95" i="1"/>
  <c r="G95" i="1"/>
  <c r="F95" i="1"/>
  <c r="D95" i="1"/>
  <c r="C95" i="1"/>
  <c r="R94" i="1"/>
  <c r="Q94" i="1"/>
  <c r="P94" i="1"/>
  <c r="O94" i="1"/>
  <c r="N94" i="1"/>
  <c r="M94" i="1"/>
  <c r="L94" i="1"/>
  <c r="K94" i="1"/>
  <c r="J94" i="1"/>
  <c r="I94" i="1"/>
  <c r="H94" i="1"/>
  <c r="G94" i="1"/>
  <c r="F94" i="1"/>
  <c r="D94" i="1"/>
  <c r="C94" i="1"/>
  <c r="R93" i="1"/>
  <c r="Q93" i="1"/>
  <c r="P93" i="1"/>
  <c r="O93" i="1"/>
  <c r="N93" i="1"/>
  <c r="M93" i="1"/>
  <c r="L93" i="1"/>
  <c r="K93" i="1"/>
  <c r="J93" i="1"/>
  <c r="I93" i="1"/>
  <c r="H93" i="1"/>
  <c r="G93" i="1"/>
  <c r="F93" i="1"/>
  <c r="D93" i="1"/>
  <c r="C93" i="1"/>
  <c r="R92" i="1"/>
  <c r="Q92" i="1"/>
  <c r="P92" i="1"/>
  <c r="O92" i="1"/>
  <c r="N92" i="1"/>
  <c r="M92" i="1"/>
  <c r="L92" i="1"/>
  <c r="K92" i="1"/>
  <c r="J92" i="1"/>
  <c r="I92" i="1"/>
  <c r="H92" i="1"/>
  <c r="G92" i="1"/>
  <c r="F92" i="1"/>
  <c r="D92" i="1"/>
  <c r="C92" i="1"/>
  <c r="R91" i="1"/>
  <c r="Q91" i="1"/>
  <c r="P91" i="1"/>
  <c r="O91" i="1"/>
  <c r="N91" i="1"/>
  <c r="M91" i="1"/>
  <c r="L91" i="1"/>
  <c r="K91" i="1"/>
  <c r="J91" i="1"/>
  <c r="I91" i="1"/>
  <c r="H91" i="1"/>
  <c r="G91" i="1"/>
  <c r="F91" i="1"/>
  <c r="D91" i="1"/>
  <c r="C91" i="1"/>
  <c r="R90" i="1"/>
  <c r="Q90" i="1"/>
  <c r="P90" i="1"/>
  <c r="O90" i="1"/>
  <c r="N90" i="1"/>
  <c r="M90" i="1"/>
  <c r="L90" i="1"/>
  <c r="K90" i="1"/>
  <c r="J90" i="1"/>
  <c r="I90" i="1"/>
  <c r="H90" i="1"/>
  <c r="G90" i="1"/>
  <c r="F90" i="1"/>
  <c r="D90" i="1"/>
  <c r="C90" i="1"/>
  <c r="R89" i="1"/>
  <c r="Q89" i="1"/>
  <c r="P89" i="1"/>
  <c r="O89" i="1"/>
  <c r="N89" i="1"/>
  <c r="M89" i="1"/>
  <c r="L89" i="1"/>
  <c r="K89" i="1"/>
  <c r="J89" i="1"/>
  <c r="I89" i="1"/>
  <c r="H89" i="1"/>
  <c r="G89" i="1"/>
  <c r="F89" i="1"/>
  <c r="D89" i="1"/>
  <c r="C89" i="1"/>
  <c r="R88" i="1"/>
  <c r="Q88" i="1"/>
  <c r="P88" i="1"/>
  <c r="O88" i="1"/>
  <c r="N88" i="1"/>
  <c r="M88" i="1"/>
  <c r="L88" i="1"/>
  <c r="K88" i="1"/>
  <c r="J88" i="1"/>
  <c r="I88" i="1"/>
  <c r="H88" i="1"/>
  <c r="G88" i="1"/>
  <c r="F88" i="1"/>
  <c r="D88" i="1"/>
  <c r="C88" i="1"/>
  <c r="R87" i="1"/>
  <c r="Q87" i="1"/>
  <c r="P87" i="1"/>
  <c r="O87" i="1"/>
  <c r="N87" i="1"/>
  <c r="M87" i="1"/>
  <c r="L87" i="1"/>
  <c r="K87" i="1"/>
  <c r="J87" i="1"/>
  <c r="I87" i="1"/>
  <c r="H87" i="1"/>
  <c r="G87" i="1"/>
  <c r="F87" i="1"/>
  <c r="D87" i="1"/>
  <c r="C87" i="1"/>
  <c r="R86" i="1"/>
  <c r="Q86" i="1"/>
  <c r="P86" i="1"/>
  <c r="O86" i="1"/>
  <c r="N86" i="1"/>
  <c r="M86" i="1"/>
  <c r="L86" i="1"/>
  <c r="K86" i="1"/>
  <c r="J86" i="1"/>
  <c r="I86" i="1"/>
  <c r="H86" i="1"/>
  <c r="G86" i="1"/>
  <c r="F86" i="1"/>
  <c r="D86" i="1"/>
  <c r="C86" i="1"/>
  <c r="R85" i="1"/>
  <c r="Q85" i="1"/>
  <c r="P85" i="1"/>
  <c r="O85" i="1"/>
  <c r="N85" i="1"/>
  <c r="M85" i="1"/>
  <c r="L85" i="1"/>
  <c r="K85" i="1"/>
  <c r="J85" i="1"/>
  <c r="I85" i="1"/>
  <c r="H85" i="1"/>
  <c r="G85" i="1"/>
  <c r="F85" i="1"/>
  <c r="D85" i="1"/>
  <c r="C85" i="1"/>
  <c r="R84" i="1"/>
  <c r="Q84" i="1"/>
  <c r="P84" i="1"/>
  <c r="O84" i="1"/>
  <c r="N84" i="1"/>
  <c r="M84" i="1"/>
  <c r="L84" i="1"/>
  <c r="K84" i="1"/>
  <c r="J84" i="1"/>
  <c r="I84" i="1"/>
  <c r="H84" i="1"/>
  <c r="G84" i="1"/>
  <c r="F84" i="1"/>
  <c r="D84" i="1"/>
  <c r="C84" i="1"/>
  <c r="R83" i="1"/>
  <c r="Q83" i="1"/>
  <c r="P83" i="1"/>
  <c r="O83" i="1"/>
  <c r="N83" i="1"/>
  <c r="M83" i="1"/>
  <c r="L83" i="1"/>
  <c r="K83" i="1"/>
  <c r="J83" i="1"/>
  <c r="I83" i="1"/>
  <c r="H83" i="1"/>
  <c r="G83" i="1"/>
  <c r="F83" i="1"/>
  <c r="D83" i="1"/>
  <c r="C83" i="1"/>
  <c r="R82" i="1"/>
  <c r="Q82" i="1"/>
  <c r="P82" i="1"/>
  <c r="O82" i="1"/>
  <c r="N82" i="1"/>
  <c r="M82" i="1"/>
  <c r="L82" i="1"/>
  <c r="K82" i="1"/>
  <c r="J82" i="1"/>
  <c r="I82" i="1"/>
  <c r="H82" i="1"/>
  <c r="G82" i="1"/>
  <c r="F82" i="1"/>
  <c r="D82" i="1"/>
  <c r="C82" i="1"/>
  <c r="R81" i="1"/>
  <c r="Q81" i="1"/>
  <c r="P81" i="1"/>
  <c r="O81" i="1"/>
  <c r="N81" i="1"/>
  <c r="M81" i="1"/>
  <c r="L81" i="1"/>
  <c r="K81" i="1"/>
  <c r="J81" i="1"/>
  <c r="I81" i="1"/>
  <c r="H81" i="1"/>
  <c r="G81" i="1"/>
  <c r="F81" i="1"/>
  <c r="D81" i="1"/>
  <c r="C81" i="1"/>
  <c r="R80" i="1"/>
  <c r="Q80" i="1"/>
  <c r="P80" i="1"/>
  <c r="O80" i="1"/>
  <c r="N80" i="1"/>
  <c r="M80" i="1"/>
  <c r="L80" i="1"/>
  <c r="K80" i="1"/>
  <c r="J80" i="1"/>
  <c r="I80" i="1"/>
  <c r="H80" i="1"/>
  <c r="G80" i="1"/>
  <c r="F80" i="1"/>
  <c r="D80" i="1"/>
  <c r="C80" i="1"/>
  <c r="R79" i="1"/>
  <c r="Q79" i="1"/>
  <c r="P79" i="1"/>
  <c r="O79" i="1"/>
  <c r="N79" i="1"/>
  <c r="M79" i="1"/>
  <c r="L79" i="1"/>
  <c r="K79" i="1"/>
  <c r="J79" i="1"/>
  <c r="I79" i="1"/>
  <c r="H79" i="1"/>
  <c r="G79" i="1"/>
  <c r="F79" i="1"/>
  <c r="D79" i="1"/>
  <c r="C79" i="1"/>
  <c r="R78" i="1"/>
  <c r="Q78" i="1"/>
  <c r="P78" i="1"/>
  <c r="O78" i="1"/>
  <c r="N78" i="1"/>
  <c r="M78" i="1"/>
  <c r="L78" i="1"/>
  <c r="K78" i="1"/>
  <c r="J78" i="1"/>
  <c r="I78" i="1"/>
  <c r="H78" i="1"/>
  <c r="G78" i="1"/>
  <c r="F78" i="1"/>
  <c r="D78" i="1"/>
  <c r="C78" i="1"/>
  <c r="R77" i="1"/>
  <c r="Q77" i="1"/>
  <c r="P77" i="1"/>
  <c r="O77" i="1"/>
  <c r="N77" i="1"/>
  <c r="M77" i="1"/>
  <c r="L77" i="1"/>
  <c r="K77" i="1"/>
  <c r="J77" i="1"/>
  <c r="I77" i="1"/>
  <c r="H77" i="1"/>
  <c r="G77" i="1"/>
  <c r="F77" i="1"/>
  <c r="D77" i="1"/>
  <c r="C77" i="1"/>
  <c r="R76" i="1"/>
  <c r="Q76" i="1"/>
  <c r="P76" i="1"/>
  <c r="O76" i="1"/>
  <c r="N76" i="1"/>
  <c r="M76" i="1"/>
  <c r="L76" i="1"/>
  <c r="K76" i="1"/>
  <c r="J76" i="1"/>
  <c r="I76" i="1"/>
  <c r="H76" i="1"/>
  <c r="G76" i="1"/>
  <c r="F76" i="1"/>
  <c r="D76" i="1"/>
  <c r="C76" i="1"/>
  <c r="R75" i="1"/>
  <c r="Q75" i="1"/>
  <c r="P75" i="1"/>
  <c r="O75" i="1"/>
  <c r="N75" i="1"/>
  <c r="M75" i="1"/>
  <c r="L75" i="1"/>
  <c r="K75" i="1"/>
  <c r="J75" i="1"/>
  <c r="I75" i="1"/>
  <c r="H75" i="1"/>
  <c r="G75" i="1"/>
  <c r="F75" i="1"/>
  <c r="D75" i="1"/>
  <c r="C75" i="1"/>
  <c r="R74" i="1"/>
  <c r="Q74" i="1"/>
  <c r="P74" i="1"/>
  <c r="O74" i="1"/>
  <c r="N74" i="1"/>
  <c r="M74" i="1"/>
  <c r="L74" i="1"/>
  <c r="K74" i="1"/>
  <c r="J74" i="1"/>
  <c r="I74" i="1"/>
  <c r="H74" i="1"/>
  <c r="G74" i="1"/>
  <c r="F74" i="1"/>
  <c r="D74" i="1"/>
  <c r="C74" i="1"/>
  <c r="R73" i="1"/>
  <c r="Q73" i="1"/>
  <c r="P73" i="1"/>
  <c r="O73" i="1"/>
  <c r="N73" i="1"/>
  <c r="M73" i="1"/>
  <c r="L73" i="1"/>
  <c r="K73" i="1"/>
  <c r="J73" i="1"/>
  <c r="I73" i="1"/>
  <c r="H73" i="1"/>
  <c r="G73" i="1"/>
  <c r="F73" i="1"/>
  <c r="D73" i="1"/>
  <c r="C73" i="1"/>
  <c r="R72" i="1"/>
  <c r="Q72" i="1"/>
  <c r="P72" i="1"/>
  <c r="O72" i="1"/>
  <c r="N72" i="1"/>
  <c r="M72" i="1"/>
  <c r="L72" i="1"/>
  <c r="K72" i="1"/>
  <c r="J72" i="1"/>
  <c r="I72" i="1"/>
  <c r="H72" i="1"/>
  <c r="G72" i="1"/>
  <c r="F72" i="1"/>
  <c r="D72" i="1"/>
  <c r="C72" i="1"/>
  <c r="R71" i="1"/>
  <c r="Q71" i="1"/>
  <c r="P71" i="1"/>
  <c r="O71" i="1"/>
  <c r="N71" i="1"/>
  <c r="M71" i="1"/>
  <c r="L71" i="1"/>
  <c r="K71" i="1"/>
  <c r="J71" i="1"/>
  <c r="I71" i="1"/>
  <c r="H71" i="1"/>
  <c r="G71" i="1"/>
  <c r="F71" i="1"/>
  <c r="D71" i="1"/>
  <c r="C71" i="1"/>
  <c r="R70" i="1"/>
  <c r="Q70" i="1"/>
  <c r="P70" i="1"/>
  <c r="O70" i="1"/>
  <c r="N70" i="1"/>
  <c r="M70" i="1"/>
  <c r="L70" i="1"/>
  <c r="K70" i="1"/>
  <c r="J70" i="1"/>
  <c r="I70" i="1"/>
  <c r="H70" i="1"/>
  <c r="G70" i="1"/>
  <c r="F70" i="1"/>
  <c r="D70" i="1"/>
  <c r="C70" i="1"/>
  <c r="R69" i="1"/>
  <c r="Q69" i="1"/>
  <c r="P69" i="1"/>
  <c r="O69" i="1"/>
  <c r="N69" i="1"/>
  <c r="M69" i="1"/>
  <c r="L69" i="1"/>
  <c r="K69" i="1"/>
  <c r="J69" i="1"/>
  <c r="I69" i="1"/>
  <c r="H69" i="1"/>
  <c r="G69" i="1"/>
  <c r="F69" i="1"/>
  <c r="D69" i="1"/>
  <c r="C69" i="1"/>
  <c r="R68" i="1"/>
  <c r="Q68" i="1"/>
  <c r="P68" i="1"/>
  <c r="O68" i="1"/>
  <c r="N68" i="1"/>
  <c r="M68" i="1"/>
  <c r="L68" i="1"/>
  <c r="K68" i="1"/>
  <c r="J68" i="1"/>
  <c r="I68" i="1"/>
  <c r="H68" i="1"/>
  <c r="G68" i="1"/>
  <c r="F68" i="1"/>
  <c r="D68" i="1"/>
  <c r="C68" i="1"/>
  <c r="R67" i="1"/>
  <c r="Q67" i="1"/>
  <c r="P67" i="1"/>
  <c r="O67" i="1"/>
  <c r="N67" i="1"/>
  <c r="M67" i="1"/>
  <c r="L67" i="1"/>
  <c r="K67" i="1"/>
  <c r="J67" i="1"/>
  <c r="I67" i="1"/>
  <c r="H67" i="1"/>
  <c r="G67" i="1"/>
  <c r="F67" i="1"/>
  <c r="D67" i="1"/>
  <c r="C67" i="1"/>
  <c r="R66" i="1"/>
  <c r="Q66" i="1"/>
  <c r="P66" i="1"/>
  <c r="O66" i="1"/>
  <c r="N66" i="1"/>
  <c r="M66" i="1"/>
  <c r="L66" i="1"/>
  <c r="K66" i="1"/>
  <c r="J66" i="1"/>
  <c r="I66" i="1"/>
  <c r="H66" i="1"/>
  <c r="G66" i="1"/>
  <c r="F66" i="1"/>
  <c r="D66" i="1"/>
  <c r="C66" i="1"/>
  <c r="R65" i="1"/>
  <c r="Q65" i="1"/>
  <c r="P65" i="1"/>
  <c r="O65" i="1"/>
  <c r="N65" i="1"/>
  <c r="M65" i="1"/>
  <c r="L65" i="1"/>
  <c r="K65" i="1"/>
  <c r="J65" i="1"/>
  <c r="I65" i="1"/>
  <c r="H65" i="1"/>
  <c r="G65" i="1"/>
  <c r="F65" i="1"/>
  <c r="D65" i="1"/>
  <c r="C65" i="1"/>
  <c r="R64" i="1"/>
  <c r="Q64" i="1"/>
  <c r="P64" i="1"/>
  <c r="O64" i="1"/>
  <c r="N64" i="1"/>
  <c r="M64" i="1"/>
  <c r="L64" i="1"/>
  <c r="K64" i="1"/>
  <c r="J64" i="1"/>
  <c r="I64" i="1"/>
  <c r="H64" i="1"/>
  <c r="G64" i="1"/>
  <c r="F64" i="1"/>
  <c r="D64" i="1"/>
  <c r="C64" i="1"/>
  <c r="R63" i="1"/>
  <c r="Q63" i="1"/>
  <c r="P63" i="1"/>
  <c r="O63" i="1"/>
  <c r="N63" i="1"/>
  <c r="M63" i="1"/>
  <c r="L63" i="1"/>
  <c r="K63" i="1"/>
  <c r="J63" i="1"/>
  <c r="I63" i="1"/>
  <c r="H63" i="1"/>
  <c r="G63" i="1"/>
  <c r="F63" i="1"/>
  <c r="D63" i="1"/>
  <c r="C63" i="1"/>
  <c r="R62" i="1"/>
  <c r="Q62" i="1"/>
  <c r="P62" i="1"/>
  <c r="O62" i="1"/>
  <c r="N62" i="1"/>
  <c r="M62" i="1"/>
  <c r="L62" i="1"/>
  <c r="K62" i="1"/>
  <c r="J62" i="1"/>
  <c r="I62" i="1"/>
  <c r="H62" i="1"/>
  <c r="G62" i="1"/>
  <c r="F62" i="1"/>
  <c r="D62" i="1"/>
  <c r="C62" i="1"/>
  <c r="R61" i="1"/>
  <c r="Q61" i="1"/>
  <c r="P61" i="1"/>
  <c r="O61" i="1"/>
  <c r="N61" i="1"/>
  <c r="M61" i="1"/>
  <c r="L61" i="1"/>
  <c r="K61" i="1"/>
  <c r="J61" i="1"/>
  <c r="I61" i="1"/>
  <c r="H61" i="1"/>
  <c r="G61" i="1"/>
  <c r="F61" i="1"/>
  <c r="D61" i="1"/>
  <c r="C61" i="1"/>
  <c r="R60" i="1"/>
  <c r="Q60" i="1"/>
  <c r="P60" i="1"/>
  <c r="O60" i="1"/>
  <c r="N60" i="1"/>
  <c r="M60" i="1"/>
  <c r="L60" i="1"/>
  <c r="K60" i="1"/>
  <c r="J60" i="1"/>
  <c r="I60" i="1"/>
  <c r="H60" i="1"/>
  <c r="G60" i="1"/>
  <c r="F60" i="1"/>
  <c r="D60" i="1"/>
  <c r="C60" i="1"/>
  <c r="R59" i="1"/>
  <c r="Q59" i="1"/>
  <c r="P59" i="1"/>
  <c r="O59" i="1"/>
  <c r="N59" i="1"/>
  <c r="M59" i="1"/>
  <c r="L59" i="1"/>
  <c r="K59" i="1"/>
  <c r="J59" i="1"/>
  <c r="I59" i="1"/>
  <c r="H59" i="1"/>
  <c r="G59" i="1"/>
  <c r="F59" i="1"/>
  <c r="D59" i="1"/>
  <c r="C59" i="1"/>
  <c r="R58" i="1"/>
  <c r="Q58" i="1"/>
  <c r="P58" i="1"/>
  <c r="O58" i="1"/>
  <c r="N58" i="1"/>
  <c r="M58" i="1"/>
  <c r="L58" i="1"/>
  <c r="K58" i="1"/>
  <c r="J58" i="1"/>
  <c r="I58" i="1"/>
  <c r="H58" i="1"/>
  <c r="G58" i="1"/>
  <c r="F58" i="1"/>
  <c r="D58" i="1"/>
  <c r="C58" i="1"/>
  <c r="R57" i="1"/>
  <c r="Q57" i="1"/>
  <c r="P57" i="1"/>
  <c r="O57" i="1"/>
  <c r="N57" i="1"/>
  <c r="M57" i="1"/>
  <c r="L57" i="1"/>
  <c r="K57" i="1"/>
  <c r="J57" i="1"/>
  <c r="I57" i="1"/>
  <c r="H57" i="1"/>
  <c r="G57" i="1"/>
  <c r="F57" i="1"/>
  <c r="D57" i="1"/>
  <c r="C57" i="1"/>
  <c r="R56" i="1"/>
  <c r="Q56" i="1"/>
  <c r="P56" i="1"/>
  <c r="O56" i="1"/>
  <c r="N56" i="1"/>
  <c r="M56" i="1"/>
  <c r="L56" i="1"/>
  <c r="K56" i="1"/>
  <c r="J56" i="1"/>
  <c r="I56" i="1"/>
  <c r="H56" i="1"/>
  <c r="G56" i="1"/>
  <c r="F56" i="1"/>
  <c r="D56" i="1"/>
  <c r="C56" i="1"/>
  <c r="R55" i="1"/>
  <c r="Q55" i="1"/>
  <c r="P55" i="1"/>
  <c r="O55" i="1"/>
  <c r="N55" i="1"/>
  <c r="M55" i="1"/>
  <c r="L55" i="1"/>
  <c r="K55" i="1"/>
  <c r="J55" i="1"/>
  <c r="I55" i="1"/>
  <c r="H55" i="1"/>
  <c r="G55" i="1"/>
  <c r="F55" i="1"/>
  <c r="D55" i="1"/>
  <c r="C55" i="1"/>
  <c r="R54" i="1"/>
  <c r="Q54" i="1"/>
  <c r="P54" i="1"/>
  <c r="O54" i="1"/>
  <c r="N54" i="1"/>
  <c r="M54" i="1"/>
  <c r="L54" i="1"/>
  <c r="K54" i="1"/>
  <c r="J54" i="1"/>
  <c r="I54" i="1"/>
  <c r="H54" i="1"/>
  <c r="G54" i="1"/>
  <c r="F54" i="1"/>
  <c r="D54" i="1"/>
  <c r="C54" i="1"/>
  <c r="R53" i="1"/>
  <c r="Q53" i="1"/>
  <c r="P53" i="1"/>
  <c r="O53" i="1"/>
  <c r="N53" i="1"/>
  <c r="M53" i="1"/>
  <c r="L53" i="1"/>
  <c r="K53" i="1"/>
  <c r="J53" i="1"/>
  <c r="I53" i="1"/>
  <c r="H53" i="1"/>
  <c r="G53" i="1"/>
  <c r="F53" i="1"/>
  <c r="D53" i="1"/>
  <c r="C53" i="1"/>
  <c r="R52" i="1"/>
  <c r="Q52" i="1"/>
  <c r="P52" i="1"/>
  <c r="O52" i="1"/>
  <c r="N52" i="1"/>
  <c r="M52" i="1"/>
  <c r="L52" i="1"/>
  <c r="K52" i="1"/>
  <c r="J52" i="1"/>
  <c r="I52" i="1"/>
  <c r="H52" i="1"/>
  <c r="G52" i="1"/>
  <c r="F52" i="1"/>
  <c r="D52" i="1"/>
  <c r="C52" i="1"/>
  <c r="R51" i="1"/>
  <c r="Q51" i="1"/>
  <c r="P51" i="1"/>
  <c r="O51" i="1"/>
  <c r="N51" i="1"/>
  <c r="M51" i="1"/>
  <c r="L51" i="1"/>
  <c r="K51" i="1"/>
  <c r="J51" i="1"/>
  <c r="I51" i="1"/>
  <c r="H51" i="1"/>
  <c r="G51" i="1"/>
  <c r="F51" i="1"/>
  <c r="D51" i="1"/>
  <c r="C51" i="1"/>
  <c r="R50" i="1"/>
  <c r="Q50" i="1"/>
  <c r="P50" i="1"/>
  <c r="O50" i="1"/>
  <c r="N50" i="1"/>
  <c r="M50" i="1"/>
  <c r="L50" i="1"/>
  <c r="K50" i="1"/>
  <c r="J50" i="1"/>
  <c r="I50" i="1"/>
  <c r="H50" i="1"/>
  <c r="G50" i="1"/>
  <c r="F50" i="1"/>
  <c r="D50" i="1"/>
  <c r="C50" i="1"/>
  <c r="R49" i="1"/>
  <c r="Q49" i="1"/>
  <c r="P49" i="1"/>
  <c r="O49" i="1"/>
  <c r="N49" i="1"/>
  <c r="M49" i="1"/>
  <c r="L49" i="1"/>
  <c r="K49" i="1"/>
  <c r="J49" i="1"/>
  <c r="I49" i="1"/>
  <c r="H49" i="1"/>
  <c r="G49" i="1"/>
  <c r="F49" i="1"/>
  <c r="D49" i="1"/>
  <c r="C49" i="1"/>
  <c r="R48" i="1"/>
  <c r="Q48" i="1"/>
  <c r="P48" i="1"/>
  <c r="O48" i="1"/>
  <c r="N48" i="1"/>
  <c r="M48" i="1"/>
  <c r="L48" i="1"/>
  <c r="K48" i="1"/>
  <c r="J48" i="1"/>
  <c r="I48" i="1"/>
  <c r="H48" i="1"/>
  <c r="G48" i="1"/>
  <c r="F48" i="1"/>
  <c r="D48" i="1"/>
  <c r="C48" i="1"/>
  <c r="R47" i="1"/>
  <c r="Q47" i="1"/>
  <c r="P47" i="1"/>
  <c r="O47" i="1"/>
  <c r="N47" i="1"/>
  <c r="M47" i="1"/>
  <c r="L47" i="1"/>
  <c r="K47" i="1"/>
  <c r="J47" i="1"/>
  <c r="I47" i="1"/>
  <c r="H47" i="1"/>
  <c r="G47" i="1"/>
  <c r="F47" i="1"/>
  <c r="D47" i="1"/>
  <c r="C47" i="1"/>
  <c r="R46" i="1"/>
  <c r="Q46" i="1"/>
  <c r="P46" i="1"/>
  <c r="O46" i="1"/>
  <c r="N46" i="1"/>
  <c r="M46" i="1"/>
  <c r="K46" i="1"/>
  <c r="I46" i="1"/>
  <c r="H46" i="1"/>
  <c r="G46" i="1"/>
  <c r="F46" i="1"/>
  <c r="D46" i="1"/>
  <c r="C46" i="1"/>
  <c r="R45" i="1"/>
  <c r="Q45" i="1"/>
  <c r="P45" i="1"/>
  <c r="O45" i="1"/>
  <c r="N45" i="1"/>
  <c r="M45" i="1"/>
  <c r="K45" i="1"/>
  <c r="I45" i="1"/>
  <c r="J45" i="1" s="1"/>
  <c r="H45" i="1"/>
  <c r="G45" i="1"/>
  <c r="F45" i="1"/>
  <c r="D45" i="1"/>
  <c r="C45" i="1"/>
  <c r="R44" i="1"/>
  <c r="Q44" i="1"/>
  <c r="P44" i="1"/>
  <c r="O44" i="1"/>
  <c r="N44" i="1"/>
  <c r="M44" i="1"/>
  <c r="K44" i="1"/>
  <c r="I44" i="1"/>
  <c r="H44" i="1"/>
  <c r="G44" i="1"/>
  <c r="F44" i="1"/>
  <c r="D44" i="1"/>
  <c r="C44" i="1"/>
  <c r="R43" i="1"/>
  <c r="Q43" i="1"/>
  <c r="P43" i="1"/>
  <c r="O43" i="1"/>
  <c r="N43" i="1"/>
  <c r="M43" i="1"/>
  <c r="K43" i="1"/>
  <c r="I43" i="1"/>
  <c r="H43" i="1"/>
  <c r="G43" i="1"/>
  <c r="F43" i="1"/>
  <c r="D43" i="1"/>
  <c r="C43" i="1"/>
  <c r="R42" i="1"/>
  <c r="Q42" i="1"/>
  <c r="P42" i="1"/>
  <c r="O42" i="1"/>
  <c r="N42" i="1"/>
  <c r="M42" i="1"/>
  <c r="K42" i="1"/>
  <c r="I42" i="1"/>
  <c r="L42" i="1" s="1"/>
  <c r="H42" i="1"/>
  <c r="G42" i="1"/>
  <c r="F42" i="1"/>
  <c r="D42" i="1"/>
  <c r="C42" i="1"/>
  <c r="R41" i="1"/>
  <c r="Q41" i="1"/>
  <c r="P41" i="1"/>
  <c r="O41" i="1"/>
  <c r="N41" i="1"/>
  <c r="M41" i="1"/>
  <c r="K41" i="1"/>
  <c r="I41" i="1"/>
  <c r="H41" i="1"/>
  <c r="G41" i="1"/>
  <c r="F41" i="1"/>
  <c r="D41" i="1"/>
  <c r="C41" i="1"/>
  <c r="R40" i="1"/>
  <c r="Q40" i="1"/>
  <c r="P40" i="1"/>
  <c r="O40" i="1"/>
  <c r="N40" i="1"/>
  <c r="M40" i="1"/>
  <c r="K40" i="1"/>
  <c r="I40" i="1"/>
  <c r="H40" i="1"/>
  <c r="G40" i="1"/>
  <c r="F40" i="1"/>
  <c r="D40" i="1"/>
  <c r="C40" i="1"/>
  <c r="R39" i="1"/>
  <c r="Q39" i="1"/>
  <c r="P39" i="1"/>
  <c r="O39" i="1"/>
  <c r="N39" i="1"/>
  <c r="M39" i="1"/>
  <c r="K39" i="1"/>
  <c r="I39" i="1"/>
  <c r="J39" i="1" s="1"/>
  <c r="H39" i="1"/>
  <c r="G39" i="1"/>
  <c r="F39" i="1"/>
  <c r="D39" i="1"/>
  <c r="C39" i="1"/>
  <c r="R38" i="1"/>
  <c r="Q38" i="1"/>
  <c r="P38" i="1"/>
  <c r="O38" i="1"/>
  <c r="N38" i="1"/>
  <c r="M38" i="1"/>
  <c r="K38" i="1"/>
  <c r="I38" i="1"/>
  <c r="H38" i="1"/>
  <c r="G38" i="1"/>
  <c r="F38" i="1"/>
  <c r="D38" i="1"/>
  <c r="C38" i="1"/>
  <c r="R37" i="1"/>
  <c r="Q37" i="1"/>
  <c r="P37" i="1"/>
  <c r="O37" i="1"/>
  <c r="N37" i="1"/>
  <c r="M37" i="1"/>
  <c r="K37" i="1"/>
  <c r="I37" i="1"/>
  <c r="L37" i="1" s="1"/>
  <c r="H37" i="1"/>
  <c r="G37" i="1"/>
  <c r="F37" i="1"/>
  <c r="D37" i="1"/>
  <c r="C37" i="1"/>
  <c r="R36" i="1"/>
  <c r="Q36" i="1"/>
  <c r="P36" i="1"/>
  <c r="O36" i="1"/>
  <c r="N36" i="1"/>
  <c r="M36" i="1"/>
  <c r="K36" i="1"/>
  <c r="I36" i="1"/>
  <c r="H36" i="1"/>
  <c r="G36" i="1"/>
  <c r="F36" i="1"/>
  <c r="D36" i="1"/>
  <c r="C36" i="1"/>
  <c r="R35" i="1"/>
  <c r="Q35" i="1"/>
  <c r="P35" i="1"/>
  <c r="O35" i="1"/>
  <c r="N35" i="1"/>
  <c r="M35" i="1"/>
  <c r="K35" i="1"/>
  <c r="I35" i="1"/>
  <c r="H35" i="1"/>
  <c r="G35" i="1"/>
  <c r="F35" i="1"/>
  <c r="D35" i="1"/>
  <c r="C35" i="1"/>
  <c r="R34" i="1"/>
  <c r="Q34" i="1"/>
  <c r="P34" i="1"/>
  <c r="O34" i="1"/>
  <c r="N34" i="1"/>
  <c r="M34" i="1"/>
  <c r="K34" i="1"/>
  <c r="I34" i="1"/>
  <c r="H34" i="1"/>
  <c r="G34" i="1"/>
  <c r="F34" i="1"/>
  <c r="J34" i="1" s="1"/>
  <c r="D34" i="1"/>
  <c r="C34" i="1"/>
  <c r="R33" i="1"/>
  <c r="Q33" i="1"/>
  <c r="P33" i="1"/>
  <c r="O33" i="1"/>
  <c r="N33" i="1"/>
  <c r="M33" i="1"/>
  <c r="K33" i="1"/>
  <c r="I33" i="1"/>
  <c r="H33" i="1"/>
  <c r="G33" i="1"/>
  <c r="F33" i="1"/>
  <c r="D33" i="1"/>
  <c r="C33" i="1"/>
  <c r="R32" i="1"/>
  <c r="Q32" i="1"/>
  <c r="P32" i="1"/>
  <c r="O32" i="1"/>
  <c r="N32" i="1"/>
  <c r="M32" i="1"/>
  <c r="K32" i="1"/>
  <c r="I32" i="1"/>
  <c r="H32" i="1"/>
  <c r="G32" i="1"/>
  <c r="F32" i="1"/>
  <c r="D32" i="1"/>
  <c r="C32" i="1"/>
  <c r="R31" i="1"/>
  <c r="Q31" i="1"/>
  <c r="P31" i="1"/>
  <c r="O31" i="1"/>
  <c r="N31" i="1"/>
  <c r="M31" i="1"/>
  <c r="K31" i="1"/>
  <c r="I31" i="1"/>
  <c r="H31" i="1"/>
  <c r="G31" i="1"/>
  <c r="F31" i="1"/>
  <c r="D31" i="1"/>
  <c r="C31" i="1"/>
  <c r="R30" i="1"/>
  <c r="Q30" i="1"/>
  <c r="P30" i="1"/>
  <c r="O30" i="1"/>
  <c r="N30" i="1"/>
  <c r="M30" i="1"/>
  <c r="K30" i="1"/>
  <c r="I30" i="1"/>
  <c r="H30" i="1"/>
  <c r="G30" i="1"/>
  <c r="F30" i="1"/>
  <c r="D30" i="1"/>
  <c r="C30" i="1"/>
  <c r="R29" i="1"/>
  <c r="Q29" i="1"/>
  <c r="P29" i="1"/>
  <c r="O29" i="1"/>
  <c r="N29" i="1"/>
  <c r="M29" i="1"/>
  <c r="K29" i="1"/>
  <c r="I29" i="1"/>
  <c r="H29" i="1"/>
  <c r="G29" i="1"/>
  <c r="F29" i="1"/>
  <c r="D29" i="1"/>
  <c r="C29" i="1"/>
  <c r="R28" i="1"/>
  <c r="Q28" i="1"/>
  <c r="P28" i="1"/>
  <c r="O28" i="1"/>
  <c r="N28" i="1"/>
  <c r="M28" i="1"/>
  <c r="K28" i="1"/>
  <c r="I28" i="1"/>
  <c r="H28" i="1"/>
  <c r="G28" i="1"/>
  <c r="F28" i="1"/>
  <c r="D28" i="1"/>
  <c r="C28" i="1"/>
  <c r="R27" i="1"/>
  <c r="Q27" i="1"/>
  <c r="P27" i="1"/>
  <c r="O27" i="1"/>
  <c r="N27" i="1"/>
  <c r="M27" i="1"/>
  <c r="K27" i="1"/>
  <c r="I27" i="1"/>
  <c r="H27" i="1"/>
  <c r="G27" i="1"/>
  <c r="F27" i="1"/>
  <c r="D27" i="1"/>
  <c r="C27" i="1"/>
  <c r="R26" i="1"/>
  <c r="Q26" i="1"/>
  <c r="P26" i="1"/>
  <c r="O26" i="1"/>
  <c r="N26" i="1"/>
  <c r="M26" i="1"/>
  <c r="K26" i="1"/>
  <c r="I26" i="1"/>
  <c r="H26" i="1"/>
  <c r="G26" i="1"/>
  <c r="F26" i="1"/>
  <c r="D26" i="1"/>
  <c r="C26" i="1"/>
  <c r="R25" i="1"/>
  <c r="Q25" i="1"/>
  <c r="P25" i="1"/>
  <c r="O25" i="1"/>
  <c r="N25" i="1"/>
  <c r="M25" i="1"/>
  <c r="K25" i="1"/>
  <c r="L25" i="1" s="1"/>
  <c r="I25" i="1"/>
  <c r="H25" i="1"/>
  <c r="G25" i="1"/>
  <c r="F25" i="1"/>
  <c r="D25" i="1"/>
  <c r="C25" i="1"/>
  <c r="R24" i="1"/>
  <c r="Q24" i="1"/>
  <c r="P24" i="1"/>
  <c r="O24" i="1"/>
  <c r="N24" i="1"/>
  <c r="M24" i="1"/>
  <c r="K24" i="1"/>
  <c r="I24" i="1"/>
  <c r="H24" i="1"/>
  <c r="G24" i="1"/>
  <c r="F24" i="1"/>
  <c r="D24" i="1"/>
  <c r="C24" i="1"/>
  <c r="R23" i="1"/>
  <c r="Q23" i="1"/>
  <c r="P23" i="1"/>
  <c r="O23" i="1"/>
  <c r="N23" i="1"/>
  <c r="M23" i="1"/>
  <c r="K23" i="1"/>
  <c r="I23" i="1"/>
  <c r="H23" i="1"/>
  <c r="G23" i="1"/>
  <c r="F23" i="1"/>
  <c r="D23" i="1"/>
  <c r="C23" i="1"/>
  <c r="R22" i="1"/>
  <c r="Q22" i="1"/>
  <c r="P22" i="1"/>
  <c r="O22" i="1"/>
  <c r="N22" i="1"/>
  <c r="M22" i="1"/>
  <c r="K22" i="1"/>
  <c r="I22" i="1"/>
  <c r="L22" i="1" s="1"/>
  <c r="H22" i="1"/>
  <c r="G22" i="1"/>
  <c r="F22" i="1"/>
  <c r="D22" i="1"/>
  <c r="C22" i="1"/>
  <c r="R21" i="1"/>
  <c r="Q21" i="1"/>
  <c r="P21" i="1"/>
  <c r="O21" i="1"/>
  <c r="N21" i="1"/>
  <c r="M21" i="1"/>
  <c r="K21" i="1"/>
  <c r="I21" i="1"/>
  <c r="H21" i="1"/>
  <c r="G21" i="1"/>
  <c r="F21" i="1"/>
  <c r="D21" i="1"/>
  <c r="C21" i="1"/>
  <c r="R20" i="1"/>
  <c r="Q20" i="1"/>
  <c r="P20" i="1"/>
  <c r="O20" i="1"/>
  <c r="N20" i="1"/>
  <c r="M20" i="1"/>
  <c r="K20" i="1"/>
  <c r="I20" i="1"/>
  <c r="H20" i="1"/>
  <c r="G20" i="1"/>
  <c r="F20" i="1"/>
  <c r="D20" i="1"/>
  <c r="C20" i="1"/>
  <c r="R19" i="1"/>
  <c r="Q19" i="1"/>
  <c r="P19" i="1"/>
  <c r="O19" i="1"/>
  <c r="N19" i="1"/>
  <c r="M19" i="1"/>
  <c r="K19" i="1"/>
  <c r="I19" i="1"/>
  <c r="J19" i="1" s="1"/>
  <c r="H19" i="1"/>
  <c r="G19" i="1"/>
  <c r="F19" i="1"/>
  <c r="D19" i="1"/>
  <c r="C19" i="1"/>
  <c r="R18" i="1"/>
  <c r="Q18" i="1"/>
  <c r="P18" i="1"/>
  <c r="O18" i="1"/>
  <c r="N18" i="1"/>
  <c r="M18" i="1"/>
  <c r="K18" i="1"/>
  <c r="I18" i="1"/>
  <c r="H18" i="1"/>
  <c r="G18" i="1"/>
  <c r="F18" i="1"/>
  <c r="D18" i="1"/>
  <c r="C18" i="1"/>
  <c r="J42" i="1" l="1"/>
  <c r="J33" i="1"/>
  <c r="L30" i="1"/>
  <c r="J27" i="1"/>
  <c r="L24" i="1"/>
  <c r="J21" i="1"/>
  <c r="L18" i="1"/>
  <c r="L29" i="1"/>
  <c r="L38" i="1"/>
  <c r="J43" i="1"/>
  <c r="L46" i="1"/>
  <c r="J41" i="1"/>
  <c r="L32" i="1"/>
  <c r="L35" i="1"/>
  <c r="L33" i="1"/>
  <c r="L21" i="1"/>
  <c r="J29" i="1"/>
  <c r="L20" i="1"/>
  <c r="J23" i="1"/>
  <c r="L26" i="1"/>
  <c r="L41" i="1"/>
  <c r="L44" i="1"/>
  <c r="L40" i="1"/>
  <c r="L45" i="1"/>
  <c r="J37" i="1"/>
  <c r="J25" i="1"/>
  <c r="L28" i="1"/>
  <c r="L31" i="1"/>
  <c r="L34" i="1"/>
  <c r="L36" i="1"/>
  <c r="J40" i="1"/>
  <c r="J32" i="1"/>
  <c r="J44" i="1"/>
  <c r="J20" i="1"/>
  <c r="J24" i="1"/>
  <c r="J28" i="1"/>
  <c r="J36" i="1"/>
  <c r="J31" i="1"/>
  <c r="J35" i="1"/>
  <c r="L23" i="1"/>
  <c r="L27" i="1"/>
  <c r="L39" i="1"/>
  <c r="L43" i="1"/>
  <c r="L19" i="1"/>
  <c r="J18" i="1"/>
  <c r="J22" i="1"/>
  <c r="J26" i="1"/>
  <c r="J30" i="1"/>
  <c r="J38" i="1"/>
  <c r="J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7" authorId="0" shapeId="0" xr:uid="{00000000-0006-0000-0000-000001000000}">
      <text>
        <r>
          <rPr>
            <sz val="10"/>
            <color rgb="FF000000"/>
            <rFont val="Arial"/>
            <scheme val="minor"/>
          </rPr>
          <t xml:space="preserve">Enter the ticker name for your stock/ETF/crypto available in Google Finance (https://www.google.com/finance/)
If you're adding crypto to your Watchlist that is not Bitcoin, Ethereum, Litecoin, or Bitcoin Cash, go to https://coinmarketcap.com/ and click the crypto that you want to add to the tracker. Look at the URL and enter the name shown after "currencies/" in the URL. 
For example, if you want to add SHIBA INU look at the URL (https://coinmarketcap.com/currencies/shiba-inu/). You should enter Shiba-inu as the Ticker. </t>
        </r>
      </text>
    </comment>
    <comment ref="F17" authorId="0" shapeId="0" xr:uid="{00000000-0006-0000-0000-000002000000}">
      <text>
        <r>
          <rPr>
            <sz val="10"/>
            <color rgb="FF000000"/>
            <rFont val="Arial"/>
            <scheme val="minor"/>
          </rPr>
          <t>Cryptocurrency prices are shown in USD. To change the currency pair enter your desired currency in cell C13.
If you're only adding Bitcoin, Ethereum, Litcoin, or Bitcoin Cash to the Watchlist, feel free to enter the ticker with your desired currency (E.g. ETHUSD for Ethereum in USD). 
This will show you the current price from Google's data base instead of coinmarketcap.com as well as the the trendy chart because these 4 cryptos have tickers that are available in the parameters of =GOOGLEFINANCE.</t>
        </r>
      </text>
    </comment>
  </commentList>
</comments>
</file>

<file path=xl/sharedStrings.xml><?xml version="1.0" encoding="utf-8"?>
<sst xmlns="http://schemas.openxmlformats.org/spreadsheetml/2006/main" count="50" uniqueCount="47">
  <si>
    <t xml:space="preserve">Watchlist Tracker </t>
  </si>
  <si>
    <t>Parameter</t>
  </si>
  <si>
    <t>List of XPATHs</t>
  </si>
  <si>
    <t>Current Price</t>
  </si>
  <si>
    <t>//*[@id="__next"]/div[1]/div/div[2]/div/div[1]/div[2]/div/div[2]/div[1]/div/span</t>
  </si>
  <si>
    <t>Market Cap</t>
  </si>
  <si>
    <t>//*[@id="__next"]/div[1]/div/div[2]/div/div[1]/div[2]/div/div[3]/div[1]/div[1]/div/div[2]/div</t>
  </si>
  <si>
    <t>Ticker</t>
  </si>
  <si>
    <t>Name</t>
  </si>
  <si>
    <t>Day Trend</t>
  </si>
  <si>
    <t>% Change</t>
  </si>
  <si>
    <t>1 Year Return</t>
  </si>
  <si>
    <t>52-Week Low</t>
  </si>
  <si>
    <t>% Off 52-Week Low</t>
  </si>
  <si>
    <t>52-Week High</t>
  </si>
  <si>
    <t>% Off 52-Week High</t>
  </si>
  <si>
    <t>P/E Ratio</t>
  </si>
  <si>
    <t>Link</t>
  </si>
  <si>
    <t>Notes</t>
  </si>
  <si>
    <t>AMZN</t>
  </si>
  <si>
    <t>TSM</t>
  </si>
  <si>
    <t>TSLA</t>
  </si>
  <si>
    <t>META</t>
  </si>
  <si>
    <t>AAPL</t>
  </si>
  <si>
    <t>LON:ISF</t>
  </si>
  <si>
    <t>IWQU</t>
  </si>
  <si>
    <t>IWMO</t>
  </si>
  <si>
    <t>GGRA</t>
  </si>
  <si>
    <t>ASML</t>
  </si>
  <si>
    <t>MVOL</t>
  </si>
  <si>
    <t>COIN</t>
  </si>
  <si>
    <t>RIOT</t>
  </si>
  <si>
    <t>MARA</t>
  </si>
  <si>
    <t>SPY</t>
  </si>
  <si>
    <t>IVV</t>
  </si>
  <si>
    <t>VOO</t>
  </si>
  <si>
    <t>VTI</t>
  </si>
  <si>
    <t>QQQ</t>
  </si>
  <si>
    <t>VEA</t>
  </si>
  <si>
    <t>VUG</t>
  </si>
  <si>
    <t>BND</t>
  </si>
  <si>
    <t>VTV</t>
  </si>
  <si>
    <t>IEFA</t>
  </si>
  <si>
    <t>BTCEUR</t>
  </si>
  <si>
    <t>MSFT</t>
  </si>
  <si>
    <t>NVDA</t>
  </si>
  <si>
    <t>TSE:SHOP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</si>
</sst>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Price&quot;\ #\ &quot;Days Ago&quot;"/>
    <numFmt numFmtId="165" formatCode="#&quot;-Day % Change&quot;"/>
    <numFmt numFmtId="166" formatCode="#\ &quot;Day Chart&quot;"/>
    <numFmt numFmtId="167" formatCode="&quot;$&quot;#,##0.00"/>
  </numFmts>
  <fonts count="12" x14ac:knownFonts="1">
    <font>
      <sz val="10"/>
      <color rgb="FF000000"/>
      <name val="Arial"/>
      <scheme val="minor"/>
    </font>
    <font>
      <sz val="10"/>
      <color theme="1"/>
      <name val="Arial"/>
    </font>
    <font>
      <b/>
      <u/>
      <sz val="12"/>
      <color rgb="FF073763"/>
      <name val="Arial"/>
    </font>
    <font>
      <b/>
      <sz val="30"/>
      <color rgb="FF073763"/>
      <name val="Arial"/>
    </font>
    <font>
      <sz val="10"/>
      <name val="Arial"/>
    </font>
    <font>
      <b/>
      <sz val="24"/>
      <color rgb="FF073763"/>
      <name val="Arial"/>
    </font>
    <font>
      <sz val="10"/>
      <color theme="1"/>
      <name val="Arial"/>
      <scheme val="minor"/>
    </font>
    <font>
      <b/>
      <sz val="12"/>
      <color theme="1"/>
      <name val="Arial"/>
    </font>
    <font>
      <sz val="11"/>
      <color theme="1"/>
      <name val="Arial"/>
    </font>
    <font>
      <b/>
      <sz val="10"/>
      <color theme="1"/>
      <name val="Arial"/>
      <scheme val="minor"/>
    </font>
    <font>
      <b/>
      <sz val="10"/>
      <color rgb="FFFFFFFF"/>
      <name val="Arial"/>
      <scheme val="minor"/>
    </font>
    <font>
      <u/>
      <sz val="10"/>
      <color rgb="FF0000FF"/>
      <name val="Arial"/>
    </font>
  </fonts>
  <fills count="4">
    <fill>
      <patternFill patternType="none"/>
    </fill>
    <fill>
      <patternFill patternType="gray125"/>
    </fill>
    <fill>
      <patternFill patternType="solid">
        <fgColor rgb="FFEFEFEF"/>
        <bgColor rgb="FFEFEFEF"/>
      </patternFill>
    </fill>
    <fill>
      <patternFill patternType="solid">
        <fgColor rgb="FF1C4587"/>
        <bgColor rgb="FF1C4587"/>
      </patternFill>
    </fill>
  </fills>
  <borders count="10">
    <border>
      <left/>
      <right/>
      <top/>
      <bottom/>
      <diagonal/>
    </border>
    <border>
      <left/>
      <right/>
      <top/>
      <bottom style="medium">
        <color rgb="FF1C4587"/>
      </bottom>
      <diagonal/>
    </border>
    <border>
      <left/>
      <right/>
      <top/>
      <bottom style="medium">
        <color rgb="FF000000"/>
      </bottom>
      <diagonal/>
    </border>
    <border>
      <left style="medium">
        <color rgb="FF1C4587"/>
      </left>
      <right/>
      <top style="medium">
        <color rgb="FF1C4587"/>
      </top>
      <bottom style="medium">
        <color rgb="FF1C4587"/>
      </bottom>
      <diagonal/>
    </border>
    <border>
      <left/>
      <right/>
      <top style="medium">
        <color rgb="FF1C4587"/>
      </top>
      <bottom style="medium">
        <color rgb="FF1C4587"/>
      </bottom>
      <diagonal/>
    </border>
    <border>
      <left/>
      <right style="thin">
        <color rgb="FFFFFFFF"/>
      </right>
      <top style="medium">
        <color rgb="FF1C4587"/>
      </top>
      <bottom style="medium">
        <color rgb="FF1C4587"/>
      </bottom>
      <diagonal/>
    </border>
    <border>
      <left/>
      <right style="medium">
        <color rgb="FF1C4587"/>
      </right>
      <top style="medium">
        <color rgb="FF1C4587"/>
      </top>
      <bottom style="medium">
        <color rgb="FF1C4587"/>
      </bottom>
      <diagonal/>
    </border>
    <border>
      <left style="medium">
        <color rgb="FF1C4587"/>
      </left>
      <right/>
      <top/>
      <bottom style="hair">
        <color rgb="FF34A853"/>
      </bottom>
      <diagonal/>
    </border>
    <border>
      <left/>
      <right/>
      <top/>
      <bottom style="hair">
        <color rgb="FF34A853"/>
      </bottom>
      <diagonal/>
    </border>
    <border>
      <left/>
      <right style="medium">
        <color rgb="FF1C4587"/>
      </right>
      <top/>
      <bottom style="hair">
        <color rgb="FF34A853"/>
      </bottom>
      <diagonal/>
    </border>
  </borders>
  <cellStyleXfs count="1">
    <xf numFmtId="0" fontId="0" fillId="0" borderId="0"/>
  </cellStyleXfs>
  <cellXfs count="33">
    <xf numFmtId="0" fontId="0" fillId="0" borderId="0" xfId="0"/>
    <xf numFmtId="0" fontId="1" fillId="0" borderId="1" xfId="0" applyFont="1" applyBorder="1" applyAlignment="1">
      <alignment vertical="center"/>
    </xf>
    <xf numFmtId="0" fontId="2" fillId="0" borderId="1" xfId="0" applyFont="1" applyBorder="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vertical="center"/>
    </xf>
    <xf numFmtId="0" fontId="7" fillId="0" borderId="0" xfId="0" applyFont="1" applyAlignment="1">
      <alignment horizontal="center"/>
    </xf>
    <xf numFmtId="0" fontId="7" fillId="0" borderId="2" xfId="0" applyFont="1" applyBorder="1" applyAlignment="1">
      <alignment horizontal="center"/>
    </xf>
    <xf numFmtId="0" fontId="8" fillId="0" borderId="0" xfId="0" applyFont="1" applyAlignment="1">
      <alignment horizontal="center"/>
    </xf>
    <xf numFmtId="0" fontId="6" fillId="0" borderId="0" xfId="0" applyFont="1" applyAlignment="1">
      <alignment horizontal="center" vertical="center"/>
    </xf>
    <xf numFmtId="0" fontId="9" fillId="2" borderId="3"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10" fillId="3" borderId="4" xfId="0" applyFont="1" applyFill="1" applyBorder="1" applyAlignment="1">
      <alignment horizontal="center" vertical="center" wrapText="1"/>
    </xf>
    <xf numFmtId="164" fontId="10" fillId="3" borderId="5" xfId="0" applyNumberFormat="1" applyFont="1" applyFill="1" applyBorder="1" applyAlignment="1">
      <alignment horizontal="center" vertical="center" wrapText="1"/>
    </xf>
    <xf numFmtId="165" fontId="10" fillId="3" borderId="4" xfId="0" applyNumberFormat="1" applyFont="1" applyFill="1" applyBorder="1" applyAlignment="1">
      <alignment horizontal="center" vertical="center" wrapText="1"/>
    </xf>
    <xf numFmtId="166" fontId="9" fillId="2" borderId="4" xfId="0" applyNumberFormat="1" applyFont="1" applyFill="1" applyBorder="1" applyAlignment="1">
      <alignment horizontal="center" vertical="center" wrapText="1"/>
    </xf>
    <xf numFmtId="0" fontId="9" fillId="2" borderId="6" xfId="0" applyFont="1" applyFill="1" applyBorder="1" applyAlignment="1">
      <alignment horizontal="center" vertical="center" wrapText="1"/>
    </xf>
    <xf numFmtId="0" fontId="6" fillId="0" borderId="7" xfId="0" applyFont="1" applyBorder="1" applyAlignment="1">
      <alignment horizontal="center" vertical="center"/>
    </xf>
    <xf numFmtId="167" fontId="6" fillId="0" borderId="8" xfId="0" applyNumberFormat="1" applyFont="1" applyBorder="1" applyAlignment="1">
      <alignment horizontal="center" vertical="center"/>
    </xf>
    <xf numFmtId="167" fontId="9" fillId="0" borderId="0" xfId="0" applyNumberFormat="1" applyFont="1" applyAlignment="1">
      <alignment horizontal="center" vertical="center"/>
    </xf>
    <xf numFmtId="10" fontId="6" fillId="0" borderId="0" xfId="0" applyNumberFormat="1" applyFont="1" applyAlignment="1">
      <alignment horizontal="center" vertical="center"/>
    </xf>
    <xf numFmtId="167" fontId="6" fillId="0" borderId="0" xfId="0" applyNumberFormat="1" applyFont="1" applyAlignment="1">
      <alignment horizontal="center" vertical="center"/>
    </xf>
    <xf numFmtId="2" fontId="6" fillId="0" borderId="0" xfId="0" applyNumberFormat="1" applyFont="1" applyAlignment="1">
      <alignment horizontal="center" vertical="center"/>
    </xf>
    <xf numFmtId="0" fontId="6" fillId="0" borderId="0" xfId="0" applyFont="1" applyAlignment="1">
      <alignment horizontal="center" vertical="center" wrapText="1"/>
    </xf>
    <xf numFmtId="0" fontId="11" fillId="0" borderId="0" xfId="0" applyFont="1" applyAlignment="1">
      <alignment horizontal="center" vertical="center" wrapText="1"/>
    </xf>
    <xf numFmtId="167" fontId="6" fillId="0" borderId="9" xfId="0" applyNumberFormat="1" applyFont="1" applyBorder="1" applyAlignment="1">
      <alignment horizontal="left" vertical="center" wrapText="1"/>
    </xf>
    <xf numFmtId="167" fontId="6" fillId="0" borderId="0" xfId="0" applyNumberFormat="1" applyFont="1" applyAlignment="1">
      <alignment horizontal="left" vertical="center" wrapText="1"/>
    </xf>
    <xf numFmtId="167" fontId="9" fillId="0" borderId="0" xfId="0" applyNumberFormat="1" applyFont="1" applyAlignment="1">
      <alignment horizontal="center" vertical="center"/>
    </xf>
    <xf numFmtId="0" fontId="0" fillId="0" borderId="0" xfId="0"/>
    <xf numFmtId="0" fontId="3" fillId="0" borderId="1" xfId="0" applyFont="1" applyBorder="1" applyAlignment="1">
      <alignment horizontal="center" vertical="center" wrapText="1"/>
    </xf>
    <xf numFmtId="0" fontId="4" fillId="0" borderId="1" xfId="0" applyFont="1" applyBorder="1"/>
    <xf numFmtId="0" fontId="7" fillId="0" borderId="2" xfId="0" applyFont="1" applyBorder="1" applyAlignment="1">
      <alignment horizontal="center"/>
    </xf>
    <xf numFmtId="0" fontId="4" fillId="0" borderId="2" xfId="0" applyFont="1" applyBorder="1"/>
    <xf numFmtId="0" fontId="8" fillId="0" borderId="0" xfId="0" applyFont="1"/>
  </cellXfs>
  <cellStyles count="1">
    <cellStyle name="Normal" xfId="0" builtinId="0"/>
  </cellStyles>
  <dxfs count="4">
    <dxf>
      <font>
        <color rgb="FFEA4335"/>
      </font>
      <fill>
        <patternFill patternType="none"/>
      </fill>
    </dxf>
    <dxf>
      <font>
        <b/>
        <color rgb="FFEA4335"/>
      </font>
      <fill>
        <patternFill patternType="none"/>
      </fill>
    </dxf>
    <dxf>
      <font>
        <b/>
        <color rgb="FF34A853"/>
      </font>
      <fill>
        <patternFill patternType="none"/>
      </fill>
    </dxf>
    <dxf>
      <fill>
        <patternFill patternType="solid">
          <fgColor rgb="FFE8F0FE"/>
          <bgColor rgb="FFE8F0F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300" b="1">
                <a:solidFill>
                  <a:srgbClr val="000000"/>
                </a:solidFill>
                <a:latin typeface="+mn-lt"/>
              </a:defRPr>
            </a:pPr>
            <a:r>
              <a:rPr lang="en-US" sz="1300" b="1">
                <a:solidFill>
                  <a:srgbClr val="000000"/>
                </a:solidFill>
                <a:latin typeface="+mn-lt"/>
              </a:rPr>
              <a:t>Current Price's % Off 52-Week High</a:t>
            </a:r>
          </a:p>
        </c:rich>
      </c:tx>
      <c:overlay val="0"/>
    </c:title>
    <c:autoTitleDeleted val="0"/>
    <c:plotArea>
      <c:layout/>
      <c:barChart>
        <c:barDir val="col"/>
        <c:grouping val="clustered"/>
        <c:varyColors val="1"/>
        <c:ser>
          <c:idx val="0"/>
          <c:order val="0"/>
          <c:tx>
            <c:strRef>
              <c:f>Watchlist!$L$17</c:f>
              <c:strCache>
                <c:ptCount val="1"/>
                <c:pt idx="0">
                  <c:v>% Off 52-Week High</c:v>
                </c:pt>
              </c:strCache>
            </c:strRef>
          </c:tx>
          <c:spPr>
            <a:solidFill>
              <a:srgbClr val="1155CC"/>
            </a:solidFill>
            <a:ln cmpd="sng">
              <a:solidFill>
                <a:srgbClr val="000000"/>
              </a:solidFill>
            </a:ln>
          </c:spPr>
          <c:invertIfNegative val="1"/>
          <c:dLbls>
            <c:spPr>
              <a:noFill/>
              <a:ln>
                <a:noFill/>
              </a:ln>
              <a:effectLst/>
            </c:spPr>
            <c:txPr>
              <a:bodyPr/>
              <a:lstStyle/>
              <a:p>
                <a:pPr lvl="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Watchlist!$B$18:$B$102</c:f>
              <c:strCache>
                <c:ptCount val="29"/>
                <c:pt idx="0">
                  <c:v>AMZN</c:v>
                </c:pt>
                <c:pt idx="1">
                  <c:v>TSM</c:v>
                </c:pt>
                <c:pt idx="2">
                  <c:v>TSLA</c:v>
                </c:pt>
                <c:pt idx="3">
                  <c:v>META</c:v>
                </c:pt>
                <c:pt idx="4">
                  <c:v>AAPL</c:v>
                </c:pt>
                <c:pt idx="5">
                  <c:v>LON:ISF</c:v>
                </c:pt>
                <c:pt idx="6">
                  <c:v>IWQU</c:v>
                </c:pt>
                <c:pt idx="7">
                  <c:v>IWMO</c:v>
                </c:pt>
                <c:pt idx="8">
                  <c:v>GGRA</c:v>
                </c:pt>
                <c:pt idx="9">
                  <c:v>ASML</c:v>
                </c:pt>
                <c:pt idx="10">
                  <c:v>MVOL</c:v>
                </c:pt>
                <c:pt idx="11">
                  <c:v>COIN</c:v>
                </c:pt>
                <c:pt idx="12">
                  <c:v>RIOT</c:v>
                </c:pt>
                <c:pt idx="13">
                  <c:v>MARA</c:v>
                </c:pt>
                <c:pt idx="14">
                  <c:v>SPY</c:v>
                </c:pt>
                <c:pt idx="15">
                  <c:v>IVV</c:v>
                </c:pt>
                <c:pt idx="16">
                  <c:v>VOO</c:v>
                </c:pt>
                <c:pt idx="17">
                  <c:v>VTI</c:v>
                </c:pt>
                <c:pt idx="18">
                  <c:v>QQQ</c:v>
                </c:pt>
                <c:pt idx="19">
                  <c:v>VEA</c:v>
                </c:pt>
                <c:pt idx="20">
                  <c:v>VUG</c:v>
                </c:pt>
                <c:pt idx="21">
                  <c:v>BND</c:v>
                </c:pt>
                <c:pt idx="22">
                  <c:v>VTV</c:v>
                </c:pt>
                <c:pt idx="23">
                  <c:v>IEFA</c:v>
                </c:pt>
                <c:pt idx="24">
                  <c:v>BTCEUR</c:v>
                </c:pt>
                <c:pt idx="25">
                  <c:v>MSFT</c:v>
                </c:pt>
                <c:pt idx="26">
                  <c:v>NVDA</c:v>
                </c:pt>
                <c:pt idx="27">
                  <c:v>VOO</c:v>
                </c:pt>
                <c:pt idx="28">
                  <c:v>TSE:SHOP</c:v>
                </c:pt>
              </c:strCache>
            </c:strRef>
          </c:cat>
          <c:val>
            <c:numRef>
              <c:f>Watchlist!$L$18:$L$102</c:f>
              <c:numCache>
                <c:formatCode>0.00%</c:formatCode>
                <c:ptCount val="85"/>
                <c:pt idx="0">
                  <c:v>-4.4496609285341687E-2</c:v>
                </c:pt>
                <c:pt idx="1">
                  <c:v>-3.9059584525438493E-2</c:v>
                </c:pt>
                <c:pt idx="2">
                  <c:v>-0.41494871195161886</c:v>
                </c:pt>
                <c:pt idx="3">
                  <c:v>-0.10103670812244819</c:v>
                </c:pt>
                <c:pt idx="4">
                  <c:v>-4.1979761546939158E-2</c:v>
                </c:pt>
                <c:pt idx="5">
                  <c:v>-8.1474208206791049E-2</c:v>
                </c:pt>
                <c:pt idx="6">
                  <c:v>-1.1958146487294638E-2</c:v>
                </c:pt>
                <c:pt idx="7">
                  <c:v>-1.0320052253429027E-2</c:v>
                </c:pt>
                <c:pt idx="8">
                  <c:v>-2.6228673287496843E-2</c:v>
                </c:pt>
                <c:pt idx="9">
                  <c:v>-9.2252494462010282E-2</c:v>
                </c:pt>
                <c:pt idx="10">
                  <c:v>-3.4564393939393902E-2</c:v>
                </c:pt>
                <c:pt idx="11">
                  <c:v>-0.17101735572174409</c:v>
                </c:pt>
                <c:pt idx="12">
                  <c:v>-0.50799031476997569</c:v>
                </c:pt>
                <c:pt idx="13">
                  <c:v>-0.39806394837195663</c:v>
                </c:pt>
                <c:pt idx="14">
                  <c:v>-1.2962650308590019E-2</c:v>
                </c:pt>
                <c:pt idx="15">
                  <c:v>-1.2954044872512888E-2</c:v>
                </c:pt>
                <c:pt idx="16">
                  <c:v>-1.2979856731770064E-2</c:v>
                </c:pt>
                <c:pt idx="17">
                  <c:v>-1.5572900879054309E-2</c:v>
                </c:pt>
                <c:pt idx="18">
                  <c:v>-7.4688436319423285E-3</c:v>
                </c:pt>
                <c:pt idx="19">
                  <c:v>-2.7496099843993833E-2</c:v>
                </c:pt>
                <c:pt idx="20">
                  <c:v>-3.1600436253810104E-3</c:v>
                </c:pt>
                <c:pt idx="21">
                  <c:v>-3.8419913419913465E-2</c:v>
                </c:pt>
                <c:pt idx="22">
                  <c:v>-3.522373481472444E-2</c:v>
                </c:pt>
                <c:pt idx="23">
                  <c:v>-2.6277755879647879E-2</c:v>
                </c:pt>
                <c:pt idx="24">
                  <c:v>0</c:v>
                </c:pt>
                <c:pt idx="25">
                  <c:v>-1.1047047970479751E-2</c:v>
                </c:pt>
                <c:pt idx="26">
                  <c:v>-1.1736660315471692E-2</c:v>
                </c:pt>
                <c:pt idx="27">
                  <c:v>-1.2979856731770064E-2</c:v>
                </c:pt>
                <c:pt idx="28">
                  <c:v>-0.35519480519480523</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4BD5-41A7-97FF-A9BFF16A2689}"/>
            </c:ext>
          </c:extLst>
        </c:ser>
        <c:dLbls>
          <c:showLegendKey val="0"/>
          <c:showVal val="0"/>
          <c:showCatName val="0"/>
          <c:showSerName val="0"/>
          <c:showPercent val="0"/>
          <c:showBubbleSize val="0"/>
        </c:dLbls>
        <c:gapWidth val="150"/>
        <c:axId val="610761049"/>
        <c:axId val="1896366535"/>
      </c:barChart>
      <c:catAx>
        <c:axId val="61076104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96366535"/>
        <c:crosses val="autoZero"/>
        <c:auto val="1"/>
        <c:lblAlgn val="ctr"/>
        <c:lblOffset val="100"/>
        <c:noMultiLvlLbl val="1"/>
      </c:catAx>
      <c:valAx>
        <c:axId val="18963665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61076104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44450</xdr:colOff>
      <xdr:row>1</xdr:row>
      <xdr:rowOff>25400</xdr:rowOff>
    </xdr:from>
    <xdr:ext cx="14090650" cy="25939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2"/>
  <sheetViews>
    <sheetView showGridLines="0" tabSelected="1" workbookViewId="0">
      <pane xSplit="2" topLeftCell="C1" activePane="topRight" state="frozen"/>
      <selection pane="topRight" activeCell="D19" sqref="D19:E19"/>
    </sheetView>
  </sheetViews>
  <sheetFormatPr defaultColWidth="12.6328125" defaultRowHeight="15.75" customHeight="1" x14ac:dyDescent="0.25"/>
  <cols>
    <col min="1" max="1" width="1.90625" customWidth="1"/>
    <col min="2" max="2" width="12.6328125" customWidth="1"/>
    <col min="3" max="3" width="40.90625" customWidth="1"/>
    <col min="4" max="4" width="2.90625" customWidth="1"/>
    <col min="5" max="5" width="5.453125" customWidth="1"/>
    <col min="6" max="6" width="9.36328125" customWidth="1"/>
    <col min="7" max="7" width="7.08984375" customWidth="1"/>
    <col min="8" max="8" width="6.6328125" customWidth="1"/>
    <col min="9" max="9" width="8.36328125" customWidth="1"/>
    <col min="10" max="10" width="11.453125" customWidth="1"/>
    <col min="11" max="11" width="8.36328125" customWidth="1"/>
    <col min="12" max="12" width="11.90625" customWidth="1"/>
    <col min="13" max="13" width="15.6328125" bestFit="1" customWidth="1"/>
    <col min="14" max="14" width="15" bestFit="1" customWidth="1"/>
    <col min="15" max="15" width="6.90625" customWidth="1"/>
    <col min="16" max="16" width="5.453125" customWidth="1"/>
    <col min="17" max="17" width="13" bestFit="1" customWidth="1"/>
    <col min="18" max="18" width="10.7265625" customWidth="1"/>
    <col min="19" max="19" width="18.7265625" customWidth="1"/>
    <col min="20" max="20" width="1.6328125" customWidth="1"/>
    <col min="21" max="21" width="2.7265625" hidden="1" customWidth="1"/>
    <col min="22" max="29" width="12.6328125" hidden="1"/>
  </cols>
  <sheetData>
    <row r="1" spans="1:29" ht="30" x14ac:dyDescent="0.25">
      <c r="A1" s="1"/>
      <c r="B1" s="2"/>
      <c r="C1" s="28" t="s">
        <v>0</v>
      </c>
      <c r="D1" s="29"/>
      <c r="E1" s="29"/>
      <c r="F1" s="29"/>
      <c r="G1" s="29"/>
      <c r="H1" s="29"/>
      <c r="I1" s="29"/>
      <c r="J1" s="29"/>
      <c r="K1" s="29"/>
      <c r="L1" s="29"/>
      <c r="M1" s="29"/>
      <c r="N1" s="29"/>
      <c r="O1" s="29"/>
      <c r="P1" s="29"/>
      <c r="Q1" s="29"/>
      <c r="R1" s="29"/>
      <c r="S1" s="29"/>
      <c r="T1" s="29"/>
      <c r="U1" s="3"/>
      <c r="V1" s="3"/>
      <c r="W1" s="4"/>
      <c r="X1" s="4"/>
      <c r="Y1" s="4"/>
      <c r="Z1" s="4"/>
      <c r="AA1" s="4"/>
      <c r="AB1" s="4"/>
      <c r="AC1" s="4"/>
    </row>
    <row r="2" spans="1:29" ht="15.5" x14ac:dyDescent="0.35">
      <c r="A2" s="4"/>
      <c r="B2" s="4"/>
      <c r="C2" s="4"/>
      <c r="D2" s="4"/>
      <c r="E2" s="4"/>
      <c r="F2" s="4"/>
      <c r="G2" s="4"/>
      <c r="H2" s="4"/>
      <c r="I2" s="4"/>
      <c r="J2" s="4"/>
      <c r="K2" s="4"/>
      <c r="L2" s="4"/>
      <c r="M2" s="4"/>
      <c r="N2" s="4"/>
      <c r="O2" s="4"/>
      <c r="P2" s="4"/>
      <c r="Q2" s="4"/>
      <c r="R2" s="4"/>
      <c r="S2" s="4"/>
      <c r="T2" s="4"/>
      <c r="U2" s="5"/>
      <c r="V2" s="6" t="s">
        <v>1</v>
      </c>
      <c r="W2" s="30" t="s">
        <v>2</v>
      </c>
      <c r="X2" s="31"/>
      <c r="Y2" s="31"/>
      <c r="Z2" s="31"/>
      <c r="AA2" s="31"/>
      <c r="AB2" s="4"/>
      <c r="AC2" s="4"/>
    </row>
    <row r="3" spans="1:29" ht="14" x14ac:dyDescent="0.3">
      <c r="A3" s="4"/>
      <c r="B3" s="4"/>
      <c r="C3" s="4"/>
      <c r="D3" s="4"/>
      <c r="E3" s="4"/>
      <c r="F3" s="4"/>
      <c r="G3" s="4"/>
      <c r="H3" s="4"/>
      <c r="I3" s="4"/>
      <c r="J3" s="4"/>
      <c r="K3" s="4"/>
      <c r="L3" s="4"/>
      <c r="M3" s="4"/>
      <c r="N3" s="4"/>
      <c r="O3" s="4"/>
      <c r="P3" s="4"/>
      <c r="Q3" s="4"/>
      <c r="R3" s="4"/>
      <c r="S3" s="4"/>
      <c r="T3" s="4"/>
      <c r="U3" s="7"/>
      <c r="V3" s="7" t="s">
        <v>3</v>
      </c>
      <c r="W3" s="32" t="s">
        <v>4</v>
      </c>
      <c r="X3" s="27"/>
      <c r="Y3" s="27"/>
      <c r="Z3" s="27"/>
      <c r="AA3" s="27"/>
      <c r="AB3" s="4"/>
      <c r="AC3" s="4"/>
    </row>
    <row r="4" spans="1:29" ht="14" x14ac:dyDescent="0.3">
      <c r="A4" s="4"/>
      <c r="B4" s="4"/>
      <c r="C4" s="4"/>
      <c r="D4" s="4"/>
      <c r="E4" s="4"/>
      <c r="F4" s="4"/>
      <c r="G4" s="4"/>
      <c r="H4" s="4"/>
      <c r="I4" s="4"/>
      <c r="J4" s="4"/>
      <c r="K4" s="4"/>
      <c r="L4" s="4"/>
      <c r="M4" s="4"/>
      <c r="N4" s="4"/>
      <c r="O4" s="4"/>
      <c r="P4" s="4"/>
      <c r="Q4" s="4"/>
      <c r="R4" s="4"/>
      <c r="S4" s="4"/>
      <c r="T4" s="4"/>
      <c r="U4" s="7"/>
      <c r="V4" s="7" t="s">
        <v>5</v>
      </c>
      <c r="W4" s="32" t="s">
        <v>6</v>
      </c>
      <c r="X4" s="27"/>
      <c r="Y4" s="27"/>
      <c r="Z4" s="27"/>
      <c r="AA4" s="27"/>
      <c r="AB4" s="4"/>
      <c r="AC4" s="4"/>
    </row>
    <row r="5" spans="1:29" ht="12.5" x14ac:dyDescent="0.25">
      <c r="A5" s="4"/>
      <c r="B5" s="4"/>
      <c r="C5" s="4"/>
      <c r="D5" s="4"/>
      <c r="E5" s="4"/>
      <c r="F5" s="4"/>
      <c r="G5" s="4"/>
      <c r="H5" s="4"/>
      <c r="I5" s="4"/>
      <c r="J5" s="4"/>
      <c r="K5" s="4"/>
      <c r="L5" s="4"/>
      <c r="M5" s="4"/>
      <c r="N5" s="4"/>
      <c r="O5" s="4"/>
      <c r="P5" s="4"/>
      <c r="Q5" s="4"/>
      <c r="R5" s="4"/>
      <c r="S5" s="4"/>
      <c r="T5" s="4"/>
      <c r="U5" s="4"/>
      <c r="V5" s="4"/>
      <c r="W5" s="4"/>
      <c r="X5" s="4"/>
      <c r="Y5" s="4"/>
      <c r="Z5" s="4"/>
      <c r="AA5" s="4"/>
      <c r="AB5" s="4"/>
      <c r="AC5" s="4"/>
    </row>
    <row r="6" spans="1:29" ht="12.5" x14ac:dyDescent="0.25">
      <c r="A6" s="4"/>
      <c r="B6" s="4"/>
      <c r="C6" s="4"/>
      <c r="D6" s="4"/>
      <c r="E6" s="4"/>
      <c r="F6" s="4"/>
      <c r="G6" s="4"/>
      <c r="H6" s="4"/>
      <c r="I6" s="4"/>
      <c r="J6" s="4"/>
      <c r="K6" s="4"/>
      <c r="L6" s="4"/>
      <c r="M6" s="4"/>
      <c r="N6" s="4"/>
      <c r="O6" s="4"/>
      <c r="P6" s="4"/>
      <c r="Q6" s="4"/>
      <c r="R6" s="4"/>
      <c r="S6" s="4"/>
      <c r="T6" s="4"/>
      <c r="U6" s="4"/>
      <c r="V6" s="4"/>
      <c r="W6" s="4"/>
      <c r="X6" s="4"/>
      <c r="Y6" s="4"/>
      <c r="Z6" s="4"/>
      <c r="AA6" s="4"/>
      <c r="AB6" s="4"/>
      <c r="AC6" s="4"/>
    </row>
    <row r="7" spans="1:29" ht="12.5" x14ac:dyDescent="0.25">
      <c r="A7" s="4"/>
      <c r="B7" s="4"/>
      <c r="C7" s="4"/>
      <c r="D7" s="4"/>
      <c r="E7" s="4"/>
      <c r="F7" s="4"/>
      <c r="G7" s="4"/>
      <c r="H7" s="4"/>
      <c r="I7" s="4"/>
      <c r="J7" s="4"/>
      <c r="K7" s="4"/>
      <c r="L7" s="4"/>
      <c r="M7" s="4"/>
      <c r="N7" s="4"/>
      <c r="O7" s="4"/>
      <c r="P7" s="4"/>
      <c r="Q7" s="4"/>
      <c r="R7" s="4"/>
      <c r="S7" s="4"/>
      <c r="T7" s="4"/>
      <c r="U7" s="4"/>
      <c r="V7" s="4"/>
      <c r="W7" s="4"/>
      <c r="X7" s="4"/>
      <c r="Y7" s="4"/>
      <c r="Z7" s="4"/>
      <c r="AA7" s="4"/>
      <c r="AB7" s="4"/>
      <c r="AC7" s="4"/>
    </row>
    <row r="8" spans="1:29" ht="12.5" x14ac:dyDescent="0.25">
      <c r="A8" s="4"/>
      <c r="B8" s="4"/>
      <c r="C8" s="4"/>
      <c r="D8" s="4"/>
      <c r="E8" s="4"/>
      <c r="F8" s="4"/>
      <c r="G8" s="4"/>
      <c r="H8" s="4"/>
      <c r="I8" s="4"/>
      <c r="J8" s="4"/>
      <c r="K8" s="4"/>
      <c r="L8" s="4"/>
      <c r="M8" s="4"/>
      <c r="N8" s="4"/>
      <c r="O8" s="4"/>
      <c r="P8" s="4"/>
      <c r="Q8" s="4"/>
      <c r="R8" s="4"/>
      <c r="S8" s="4"/>
      <c r="T8" s="4"/>
      <c r="U8" s="4"/>
      <c r="V8" s="4"/>
      <c r="W8" s="4"/>
      <c r="X8" s="4"/>
      <c r="Y8" s="4"/>
      <c r="Z8" s="4"/>
      <c r="AA8" s="4"/>
      <c r="AB8" s="4"/>
      <c r="AC8" s="4"/>
    </row>
    <row r="9" spans="1:29" ht="12.5" x14ac:dyDescent="0.25">
      <c r="A9" s="4"/>
      <c r="B9" s="4"/>
      <c r="C9" s="4"/>
      <c r="D9" s="4"/>
      <c r="E9" s="4"/>
      <c r="F9" s="4"/>
      <c r="G9" s="4"/>
      <c r="H9" s="4"/>
      <c r="I9" s="4"/>
      <c r="J9" s="4"/>
      <c r="K9" s="4"/>
      <c r="L9" s="4"/>
      <c r="M9" s="4"/>
      <c r="N9" s="4"/>
      <c r="O9" s="4"/>
      <c r="P9" s="4"/>
      <c r="Q9" s="4"/>
      <c r="R9" s="4"/>
      <c r="S9" s="4"/>
      <c r="T9" s="4"/>
      <c r="U9" s="4"/>
      <c r="V9" s="4"/>
      <c r="W9" s="4"/>
      <c r="X9" s="4"/>
      <c r="Y9" s="4"/>
      <c r="Z9" s="4"/>
      <c r="AA9" s="4"/>
      <c r="AB9" s="4"/>
      <c r="AC9" s="4"/>
    </row>
    <row r="10" spans="1:29" ht="12.5" x14ac:dyDescent="0.25">
      <c r="A10" s="4"/>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row>
    <row r="11" spans="1:29" ht="21" customHeight="1" x14ac:dyDescent="0.25">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row>
    <row r="12" spans="1:29" ht="21" customHeight="1" x14ac:dyDescent="0.25">
      <c r="A12" s="4"/>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row>
    <row r="13" spans="1:29" ht="12.5" x14ac:dyDescent="0.25">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row>
    <row r="14" spans="1:29" ht="12.5" x14ac:dyDescent="0.2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row>
    <row r="15" spans="1:29" ht="12.5" x14ac:dyDescent="0.25">
      <c r="A15" s="4"/>
      <c r="D15" s="4"/>
      <c r="E15" s="4"/>
      <c r="F15" s="4"/>
      <c r="G15" s="4"/>
      <c r="H15" s="4"/>
      <c r="I15" s="4"/>
      <c r="J15" s="4"/>
      <c r="K15" s="4"/>
      <c r="L15" s="4"/>
      <c r="M15" s="4"/>
      <c r="N15" s="4"/>
      <c r="O15" s="4"/>
      <c r="P15" s="4"/>
      <c r="Q15" s="4"/>
      <c r="R15" s="4"/>
      <c r="S15" s="4"/>
      <c r="T15" s="4"/>
      <c r="U15" s="4"/>
      <c r="V15" s="4"/>
      <c r="W15" s="4"/>
      <c r="X15" s="4"/>
      <c r="Y15" s="4"/>
      <c r="Z15" s="4"/>
      <c r="AA15" s="4"/>
      <c r="AB15" s="4"/>
      <c r="AC15" s="4"/>
    </row>
    <row r="16" spans="1:29" ht="12.75" customHeight="1" x14ac:dyDescent="0.2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row>
    <row r="17" spans="1:29" ht="39" x14ac:dyDescent="0.25">
      <c r="A17" s="8"/>
      <c r="B17" s="9" t="s">
        <v>7</v>
      </c>
      <c r="C17" s="10" t="s">
        <v>8</v>
      </c>
      <c r="D17" s="11">
        <v>90</v>
      </c>
      <c r="E17" s="10" t="s">
        <v>9</v>
      </c>
      <c r="F17" s="10" t="s">
        <v>3</v>
      </c>
      <c r="G17" s="10" t="s">
        <v>10</v>
      </c>
      <c r="H17" s="10" t="s">
        <v>11</v>
      </c>
      <c r="I17" s="10" t="s">
        <v>12</v>
      </c>
      <c r="J17" s="10" t="s">
        <v>13</v>
      </c>
      <c r="K17" s="10" t="s">
        <v>14</v>
      </c>
      <c r="L17" s="10" t="s">
        <v>15</v>
      </c>
      <c r="M17" s="12">
        <v>5</v>
      </c>
      <c r="N17" s="13">
        <v>5</v>
      </c>
      <c r="O17" s="10" t="s">
        <v>5</v>
      </c>
      <c r="P17" s="10" t="s">
        <v>16</v>
      </c>
      <c r="Q17" s="14">
        <v>250</v>
      </c>
      <c r="R17" s="10" t="s">
        <v>17</v>
      </c>
      <c r="S17" s="15" t="s">
        <v>18</v>
      </c>
      <c r="T17" s="4"/>
      <c r="U17" s="8"/>
      <c r="V17" s="8"/>
      <c r="W17" s="8"/>
      <c r="X17" s="8"/>
      <c r="Y17" s="8"/>
      <c r="Z17" s="8"/>
      <c r="AA17" s="8"/>
      <c r="AB17" s="8"/>
      <c r="AC17" s="8"/>
    </row>
    <row r="18" spans="1:29" ht="13" x14ac:dyDescent="0.25">
      <c r="A18" s="8"/>
      <c r="B18" s="16" t="s">
        <v>19</v>
      </c>
      <c r="C18" s="17" t="str">
        <f ca="1">IFERROR(__xludf.DUMMYFUNCTION("GOOGLEFINANCE(B18,""name"")
"),"Amazon.com Inc")</f>
        <v>Amazon.com Inc</v>
      </c>
      <c r="D18" s="26" t="str">
        <f ca="1">IFERROR(__xludf.DUMMYFUNCTION("IF(ISBLANK(B18),"""",IFERROR(SPARKLINE(INDEX(GOOGLEFINANCE(B18,""price"",TODAY()-$D$17,TODAY()),,2),{""charttype"",""column"";""color"",""17a7e0""}),""""))"),"")</f>
        <v/>
      </c>
      <c r="E18" s="27"/>
      <c r="F18" s="18">
        <f ca="1">IFERROR(__xludf.DUMMYFUNCTION("IFERROR(IF(B18="""","""",GOOGLEFINANCE(B18)),IFERROR(GOOGLEFINANCE(""CURRENCY:""&amp;""USD""&amp;#REF!)*IMPORTXML(""https://coinmarketcap.com/currencies/""&amp;B18,$W$3),IMPORTXML(""https://coinmarketcap.com/currencies/""&amp;B18,$W$3)))"),183.17)</f>
        <v>183.17</v>
      </c>
      <c r="G18" s="19">
        <f ca="1">IFERROR(__xludf.DUMMYFUNCTION("IFERROR(IF(ISBLANK(B18),"""",GOOGLEFINANCE(B18,""changepct"")/100),"""")"),0.0056)</f>
        <v>5.5999999999999999E-3</v>
      </c>
      <c r="H18" s="19">
        <f ca="1">IFERROR(__xludf.DUMMYFUNCTION("IF(ISBLANK(B18),"""",IFERROR((GOOGLEFINANCE(B18,""price"")/INDEX(GOOGLEFINANCE(B18,""price"",DATEVALUE(TODAY()-365) ),2,2)-1),""""))"),0.505589347361499)</f>
        <v>0.50558934736149896</v>
      </c>
      <c r="I18" s="20">
        <f ca="1">IFERROR(__xludf.DUMMYFUNCTION("IFERROR(IF(ISBLANK(B18),"""",GOOGLEFINANCE(B18,""low52"")),"""")"),118.35)</f>
        <v>118.35</v>
      </c>
      <c r="J18" s="19">
        <f t="shared" ref="J18:J102" ca="1" si="0">IF(ISBLANK(B18),"",IF(I18="","",(F18-I18)/I18))</f>
        <v>0.5476975073933249</v>
      </c>
      <c r="K18" s="20">
        <f ca="1">IFERROR(__xludf.DUMMYFUNCTION("IFERROR(IF(ISBLANK(B18),"""",GOOGLEFINANCE(B18,""high52"")),"""")"),191.7)</f>
        <v>191.7</v>
      </c>
      <c r="L18" s="19">
        <f t="shared" ref="L18:L102" ca="1" si="1">IF(ISBLANK(B18),"",IF(I18="","",(F18-K18)/K18))</f>
        <v>-4.4496609285341687E-2</v>
      </c>
      <c r="M18" s="20">
        <f ca="1">IFERROR(__xludf.DUMMYFUNCTION("IF(ISBLANK(B18),"""",IFERROR(INDEX(GOOGLEFINANCE(B18,""price"",WORKDAY(TODAY(),-$M$17)),2,2),""""))"),183.13)</f>
        <v>183.13</v>
      </c>
      <c r="N18" s="19">
        <f ca="1">IFERROR(__xludf.DUMMYFUNCTION("IF(ISBLANK(B18),"""",IFERROR(F18/(INDEX(GOOGLEFINANCE(B18,""price"",WORKDAY(TODAY(),-$N$17)),2,2))-1,""""))"),0.000218424070332456)</f>
        <v>2.18424070332456E-4</v>
      </c>
      <c r="O18" s="21" t="str">
        <f ca="1">IFERROR(__xludf.DUMMYFUNCTION("IF(ISBLANK(B18),"""",IFERROR(IFERROR(""$""&amp;Trunc(GOOGLEFINANCE(B18,""Marketcap"")/1000000000)&amp;"" B"",""$""&amp;Trunc(IMPORTXML(""https://coinmarketcap.com/currencies/""&amp;B18,$W$4)/1000000000)&amp;"" B""),""-""))"),"$1905 B")</f>
        <v>$1905 B</v>
      </c>
      <c r="P18" s="8">
        <f ca="1">IFERROR(__xludf.DUMMYFUNCTION("IF(ISBLANK(B18),"""",IFERROR(GOOGLEFINANCE(B18,""pe""),""-""))"),51.45)</f>
        <v>51.45</v>
      </c>
      <c r="Q18" s="22" t="str">
        <f ca="1">IFERROR(__xludf.DUMMYFUNCTION("SPARKLINE(INDEX(GOOGLEFINANCE(B18,""price"",workday(today(),-$Q$17),today()),,2),{""charttype"",""column"";""color"",""green""})
"),"")</f>
        <v/>
      </c>
      <c r="R18" s="23" t="str">
        <f t="shared" ref="R18:R102" si="2">HYPERLINK("https://finance.yahoo.com/quote/"&amp;B18,"Info")</f>
        <v>Info</v>
      </c>
      <c r="S18" s="24"/>
      <c r="T18" s="4"/>
      <c r="U18" s="19"/>
      <c r="V18" s="8"/>
      <c r="W18" s="8"/>
      <c r="X18" s="8"/>
      <c r="Y18" s="8"/>
      <c r="Z18" s="8"/>
      <c r="AA18" s="8"/>
      <c r="AB18" s="8"/>
      <c r="AC18" s="8"/>
    </row>
    <row r="19" spans="1:29" ht="13" x14ac:dyDescent="0.25">
      <c r="A19" s="8"/>
      <c r="B19" s="16" t="s">
        <v>20</v>
      </c>
      <c r="C19" s="17" t="str">
        <f ca="1">IFERROR(__xludf.DUMMYFUNCTION("GOOGLEFINANCE(B19,""name"")
"),"Taiwan Semiconductor Mfg. Co. Ltd.")</f>
        <v>Taiwan Semiconductor Mfg. Co. Ltd.</v>
      </c>
      <c r="D19" s="26" t="str">
        <f ca="1">IFERROR(__xludf.DUMMYFUNCTION("IF(ISBLANK(B19),"""",IFERROR(SPARKLINE(INDEX(GOOGLEFINANCE(B19,""price"",TODAY()-$D$17,TODAY()),,2),{""charttype"",""column"";""color"",""17a7e0""}),""""))"),"")</f>
        <v/>
      </c>
      <c r="E19" s="27"/>
      <c r="F19" s="18">
        <f ca="1">IFERROR(__xludf.DUMMYFUNCTION("IFERROR(IF(B19="""","""",GOOGLEFINANCE(B19)),IFERROR(GOOGLEFINANCE(""CURRENCY:""&amp;""USD""&amp;#REF!)*IMPORTXML(""https://coinmarketcap.com/currencies/""&amp;B19,$W$3),IMPORTXML(""https://coinmarketcap.com/currencies/""&amp;B19,$W$3)))"),154.5)</f>
        <v>154.5</v>
      </c>
      <c r="G19" s="19">
        <f ca="1">IFERROR(__xludf.DUMMYFUNCTION("IFERROR(IF(ISBLANK(B19),"""",GOOGLEFINANCE(B19,""changepct"")/100),"""")"),-0.0308)</f>
        <v>-3.0800000000000001E-2</v>
      </c>
      <c r="H19" s="19">
        <f ca="1">IFERROR(__xludf.DUMMYFUNCTION("IF(ISBLANK(B19),"""",IFERROR((GOOGLEFINANCE(B19,""price"")/INDEX(GOOGLEFINANCE(B19,""price"",DATEVALUE(TODAY()-365) ),2,2)-1),""""))"),0.515002941753284)</f>
        <v>0.51500294175328398</v>
      </c>
      <c r="I19" s="20">
        <f ca="1">IFERROR(__xludf.DUMMYFUNCTION("IFERROR(IF(ISBLANK(B19),"""",GOOGLEFINANCE(B19,""low52"")),"""")"),84.02)</f>
        <v>84.02</v>
      </c>
      <c r="J19" s="19">
        <f t="shared" ca="1" si="0"/>
        <v>0.83884789335872423</v>
      </c>
      <c r="K19" s="20">
        <f ca="1">IFERROR(__xludf.DUMMYFUNCTION("IFERROR(IF(ISBLANK(B19),"""",GOOGLEFINANCE(B19,""high52"")),"""")"),160.78)</f>
        <v>160.78</v>
      </c>
      <c r="L19" s="19">
        <f t="shared" ca="1" si="1"/>
        <v>-3.9059584525438493E-2</v>
      </c>
      <c r="M19" s="20">
        <f ca="1">IFERROR(__xludf.DUMMYFUNCTION("IF(ISBLANK(B19),"""",IFERROR(INDEX(GOOGLEFINANCE(B19,""price"",WORKDAY(TODAY(),-$M$17)),2,2),""""))"),156.15)</f>
        <v>156.15</v>
      </c>
      <c r="N19" s="19">
        <f ca="1">IFERROR(__xludf.DUMMYFUNCTION("IF(ISBLANK(B19),"""",IFERROR(F19/(INDEX(GOOGLEFINANCE(B19,""price"",WORKDAY(TODAY(),-$N$17)),2,2))-1,""""))"),-0.010566762728146)</f>
        <v>-1.0566762728146E-2</v>
      </c>
      <c r="O19" s="21" t="str">
        <f ca="1">IFERROR(__xludf.DUMMYFUNCTION("IF(ISBLANK(B19),"""",IFERROR(IFERROR(""$""&amp;Trunc(GOOGLEFINANCE(B19,""Marketcap"")/1000000000)&amp;"" B"",""$""&amp;Trunc(IMPORTXML(""https://coinmarketcap.com/currencies/""&amp;B19,$W$4)/1000000000)&amp;"" B""),""-""))"),"$677 B")</f>
        <v>$677 B</v>
      </c>
      <c r="P19" s="8">
        <f ca="1">IFERROR(__xludf.DUMMYFUNCTION("IF(ISBLANK(B19),"""",IFERROR(GOOGLEFINANCE(B19,""pe""),""-""))"),30.09)</f>
        <v>30.09</v>
      </c>
      <c r="Q19" s="22" t="str">
        <f ca="1">IFERROR(__xludf.DUMMYFUNCTION("SPARKLINE(INDEX(GOOGLEFINANCE(B19,""price"",workday(today(),-$Q$17),today()),,2),{""charttype"",""column"";""color"",""green""})
"),"")</f>
        <v/>
      </c>
      <c r="R19" s="23" t="str">
        <f t="shared" si="2"/>
        <v>Info</v>
      </c>
      <c r="S19" s="24"/>
      <c r="T19" s="25"/>
      <c r="U19" s="8"/>
      <c r="V19" s="8"/>
      <c r="W19" s="8"/>
      <c r="X19" s="8"/>
      <c r="Y19" s="8"/>
      <c r="Z19" s="8"/>
      <c r="AA19" s="8"/>
      <c r="AB19" s="8"/>
      <c r="AC19" s="8"/>
    </row>
    <row r="20" spans="1:29" ht="13" x14ac:dyDescent="0.25">
      <c r="A20" s="8"/>
      <c r="B20" s="16" t="s">
        <v>21</v>
      </c>
      <c r="C20" s="17" t="str">
        <f ca="1">IFERROR(__xludf.DUMMYFUNCTION("GOOGLEFINANCE(B20,""name"")
"),"Tesla Inc")</f>
        <v>Tesla Inc</v>
      </c>
      <c r="D20" s="26" t="str">
        <f ca="1">IFERROR(__xludf.DUMMYFUNCTION("IF(ISBLANK(B20),"""",IFERROR(SPARKLINE(INDEX(GOOGLEFINANCE(B20,""price"",TODAY()-$D$17,TODAY()),,2),{""charttype"",""column"";""color"",""17a7e0""}),""""))"),"")</f>
        <v/>
      </c>
      <c r="E20" s="27"/>
      <c r="F20" s="18">
        <f ca="1">IFERROR(__xludf.DUMMYFUNCTION("IFERROR(IF(B20="""","""",GOOGLEFINANCE(B20)),IFERROR(GOOGLEFINANCE(""CURRENCY:""&amp;""USD""&amp;#REF!)*IMPORTXML(""https://coinmarketcap.com/currencies/""&amp;B20,$W$3),IMPORTXML(""https://coinmarketcap.com/currencies/""&amp;B20,$W$3)))"),175.1)</f>
        <v>175.1</v>
      </c>
      <c r="G20" s="19">
        <f ca="1">IFERROR(__xludf.DUMMYFUNCTION("IFERROR(IF(ISBLANK(B20),"""",GOOGLEFINANCE(B20,""changepct"")/100),"""")"),-0.00939999999999999)</f>
        <v>-9.39999999999999E-3</v>
      </c>
      <c r="H20" s="19">
        <f ca="1">IFERROR(__xludf.DUMMYFUNCTION("IF(ISBLANK(B20),"""",IFERROR((GOOGLEFINANCE(B20,""price"")/INDEX(GOOGLEFINANCE(B20,""price"",DATEVALUE(TODAY()-365) ),2,2)-1),""""))"),-0.12954861801551)</f>
        <v>-0.12954861801550999</v>
      </c>
      <c r="I20" s="20">
        <f ca="1">IFERROR(__xludf.DUMMYFUNCTION("IFERROR(IF(ISBLANK(B20),"""",GOOGLEFINANCE(B20,""low52"")),"""")"),138.8)</f>
        <v>138.80000000000001</v>
      </c>
      <c r="J20" s="19">
        <f t="shared" ca="1" si="0"/>
        <v>0.2615273775216137</v>
      </c>
      <c r="K20" s="20">
        <f ca="1">IFERROR(__xludf.DUMMYFUNCTION("IFERROR(IF(ISBLANK(B20),"""",GOOGLEFINANCE(B20,""high52"")),"""")"),299.29)</f>
        <v>299.29000000000002</v>
      </c>
      <c r="L20" s="19">
        <f t="shared" ca="1" si="1"/>
        <v>-0.41494871195161886</v>
      </c>
      <c r="M20" s="20">
        <f ca="1">IFERROR(__xludf.DUMMYFUNCTION("IF(ISBLANK(B20),"""",IFERROR(INDEX(GOOGLEFINANCE(B20,""price"",WORKDAY(TODAY(),-$M$17)),2,2),""""))"),180.11)</f>
        <v>180.11</v>
      </c>
      <c r="N20" s="19">
        <f ca="1">IFERROR(__xludf.DUMMYFUNCTION("IF(ISBLANK(B20),"""",IFERROR(F20/(INDEX(GOOGLEFINANCE(B20,""price"",WORKDAY(TODAY(),-$N$17)),2,2))-1,""""))"),-0.0278163344622731)</f>
        <v>-2.78163344622731E-2</v>
      </c>
      <c r="O20" s="21" t="str">
        <f ca="1">IFERROR(__xludf.DUMMYFUNCTION("IF(ISBLANK(B20),"""",IFERROR(IFERROR(""$""&amp;Trunc(GOOGLEFINANCE(B20,""Marketcap"")/1000000000)&amp;"" B"",""$""&amp;Trunc(IMPORTXML(""https://coinmarketcap.com/currencies/""&amp;B20,$W$4)/1000000000)&amp;"" B""),""-""))"),"$548 B")</f>
        <v>$548 B</v>
      </c>
      <c r="P20" s="8">
        <f ca="1">IFERROR(__xludf.DUMMYFUNCTION("IF(ISBLANK(B20),"""",IFERROR(GOOGLEFINANCE(B20,""pe""),""-""))"),44.81)</f>
        <v>44.81</v>
      </c>
      <c r="Q20" s="22" t="str">
        <f ca="1">IFERROR(__xludf.DUMMYFUNCTION("SPARKLINE(INDEX(GOOGLEFINANCE(B20,""price"",workday(today(),-$Q$17),today()),,2),{""charttype"",""column"";""color"",""green""})
"),"")</f>
        <v/>
      </c>
      <c r="R20" s="23" t="str">
        <f t="shared" si="2"/>
        <v>Info</v>
      </c>
      <c r="S20" s="24"/>
      <c r="T20" s="25"/>
      <c r="U20" s="8"/>
      <c r="V20" s="8"/>
      <c r="W20" s="8"/>
      <c r="X20" s="8"/>
      <c r="Y20" s="8"/>
      <c r="Z20" s="8"/>
      <c r="AA20" s="8"/>
      <c r="AB20" s="8"/>
      <c r="AC20" s="8"/>
    </row>
    <row r="21" spans="1:29" ht="13" x14ac:dyDescent="0.25">
      <c r="A21" s="8"/>
      <c r="B21" s="16" t="s">
        <v>22</v>
      </c>
      <c r="C21" s="17" t="str">
        <f ca="1">IFERROR(__xludf.DUMMYFUNCTION("GOOGLEFINANCE(B21,""name"")
"),"Meta Platforms Inc")</f>
        <v>Meta Platforms Inc</v>
      </c>
      <c r="D21" s="26" t="str">
        <f ca="1">IFERROR(__xludf.DUMMYFUNCTION("IF(ISBLANK(B21),"""",IFERROR(SPARKLINE(INDEX(GOOGLEFINANCE(B21,""price"",TODAY()-$D$17,TODAY()),,2),{""charttype"",""column"";""color"",""17a7e0""}),""""))"),"")</f>
        <v/>
      </c>
      <c r="E21" s="27"/>
      <c r="F21" s="18">
        <f ca="1">IFERROR(__xludf.DUMMYFUNCTION("IFERROR(IF(B21="""","""",GOOGLEFINANCE(B21)),IFERROR(GOOGLEFINANCE(""CURRENCY:""&amp;""USD""&amp;#REF!)*IMPORTXML(""https://coinmarketcap.com/currencies/""&amp;B21,$W$3),IMPORTXML(""https://coinmarketcap.com/currencies/""&amp;B21,$W$3)))"),477.79)</f>
        <v>477.79</v>
      </c>
      <c r="G21" s="19">
        <f ca="1">IFERROR(__xludf.DUMMYFUNCTION("IFERROR(IF(ISBLANK(B21),"""",GOOGLEFINANCE(B21,""changepct"")/100),"""")"),-0.0044)</f>
        <v>-4.4000000000000003E-3</v>
      </c>
      <c r="H21" s="19">
        <f ca="1">IFERROR(__xludf.DUMMYFUNCTION("IF(ISBLANK(B21),"""",IFERROR((GOOGLEFINANCE(B21,""price"")/INDEX(GOOGLEFINANCE(B21,""price"",DATEVALUE(TODAY()-365) ),2,2)-1),""""))"),0.820013713240896)</f>
        <v>0.820013713240896</v>
      </c>
      <c r="I21" s="20">
        <f ca="1">IFERROR(__xludf.DUMMYFUNCTION("IFERROR(IF(ISBLANK(B21),"""",GOOGLEFINANCE(B21,""low52"")),"""")"),258.45)</f>
        <v>258.45</v>
      </c>
      <c r="J21" s="19">
        <f t="shared" ca="1" si="0"/>
        <v>0.84867479202940621</v>
      </c>
      <c r="K21" s="20">
        <f ca="1">IFERROR(__xludf.DUMMYFUNCTION("IFERROR(IF(ISBLANK(B21),"""",GOOGLEFINANCE(B21,""high52"")),"""")"),531.49)</f>
        <v>531.49</v>
      </c>
      <c r="L21" s="19">
        <f t="shared" ca="1" si="1"/>
        <v>-0.10103670812244819</v>
      </c>
      <c r="M21" s="20">
        <f ca="1">IFERROR(__xludf.DUMMYFUNCTION("IF(ISBLANK(B21),"""",IFERROR(INDEX(GOOGLEFINANCE(B21,""price"",WORKDAY(TODAY(),-$M$17)),2,2),""""))"),467.78)</f>
        <v>467.78</v>
      </c>
      <c r="N21" s="19">
        <f ca="1">IFERROR(__xludf.DUMMYFUNCTION("IF(ISBLANK(B21),"""",IFERROR(F21/(INDEX(GOOGLEFINANCE(B21,""price"",WORKDAY(TODAY(),-$N$17)),2,2))-1,""""))"),0.0213989482235239)</f>
        <v>2.1398948223523898E-2</v>
      </c>
      <c r="O21" s="21" t="str">
        <f ca="1">IFERROR(__xludf.DUMMYFUNCTION("IF(ISBLANK(B21),"""",IFERROR(IFERROR(""$""&amp;Trunc(GOOGLEFINANCE(B21,""Marketcap"")/1000000000)&amp;"" B"",""$""&amp;Trunc(IMPORTXML(""https://coinmarketcap.com/currencies/""&amp;B21,$W$4)/1000000000)&amp;"" B""),""-""))"),"$1211 B")</f>
        <v>$1211 B</v>
      </c>
      <c r="P21" s="8">
        <f ca="1">IFERROR(__xludf.DUMMYFUNCTION("IF(ISBLANK(B21),"""",IFERROR(GOOGLEFINANCE(B21,""pe""),""-""))"),27.5)</f>
        <v>27.5</v>
      </c>
      <c r="Q21" s="22" t="str">
        <f ca="1">IFERROR(__xludf.DUMMYFUNCTION("SPARKLINE(INDEX(GOOGLEFINANCE(B21,""price"",workday(today(),-$Q$17),today()),,2),{""charttype"",""column"";""color"",""green""})
"),"")</f>
        <v/>
      </c>
      <c r="R21" s="23" t="str">
        <f t="shared" si="2"/>
        <v>Info</v>
      </c>
      <c r="S21" s="24"/>
      <c r="T21" s="25"/>
      <c r="U21" s="8"/>
      <c r="V21" s="8"/>
      <c r="W21" s="8"/>
      <c r="X21" s="8"/>
      <c r="Y21" s="8"/>
      <c r="Z21" s="8"/>
      <c r="AA21" s="8"/>
      <c r="AB21" s="8"/>
      <c r="AC21" s="8"/>
    </row>
    <row r="22" spans="1:29" ht="13" x14ac:dyDescent="0.25">
      <c r="A22" s="8"/>
      <c r="B22" s="16" t="s">
        <v>23</v>
      </c>
      <c r="C22" s="17" t="str">
        <f ca="1">IFERROR(__xludf.DUMMYFUNCTION("GOOGLEFINANCE(B22,""name"")
"),"Apple Inc")</f>
        <v>Apple Inc</v>
      </c>
      <c r="D22" s="26" t="str">
        <f ca="1">IFERROR(__xludf.DUMMYFUNCTION("IF(ISBLANK(B22),"""",IFERROR(SPARKLINE(INDEX(GOOGLEFINANCE(B22,""price"",TODAY()-$D$17,TODAY()),,2),{""charttype"",""column"";""color"",""17a7e0""}),""""))"),"")</f>
        <v/>
      </c>
      <c r="E22" s="27"/>
      <c r="F22" s="18">
        <f ca="1">IFERROR(__xludf.DUMMYFUNCTION("IFERROR(IF(B22="""","""",GOOGLEFINANCE(B22)),IFERROR(GOOGLEFINANCE(""CURRENCY:""&amp;""USD""&amp;#REF!)*IMPORTXML(""https://coinmarketcap.com/currencies/""&amp;B22,$W$3),IMPORTXML(""https://coinmarketcap.com/currencies/""&amp;B22,$W$3)))"),191.24)</f>
        <v>191.24</v>
      </c>
      <c r="G22" s="19">
        <f ca="1">IFERROR(__xludf.DUMMYFUNCTION("IFERROR(IF(ISBLANK(B22),"""",GOOGLEFINANCE(B22,""changepct"")/100),"""")"),0.0066)</f>
        <v>6.6E-3</v>
      </c>
      <c r="H22" s="19">
        <f ca="1">IFERROR(__xludf.DUMMYFUNCTION("IF(ISBLANK(B22),"""",IFERROR((GOOGLEFINANCE(B22,""price"")/INDEX(GOOGLEFINANCE(B22,""price"",DATEVALUE(TODAY()-365) ),2,2)-1),""""))"),0.0786238014664411)</f>
        <v>7.8623801466441101E-2</v>
      </c>
      <c r="I22" s="20">
        <f ca="1">IFERROR(__xludf.DUMMYFUNCTION("IFERROR(IF(ISBLANK(B22),"""",GOOGLEFINANCE(B22,""low52"")),"""")"),164.08)</f>
        <v>164.08</v>
      </c>
      <c r="J22" s="19">
        <f t="shared" ca="1" si="0"/>
        <v>0.16552901023890781</v>
      </c>
      <c r="K22" s="20">
        <f ca="1">IFERROR(__xludf.DUMMYFUNCTION("IFERROR(IF(ISBLANK(B22),"""",GOOGLEFINANCE(B22,""high52"")),"""")"),199.62)</f>
        <v>199.62</v>
      </c>
      <c r="L22" s="19">
        <f t="shared" ca="1" si="1"/>
        <v>-4.1979761546939158E-2</v>
      </c>
      <c r="M22" s="20">
        <f ca="1">IFERROR(__xludf.DUMMYFUNCTION("IF(ISBLANK(B22),"""",IFERROR(INDEX(GOOGLEFINANCE(B22,""price"",WORKDAY(TODAY(),-$M$17)),2,2),""""))"),190.9)</f>
        <v>190.9</v>
      </c>
      <c r="N22" s="19">
        <f ca="1">IFERROR(__xludf.DUMMYFUNCTION("IF(ISBLANK(B22),"""",IFERROR(F22/(INDEX(GOOGLEFINANCE(B22,""price"",WORKDAY(TODAY(),-$N$17)),2,2))-1,""""))"),0.00178103719224731)</f>
        <v>1.7810371922473099E-3</v>
      </c>
      <c r="O22" s="21" t="str">
        <f ca="1">IFERROR(__xludf.DUMMYFUNCTION("IF(ISBLANK(B22),"""",IFERROR(IFERROR(""$""&amp;Trunc(GOOGLEFINANCE(B22,""Marketcap"")/1000000000)&amp;"" B"",""$""&amp;Trunc(IMPORTXML(""https://coinmarketcap.com/currencies/""&amp;B22,$W$4)/1000000000)&amp;"" B""),""-""))"),"$2930 B")</f>
        <v>$2930 B</v>
      </c>
      <c r="P22" s="8">
        <f ca="1">IFERROR(__xludf.DUMMYFUNCTION("IF(ISBLANK(B22),"""",IFERROR(GOOGLEFINANCE(B22,""pe""),""-""))"),29.75)</f>
        <v>29.75</v>
      </c>
      <c r="Q22" s="22" t="str">
        <f ca="1">IFERROR(__xludf.DUMMYFUNCTION("SPARKLINE(INDEX(GOOGLEFINANCE(B22,""price"",workday(today(),-$Q$17),today()),,2),{""charttype"",""column"";""color"",""green""})
"),"")</f>
        <v/>
      </c>
      <c r="R22" s="23" t="str">
        <f t="shared" si="2"/>
        <v>Info</v>
      </c>
      <c r="S22" s="24"/>
      <c r="T22" s="25"/>
      <c r="U22" s="8"/>
      <c r="V22" s="8"/>
      <c r="W22" s="8"/>
      <c r="X22" s="8"/>
      <c r="Y22" s="8"/>
      <c r="Z22" s="8"/>
      <c r="AA22" s="8"/>
      <c r="AB22" s="8"/>
      <c r="AC22" s="8"/>
    </row>
    <row r="23" spans="1:29" ht="13" x14ac:dyDescent="0.25">
      <c r="A23" s="8"/>
      <c r="B23" s="16" t="s">
        <v>24</v>
      </c>
      <c r="C23" s="17" t="str">
        <f ca="1">IFERROR(__xludf.DUMMYFUNCTION("GOOGLEFINANCE(B23,""name"")
"),"iShares Core FTSE 100 UCITS ETF GBP Dist")</f>
        <v>iShares Core FTSE 100 UCITS ETF GBP Dist</v>
      </c>
      <c r="D23" s="26" t="str">
        <f ca="1">IFERROR(__xludf.DUMMYFUNCTION("IF(ISBLANK(B23),"""",IFERROR(SPARKLINE(INDEX(GOOGLEFINANCE(B23,""price"",TODAY()-$D$17,TODAY()),,2),{""charttype"",""column"";""color"",""17a7e0""}),""""))"),"")</f>
        <v/>
      </c>
      <c r="E23" s="27"/>
      <c r="F23" s="18">
        <f ca="1">IFERROR(__xludf.DUMMYFUNCTION("IFERROR(IF(B23="""","""",GOOGLEFINANCE(B23)),IFERROR(GOOGLEFINANCE(""CURRENCY:""&amp;""USD""&amp;#REF!)*IMPORTXML(""https://coinmarketcap.com/currencies/""&amp;B23,$W$3),IMPORTXML(""https://coinmarketcap.com/currencies/""&amp;B23,$W$3)))"),804.5)</f>
        <v>804.5</v>
      </c>
      <c r="G23" s="19">
        <f ca="1">IFERROR(__xludf.DUMMYFUNCTION("IFERROR(IF(ISBLANK(B23),"""",GOOGLEFINANCE(B23,""changepct"")/100),"""")"),-0.0091)</f>
        <v>-9.1000000000000004E-3</v>
      </c>
      <c r="H23" s="19">
        <f ca="1">IFERROR(__xludf.DUMMYFUNCTION("IF(ISBLANK(B23),"""",IFERROR((GOOGLEFINANCE(B23,""price"")/INDEX(GOOGLEFINANCE(B23,""price"",DATEVALUE(TODAY()-365) ),2,2)-1),""""))"),0.0846703518942968)</f>
        <v>8.4670351894296794E-2</v>
      </c>
      <c r="I23" s="20">
        <f ca="1">IFERROR(__xludf.DUMMYFUNCTION("IFERROR(IF(ISBLANK(B23),"""",GOOGLEFINANCE(B23,""low52"")),"""")"),704.84)</f>
        <v>704.84</v>
      </c>
      <c r="J23" s="19">
        <f t="shared" ca="1" si="0"/>
        <v>0.14139379149877981</v>
      </c>
      <c r="K23" s="20">
        <f ca="1">IFERROR(__xludf.DUMMYFUNCTION("IFERROR(IF(ISBLANK(B23),"""",GOOGLEFINANCE(B23,""high52"")),"""")"),875.86)</f>
        <v>875.86</v>
      </c>
      <c r="L23" s="19">
        <f t="shared" ca="1" si="1"/>
        <v>-8.1474208206791049E-2</v>
      </c>
      <c r="M23" s="20">
        <f ca="1">IFERROR(__xludf.DUMMYFUNCTION("IF(ISBLANK(B23),"""",IFERROR(INDEX(GOOGLEFINANCE(B23,""price"",WORKDAY(TODAY(),-$M$17)),2,2),""""))"),822.6)</f>
        <v>822.6</v>
      </c>
      <c r="N23" s="19">
        <f ca="1">IFERROR(__xludf.DUMMYFUNCTION("IF(ISBLANK(B23),"""",IFERROR(F23/(INDEX(GOOGLEFINANCE(B23,""price"",WORKDAY(TODAY(),-$N$17)),2,2))-1,""""))"),-0.0220034038414782)</f>
        <v>-2.2003403841478201E-2</v>
      </c>
      <c r="O23" s="21" t="str">
        <f ca="1">IFERROR(__xludf.DUMMYFUNCTION("IF(ISBLANK(B23),"""",IFERROR(IFERROR(""$""&amp;Trunc(GOOGLEFINANCE(B23,""Marketcap"")/1000000000)&amp;"" B"",""$""&amp;Trunc(IMPORTXML(""https://coinmarketcap.com/currencies/""&amp;B23,$W$4)/1000000000)&amp;"" B""),""-""))"),"$10 B")</f>
        <v>$10 B</v>
      </c>
      <c r="P23" s="8" t="str">
        <f ca="1">IFERROR(__xludf.DUMMYFUNCTION("IF(ISBLANK(B23),"""",IFERROR(GOOGLEFINANCE(B23,""pe""),""-""))"),"-")</f>
        <v>-</v>
      </c>
      <c r="Q23" s="22" t="str">
        <f ca="1">IFERROR(__xludf.DUMMYFUNCTION("SPARKLINE(INDEX(GOOGLEFINANCE(B23,""price"",workday(today(),-$Q$17),today()),,2),{""charttype"",""column"";""color"",""green""})
"),"")</f>
        <v/>
      </c>
      <c r="R23" s="23" t="str">
        <f t="shared" si="2"/>
        <v>Info</v>
      </c>
      <c r="S23" s="24"/>
      <c r="T23" s="25"/>
      <c r="U23" s="8"/>
      <c r="V23" s="8"/>
      <c r="W23" s="8"/>
      <c r="X23" s="8"/>
      <c r="Y23" s="8"/>
      <c r="Z23" s="8"/>
      <c r="AA23" s="8"/>
      <c r="AB23" s="8"/>
      <c r="AC23" s="8"/>
    </row>
    <row r="24" spans="1:29" ht="13" x14ac:dyDescent="0.25">
      <c r="A24" s="8"/>
      <c r="B24" s="16" t="s">
        <v>25</v>
      </c>
      <c r="C24" s="17" t="str">
        <f ca="1">IFERROR(__xludf.DUMMYFUNCTION("GOOGLEFINANCE(B24,""name"")
"),"iShares Edge MSCI Wld Qual Fctr UCITS ETF USD A")</f>
        <v>iShares Edge MSCI Wld Qual Fctr UCITS ETF USD A</v>
      </c>
      <c r="D24" s="26" t="str">
        <f ca="1">IFERROR(__xludf.DUMMYFUNCTION("IF(ISBLANK(B24),"""",IFERROR(SPARKLINE(INDEX(GOOGLEFINANCE(B24,""price"",TODAY()-$D$17,TODAY()),,2),{""charttype"",""column"";""color"",""17a7e0""}),""""))"),"")</f>
        <v/>
      </c>
      <c r="E24" s="27"/>
      <c r="F24" s="18">
        <f ca="1">IFERROR(__xludf.DUMMYFUNCTION("IFERROR(IF(B24="""","""",GOOGLEFINANCE(B24)),IFERROR(GOOGLEFINANCE(""CURRENCY:""&amp;""USD""&amp;#REF!)*IMPORTXML(""https://coinmarketcap.com/currencies/""&amp;B24,$W$3),IMPORTXML(""https://coinmarketcap.com/currencies/""&amp;B24,$W$3)))"),66.1)</f>
        <v>66.099999999999994</v>
      </c>
      <c r="G24" s="19">
        <f ca="1">IFERROR(__xludf.DUMMYFUNCTION("IFERROR(IF(ISBLANK(B24),"""",GOOGLEFINANCE(B24,""changepct"")/100),"""")"),-0.0074)</f>
        <v>-7.4000000000000003E-3</v>
      </c>
      <c r="H24" s="19">
        <f ca="1">IFERROR(__xludf.DUMMYFUNCTION("IF(ISBLANK(B24),"""",IFERROR((GOOGLEFINANCE(B24,""price"")/INDEX(GOOGLEFINANCE(B24,""price"",DATEVALUE(TODAY()-365) ),2,2)-1),""""))"),0.273603082851637)</f>
        <v>0.27360308285163698</v>
      </c>
      <c r="I24" s="20">
        <f ca="1">IFERROR(__xludf.DUMMYFUNCTION("IFERROR(IF(ISBLANK(B24),"""",GOOGLEFINANCE(B24,""low52"")),"""")"),51.18)</f>
        <v>51.18</v>
      </c>
      <c r="J24" s="19">
        <f t="shared" ca="1" si="0"/>
        <v>0.29152012504884711</v>
      </c>
      <c r="K24" s="20">
        <f ca="1">IFERROR(__xludf.DUMMYFUNCTION("IFERROR(IF(ISBLANK(B24),"""",GOOGLEFINANCE(B24,""high52"")),"""")"),66.9)</f>
        <v>66.900000000000006</v>
      </c>
      <c r="L24" s="19">
        <f t="shared" ca="1" si="1"/>
        <v>-1.1958146487294638E-2</v>
      </c>
      <c r="M24" s="20">
        <f ca="1">IFERROR(__xludf.DUMMYFUNCTION("IF(ISBLANK(B24),"""",IFERROR(INDEX(GOOGLEFINANCE(B24,""price"",WORKDAY(TODAY(),-$M$17)),2,2),""""))"),66.25)</f>
        <v>66.25</v>
      </c>
      <c r="N24" s="19">
        <f ca="1">IFERROR(__xludf.DUMMYFUNCTION("IF(ISBLANK(B24),"""",IFERROR(F24/(INDEX(GOOGLEFINANCE(B24,""price"",WORKDAY(TODAY(),-$N$17)),2,2))-1,""""))"),-0.00226415094339627)</f>
        <v>-2.2641509433962699E-3</v>
      </c>
      <c r="O24" s="21" t="str">
        <f ca="1">IFERROR(__xludf.DUMMYFUNCTION("IF(ISBLANK(B24),"""",IFERROR(IFERROR(""$""&amp;Trunc(GOOGLEFINANCE(B24,""Marketcap"")/1000000000)&amp;"" B"",""$""&amp;Trunc(IMPORTXML(""https://coinmarketcap.com/currencies/""&amp;B24,$W$4)/1000000000)&amp;"" B""),""-""))"),"-")</f>
        <v>-</v>
      </c>
      <c r="P24" s="8" t="str">
        <f ca="1">IFERROR(__xludf.DUMMYFUNCTION("IF(ISBLANK(B24),"""",IFERROR(GOOGLEFINANCE(B24,""pe""),""-""))"),"-")</f>
        <v>-</v>
      </c>
      <c r="Q24" s="22" t="str">
        <f ca="1">IFERROR(__xludf.DUMMYFUNCTION("SPARKLINE(INDEX(GOOGLEFINANCE(B24,""price"",workday(today(),-$Q$17),today()),,2),{""charttype"",""column"";""color"",""green""})
"),"")</f>
        <v/>
      </c>
      <c r="R24" s="23" t="str">
        <f t="shared" si="2"/>
        <v>Info</v>
      </c>
      <c r="S24" s="24"/>
      <c r="T24" s="25"/>
      <c r="U24" s="8"/>
      <c r="V24" s="8"/>
      <c r="W24" s="8"/>
      <c r="X24" s="8"/>
      <c r="Y24" s="8"/>
      <c r="Z24" s="8"/>
      <c r="AA24" s="8"/>
      <c r="AB24" s="8"/>
      <c r="AC24" s="8"/>
    </row>
    <row r="25" spans="1:29" ht="13" x14ac:dyDescent="0.25">
      <c r="A25" s="8"/>
      <c r="B25" s="16" t="s">
        <v>26</v>
      </c>
      <c r="C25" s="17" t="str">
        <f ca="1">IFERROR(__xludf.DUMMYFUNCTION("GOOGLEFINANCE(B25,""name"")
"),"iShares Edge MSCI Wld Mntm Fctr UCITS ETF USD A")</f>
        <v>iShares Edge MSCI Wld Mntm Fctr UCITS ETF USD A</v>
      </c>
      <c r="D25" s="26" t="str">
        <f ca="1">IFERROR(__xludf.DUMMYFUNCTION("IF(ISBLANK(B25),"""",IFERROR(SPARKLINE(INDEX(GOOGLEFINANCE(B25,""price"",TODAY()-$D$17,TODAY()),,2),{""charttype"",""column"";""color"",""17a7e0""}),""""))"),"")</f>
        <v/>
      </c>
      <c r="E25" s="27"/>
      <c r="F25" s="18">
        <f ca="1">IFERROR(__xludf.DUMMYFUNCTION("IFERROR(IF(B25="""","""",GOOGLEFINANCE(B25)),IFERROR(GOOGLEFINANCE(""CURRENCY:""&amp;""USD""&amp;#REF!)*IMPORTXML(""https://coinmarketcap.com/currencies/""&amp;B25,$W$3),IMPORTXML(""https://coinmarketcap.com/currencies/""&amp;B25,$W$3)))"),75.76)</f>
        <v>75.760000000000005</v>
      </c>
      <c r="G25" s="19">
        <f ca="1">IFERROR(__xludf.DUMMYFUNCTION("IFERROR(IF(ISBLANK(B25),"""",GOOGLEFINANCE(B25,""changepct"")/100),"""")"),-0.0062)</f>
        <v>-6.1999999999999998E-3</v>
      </c>
      <c r="H25" s="19">
        <f ca="1">IFERROR(__xludf.DUMMYFUNCTION("IF(ISBLANK(B25),"""",IFERROR((GOOGLEFINANCE(B25,""price"")/INDEX(GOOGLEFINANCE(B25,""price"",DATEVALUE(TODAY()-365) ),2,2)-1),""""))"),0.412378821774795)</f>
        <v>0.41237882177479501</v>
      </c>
      <c r="I25" s="20">
        <f ca="1">IFERROR(__xludf.DUMMYFUNCTION("IFERROR(IF(ISBLANK(B25),"""",GOOGLEFINANCE(B25,""low52"")),"""")"),53.22)</f>
        <v>53.22</v>
      </c>
      <c r="J25" s="19">
        <f t="shared" ca="1" si="0"/>
        <v>0.42352499060503584</v>
      </c>
      <c r="K25" s="20">
        <f ca="1">IFERROR(__xludf.DUMMYFUNCTION("IFERROR(IF(ISBLANK(B25),"""",GOOGLEFINANCE(B25,""high52"")),"""")"),76.55)</f>
        <v>76.55</v>
      </c>
      <c r="L25" s="19">
        <f t="shared" ca="1" si="1"/>
        <v>-1.0320052253429027E-2</v>
      </c>
      <c r="M25" s="20">
        <f ca="1">IFERROR(__xludf.DUMMYFUNCTION("IF(ISBLANK(B25),"""",IFERROR(INDEX(GOOGLEFINANCE(B25,""price"",WORKDAY(TODAY(),-$M$17)),2,2),""""))"),74.95)</f>
        <v>74.95</v>
      </c>
      <c r="N25" s="19">
        <f ca="1">IFERROR(__xludf.DUMMYFUNCTION("IF(ISBLANK(B25),"""",IFERROR(F25/(INDEX(GOOGLEFINANCE(B25,""price"",WORKDAY(TODAY(),-$N$17)),2,2))-1,""""))"),0.0108072048032021)</f>
        <v>1.0807204803202099E-2</v>
      </c>
      <c r="O25" s="21" t="str">
        <f ca="1">IFERROR(__xludf.DUMMYFUNCTION("IF(ISBLANK(B25),"""",IFERROR(IFERROR(""$""&amp;Trunc(GOOGLEFINANCE(B25,""Marketcap"")/1000000000)&amp;"" B"",""$""&amp;Trunc(IMPORTXML(""https://coinmarketcap.com/currencies/""&amp;B25,$W$4)/1000000000)&amp;"" B""),""-""))"),"-")</f>
        <v>-</v>
      </c>
      <c r="P25" s="8" t="str">
        <f ca="1">IFERROR(__xludf.DUMMYFUNCTION("IF(ISBLANK(B25),"""",IFERROR(GOOGLEFINANCE(B25,""pe""),""-""))"),"-")</f>
        <v>-</v>
      </c>
      <c r="Q25" s="22" t="str">
        <f ca="1">IFERROR(__xludf.DUMMYFUNCTION("SPARKLINE(INDEX(GOOGLEFINANCE(B25,""price"",workday(today(),-$Q$17),today()),,2),{""charttype"",""column"";""color"",""green""})
"),"")</f>
        <v/>
      </c>
      <c r="R25" s="23" t="str">
        <f t="shared" si="2"/>
        <v>Info</v>
      </c>
      <c r="S25" s="24"/>
      <c r="T25" s="25"/>
      <c r="U25" s="8"/>
      <c r="V25" s="8"/>
      <c r="W25" s="8"/>
      <c r="X25" s="8"/>
      <c r="Y25" s="8"/>
      <c r="Z25" s="8"/>
      <c r="AA25" s="8"/>
      <c r="AB25" s="8"/>
      <c r="AC25" s="8"/>
    </row>
    <row r="26" spans="1:29" ht="13" x14ac:dyDescent="0.25">
      <c r="A26" s="8"/>
      <c r="B26" s="16" t="s">
        <v>27</v>
      </c>
      <c r="C26" s="17" t="str">
        <f ca="1">IFERROR(__xludf.DUMMYFUNCTION("GOOGLEFINANCE(B26,""name"")
"),"WisdomTree Global Qual Div Gro UCITS ETF USD Acc")</f>
        <v>WisdomTree Global Qual Div Gro UCITS ETF USD Acc</v>
      </c>
      <c r="D26" s="26" t="str">
        <f ca="1">IFERROR(__xludf.DUMMYFUNCTION("IF(ISBLANK(B26),"""",IFERROR(SPARKLINE(INDEX(GOOGLEFINANCE(B26,""price"",TODAY()-$D$17,TODAY()),,2),{""charttype"",""column"";""color"",""17a7e0""}),""""))"),"")</f>
        <v/>
      </c>
      <c r="E26" s="27"/>
      <c r="F26" s="18">
        <f ca="1">IFERROR(__xludf.DUMMYFUNCTION("IFERROR(IF(B26="""","""",GOOGLEFINANCE(B26)),IFERROR(GOOGLEFINANCE(""CURRENCY:""&amp;""USD""&amp;#REF!)*IMPORTXML(""https://coinmarketcap.com/currencies/""&amp;B26,$W$3),IMPORTXML(""https://coinmarketcap.com/currencies/""&amp;B26,$W$3)))"),38.24)</f>
        <v>38.24</v>
      </c>
      <c r="G26" s="19">
        <f ca="1">IFERROR(__xludf.DUMMYFUNCTION("IFERROR(IF(ISBLANK(B26),"""",GOOGLEFINANCE(B26,""changepct"")/100),"""")"),-0.0107)</f>
        <v>-1.0699999999999999E-2</v>
      </c>
      <c r="H26" s="19">
        <f ca="1">IFERROR(__xludf.DUMMYFUNCTION("IF(ISBLANK(B26),"""",IFERROR((GOOGLEFINANCE(B26,""price"")/INDEX(GOOGLEFINANCE(B26,""price"",DATEVALUE(TODAY()-365) ),2,2)-1),""""))"),0.161603888213851)</f>
        <v>0.16160388821385099</v>
      </c>
      <c r="I26" s="20">
        <f ca="1">IFERROR(__xludf.DUMMYFUNCTION("IFERROR(IF(ISBLANK(B26),"""",GOOGLEFINANCE(B26,""low52"")),"""")"),31.41)</f>
        <v>31.41</v>
      </c>
      <c r="J26" s="19">
        <f t="shared" ca="1" si="0"/>
        <v>0.21744667303406565</v>
      </c>
      <c r="K26" s="20">
        <f ca="1">IFERROR(__xludf.DUMMYFUNCTION("IFERROR(IF(ISBLANK(B26),"""",GOOGLEFINANCE(B26,""high52"")),"""")"),39.27)</f>
        <v>39.270000000000003</v>
      </c>
      <c r="L26" s="19">
        <f t="shared" ca="1" si="1"/>
        <v>-2.6228673287496843E-2</v>
      </c>
      <c r="M26" s="20">
        <f ca="1">IFERROR(__xludf.DUMMYFUNCTION("IF(ISBLANK(B26),"""",IFERROR(INDEX(GOOGLEFINANCE(B26,""price"",WORKDAY(TODAY(),-$M$17)),2,2),""""))"),39.08)</f>
        <v>39.08</v>
      </c>
      <c r="N26" s="19">
        <f ca="1">IFERROR(__xludf.DUMMYFUNCTION("IF(ISBLANK(B26),"""",IFERROR(F26/(INDEX(GOOGLEFINANCE(B26,""price"",WORKDAY(TODAY(),-$N$17)),2,2))-1,""""))"),-0.021494370522006)</f>
        <v>-2.1494370522006E-2</v>
      </c>
      <c r="O26" s="21" t="str">
        <f ca="1">IFERROR(__xludf.DUMMYFUNCTION("IF(ISBLANK(B26),"""",IFERROR(IFERROR(""$""&amp;Trunc(GOOGLEFINANCE(B26,""Marketcap"")/1000000000)&amp;"" B"",""$""&amp;Trunc(IMPORTXML(""https://coinmarketcap.com/currencies/""&amp;B26,$W$4)/1000000000)&amp;"" B""),""-""))"),"-")</f>
        <v>-</v>
      </c>
      <c r="P26" s="8" t="str">
        <f ca="1">IFERROR(__xludf.DUMMYFUNCTION("IF(ISBLANK(B26),"""",IFERROR(GOOGLEFINANCE(B26,""pe""),""-""))"),"-")</f>
        <v>-</v>
      </c>
      <c r="Q26" s="22" t="str">
        <f ca="1">IFERROR(__xludf.DUMMYFUNCTION("SPARKLINE(INDEX(GOOGLEFINANCE(B26,""price"",workday(today(),-$Q$17),today()),,2),{""charttype"",""column"";""color"",""green""})
"),"")</f>
        <v/>
      </c>
      <c r="R26" s="23" t="str">
        <f t="shared" si="2"/>
        <v>Info</v>
      </c>
      <c r="S26" s="24"/>
      <c r="T26" s="25"/>
      <c r="U26" s="8"/>
      <c r="V26" s="8"/>
      <c r="W26" s="8"/>
      <c r="X26" s="8"/>
      <c r="Y26" s="8"/>
      <c r="Z26" s="8"/>
      <c r="AA26" s="8"/>
      <c r="AB26" s="8"/>
      <c r="AC26" s="8"/>
    </row>
    <row r="27" spans="1:29" ht="13" x14ac:dyDescent="0.25">
      <c r="A27" s="8"/>
      <c r="B27" s="16" t="s">
        <v>28</v>
      </c>
      <c r="C27" s="17" t="str">
        <f ca="1">IFERROR(__xludf.DUMMYFUNCTION("GOOGLEFINANCE(B27,""name"")
"),"ASML Holding NV")</f>
        <v>ASML Holding NV</v>
      </c>
      <c r="D27" s="26" t="str">
        <f ca="1">IFERROR(__xludf.DUMMYFUNCTION("IF(ISBLANK(B27),"""",IFERROR(SPARKLINE(INDEX(GOOGLEFINANCE(B27,""price"",TODAY()-$D$17,TODAY()),,2),{""charttype"",""column"";""color"",""17a7e0""}),""""))"),"")</f>
        <v/>
      </c>
      <c r="E27" s="27"/>
      <c r="F27" s="18">
        <f ca="1">IFERROR(__xludf.DUMMYFUNCTION("IFERROR(IF(B27="""","""",GOOGLEFINANCE(B27)),IFERROR(GOOGLEFINANCE(""CURRENCY:""&amp;""USD""&amp;#REF!)*IMPORTXML(""https://coinmarketcap.com/currencies/""&amp;B27,$W$3),IMPORTXML(""https://coinmarketcap.com/currencies/""&amp;B27,$W$3)))"),958.89)</f>
        <v>958.89</v>
      </c>
      <c r="G27" s="19">
        <f ca="1">IFERROR(__xludf.DUMMYFUNCTION("IFERROR(IF(ISBLANK(B27),"""",GOOGLEFINANCE(B27,""changepct"")/100),"""")"),-0.0332)</f>
        <v>-3.32E-2</v>
      </c>
      <c r="H27" s="19">
        <f ca="1">IFERROR(__xludf.DUMMYFUNCTION("IF(ISBLANK(B27),"""",IFERROR((GOOGLEFINANCE(B27,""price"")/INDEX(GOOGLEFINANCE(B27,""price"",DATEVALUE(TODAY()-365) ),2,2)-1),""""))"),0.316686348282206)</f>
        <v>0.31668634828220599</v>
      </c>
      <c r="I27" s="20">
        <f ca="1">IFERROR(__xludf.DUMMYFUNCTION("IFERROR(IF(ISBLANK(B27),"""",GOOGLEFINANCE(B27,""low52"")),"""")"),564)</f>
        <v>564</v>
      </c>
      <c r="J27" s="19">
        <f t="shared" ca="1" si="0"/>
        <v>0.70015957446808508</v>
      </c>
      <c r="K27" s="20">
        <f ca="1">IFERROR(__xludf.DUMMYFUNCTION("IFERROR(IF(ISBLANK(B27),"""",GOOGLEFINANCE(B27,""high52"")),"""")"),1056.34)</f>
        <v>1056.3399999999999</v>
      </c>
      <c r="L27" s="19">
        <f t="shared" ca="1" si="1"/>
        <v>-9.2252494462010282E-2</v>
      </c>
      <c r="M27" s="20">
        <f ca="1">IFERROR(__xludf.DUMMYFUNCTION("IF(ISBLANK(B27),"""",IFERROR(INDEX(GOOGLEFINANCE(B27,""price"",WORKDAY(TODAY(),-$M$17)),2,2),""""))"),922.33)</f>
        <v>922.33</v>
      </c>
      <c r="N27" s="19">
        <f ca="1">IFERROR(__xludf.DUMMYFUNCTION("IF(ISBLANK(B27),"""",IFERROR(F27/(INDEX(GOOGLEFINANCE(B27,""price"",WORKDAY(TODAY(),-$N$17)),2,2))-1,""""))"),0.0396387410146041)</f>
        <v>3.9638741014604101E-2</v>
      </c>
      <c r="O27" s="21" t="str">
        <f ca="1">IFERROR(__xludf.DUMMYFUNCTION("IF(ISBLANK(B27),"""",IFERROR(IFERROR(""$""&amp;Trunc(GOOGLEFINANCE(B27,""Marketcap"")/1000000000)&amp;"" B"",""$""&amp;Trunc(IMPORTXML(""https://coinmarketcap.com/currencies/""&amp;B27,$W$4)/1000000000)&amp;"" B""),""-""))"),"$375 B")</f>
        <v>$375 B</v>
      </c>
      <c r="P27" s="8">
        <f ca="1">IFERROR(__xludf.DUMMYFUNCTION("IF(ISBLANK(B27),"""",IFERROR(GOOGLEFINANCE(B27,""pe""),""-""))"),48.97)</f>
        <v>48.97</v>
      </c>
      <c r="Q27" s="22" t="str">
        <f ca="1">IFERROR(__xludf.DUMMYFUNCTION("SPARKLINE(INDEX(GOOGLEFINANCE(B27,""price"",workday(today(),-$Q$17),today()),,2),{""charttype"",""column"";""color"",""green""})
"),"")</f>
        <v/>
      </c>
      <c r="R27" s="23" t="str">
        <f t="shared" si="2"/>
        <v>Info</v>
      </c>
      <c r="S27" s="24"/>
      <c r="T27" s="25"/>
      <c r="U27" s="8"/>
      <c r="V27" s="8"/>
      <c r="W27" s="8"/>
      <c r="X27" s="8"/>
      <c r="Y27" s="8"/>
      <c r="Z27" s="8"/>
      <c r="AA27" s="8"/>
      <c r="AB27" s="8"/>
      <c r="AC27" s="8"/>
    </row>
    <row r="28" spans="1:29" ht="13" x14ac:dyDescent="0.25">
      <c r="A28" s="8"/>
      <c r="B28" s="16" t="s">
        <v>29</v>
      </c>
      <c r="C28" s="17" t="str">
        <f ca="1">IFERROR(__xludf.DUMMYFUNCTION("GOOGLEFINANCE(B28,""name"")
"),"iShares Edge MSCI Wld Min Vol UCITS ETF USD A")</f>
        <v>iShares Edge MSCI Wld Min Vol UCITS ETF USD A</v>
      </c>
      <c r="D28" s="26" t="str">
        <f ca="1">IFERROR(__xludf.DUMMYFUNCTION("IF(ISBLANK(B28),"""",IFERROR(SPARKLINE(INDEX(GOOGLEFINANCE(B28,""price"",TODAY()-$D$17,TODAY()),,2),{""charttype"",""column"";""color"",""17a7e0""}),""""))"),"")</f>
        <v/>
      </c>
      <c r="E28" s="27"/>
      <c r="F28" s="18">
        <f ca="1">IFERROR(__xludf.DUMMYFUNCTION("IFERROR(IF(B28="""","""",GOOGLEFINANCE(B28)),IFERROR(GOOGLEFINANCE(""CURRENCY:""&amp;""USD""&amp;#REF!)*IMPORTXML(""https://coinmarketcap.com/currencies/""&amp;B28,$W$3),IMPORTXML(""https://coinmarketcap.com/currencies/""&amp;B28,$W$3)))"),61.17)</f>
        <v>61.17</v>
      </c>
      <c r="G28" s="19">
        <f ca="1">IFERROR(__xludf.DUMMYFUNCTION("IFERROR(IF(ISBLANK(B28),"""",GOOGLEFINANCE(B28,""changepct"")/100),"""")"),-0.0123)</f>
        <v>-1.23E-2</v>
      </c>
      <c r="H28" s="19">
        <f ca="1">IFERROR(__xludf.DUMMYFUNCTION("IF(ISBLANK(B28),"""",IFERROR((GOOGLEFINANCE(B28,""price"")/INDEX(GOOGLEFINANCE(B28,""price"",DATEVALUE(TODAY()-365) ),2,2)-1),""""))"),0.0925165208072871)</f>
        <v>9.2516520807287103E-2</v>
      </c>
      <c r="I28" s="20">
        <f ca="1">IFERROR(__xludf.DUMMYFUNCTION("IFERROR(IF(ISBLANK(B28),"""",GOOGLEFINANCE(B28,""low52"")),"""")"),54.56)</f>
        <v>54.56</v>
      </c>
      <c r="J28" s="19">
        <f t="shared" ca="1" si="0"/>
        <v>0.12115102639296187</v>
      </c>
      <c r="K28" s="20">
        <f ca="1">IFERROR(__xludf.DUMMYFUNCTION("IFERROR(IF(ISBLANK(B28),"""",GOOGLEFINANCE(B28,""high52"")),"""")"),63.36)</f>
        <v>63.36</v>
      </c>
      <c r="L28" s="19">
        <f t="shared" ca="1" si="1"/>
        <v>-3.4564393939393902E-2</v>
      </c>
      <c r="M28" s="20">
        <f ca="1">IFERROR(__xludf.DUMMYFUNCTION("IF(ISBLANK(B28),"""",IFERROR(INDEX(GOOGLEFINANCE(B28,""price"",WORKDAY(TODAY(),-$M$17)),2,2),""""))"),62.85)</f>
        <v>62.85</v>
      </c>
      <c r="N28" s="19">
        <f ca="1">IFERROR(__xludf.DUMMYFUNCTION("IF(ISBLANK(B28),"""",IFERROR(F28/(INDEX(GOOGLEFINANCE(B28,""price"",WORKDAY(TODAY(),-$N$17)),2,2))-1,""""))"),-0.0267303102625298)</f>
        <v>-2.67303102625298E-2</v>
      </c>
      <c r="O28" s="21" t="str">
        <f ca="1">IFERROR(__xludf.DUMMYFUNCTION("IF(ISBLANK(B28),"""",IFERROR(IFERROR(""$""&amp;Trunc(GOOGLEFINANCE(B28,""Marketcap"")/1000000000)&amp;"" B"",""$""&amp;Trunc(IMPORTXML(""https://coinmarketcap.com/currencies/""&amp;B28,$W$4)/1000000000)&amp;"" B""),""-""))"),"-")</f>
        <v>-</v>
      </c>
      <c r="P28" s="8" t="str">
        <f ca="1">IFERROR(__xludf.DUMMYFUNCTION("IF(ISBLANK(B28),"""",IFERROR(GOOGLEFINANCE(B28,""pe""),""-""))"),"-")</f>
        <v>-</v>
      </c>
      <c r="Q28" s="22" t="str">
        <f ca="1">IFERROR(__xludf.DUMMYFUNCTION("SPARKLINE(INDEX(GOOGLEFINANCE(B28,""price"",workday(today(),-$Q$17),today()),,2),{""charttype"",""column"";""color"",""green""})
"),"")</f>
        <v/>
      </c>
      <c r="R28" s="23" t="str">
        <f t="shared" si="2"/>
        <v>Info</v>
      </c>
      <c r="S28" s="24"/>
      <c r="T28" s="25"/>
      <c r="U28" s="8"/>
      <c r="V28" s="8"/>
      <c r="W28" s="8"/>
      <c r="X28" s="8"/>
      <c r="Y28" s="8"/>
      <c r="Z28" s="8"/>
      <c r="AA28" s="8"/>
      <c r="AB28" s="8"/>
      <c r="AC28" s="8"/>
    </row>
    <row r="29" spans="1:29" ht="13" x14ac:dyDescent="0.25">
      <c r="A29" s="8"/>
      <c r="B29" s="16" t="s">
        <v>30</v>
      </c>
      <c r="C29" s="17" t="str">
        <f ca="1">IFERROR(__xludf.DUMMYFUNCTION("GOOGLEFINANCE(B29,""name"")
"),"Coinbase Global Inc")</f>
        <v>Coinbase Global Inc</v>
      </c>
      <c r="D29" s="26" t="str">
        <f ca="1">IFERROR(__xludf.DUMMYFUNCTION("IF(ISBLANK(B29),"""",IFERROR(SPARKLINE(INDEX(GOOGLEFINANCE(B29,""price"",TODAY()-$D$17,TODAY()),,2),{""charttype"",""column"";""color"",""17a7e0""}),""""))"),"")</f>
        <v/>
      </c>
      <c r="E29" s="27"/>
      <c r="F29" s="18">
        <f ca="1">IFERROR(__xludf.DUMMYFUNCTION("IFERROR(IF(B29="""","""",GOOGLEFINANCE(B29)),IFERROR(GOOGLEFINANCE(""CURRENCY:""&amp;""USD""&amp;#REF!)*IMPORTXML(""https://coinmarketcap.com/currencies/""&amp;B29,$W$3),IMPORTXML(""https://coinmarketcap.com/currencies/""&amp;B29,$W$3)))"),235)</f>
        <v>235</v>
      </c>
      <c r="G29" s="19">
        <f ca="1">IFERROR(__xludf.DUMMYFUNCTION("IFERROR(IF(ISBLANK(B29),"""",GOOGLEFINANCE(B29,""changepct"")/100),"""")"),-0.0408)</f>
        <v>-4.0800000000000003E-2</v>
      </c>
      <c r="H29" s="19">
        <f ca="1">IFERROR(__xludf.DUMMYFUNCTION("IF(ISBLANK(B29),"""",IFERROR((GOOGLEFINANCE(B29,""price"")/INDEX(GOOGLEFINANCE(B29,""price"",DATEVALUE(TODAY()-365) ),2,2)-1),""""))"),2.84175249305215)</f>
        <v>2.8417524930521498</v>
      </c>
      <c r="I29" s="20">
        <f ca="1">IFERROR(__xludf.DUMMYFUNCTION("IFERROR(IF(ISBLANK(B29),"""",GOOGLEFINANCE(B29,""low52"")),"""")"),46.43)</f>
        <v>46.43</v>
      </c>
      <c r="J29" s="19">
        <f t="shared" ca="1" si="0"/>
        <v>4.0613827266853324</v>
      </c>
      <c r="K29" s="20">
        <f ca="1">IFERROR(__xludf.DUMMYFUNCTION("IFERROR(IF(ISBLANK(B29),"""",GOOGLEFINANCE(B29,""high52"")),"""")"),283.48)</f>
        <v>283.48</v>
      </c>
      <c r="L29" s="19">
        <f t="shared" ca="1" si="1"/>
        <v>-0.17101735572174409</v>
      </c>
      <c r="M29" s="20">
        <f ca="1">IFERROR(__xludf.DUMMYFUNCTION("IF(ISBLANK(B29),"""",IFERROR(INDEX(GOOGLEFINANCE(B29,""price"",WORKDAY(TODAY(),-$M$17)),2,2),""""))"),231.51)</f>
        <v>231.51</v>
      </c>
      <c r="N29" s="19">
        <f ca="1">IFERROR(__xludf.DUMMYFUNCTION("IF(ISBLANK(B29),"""",IFERROR(F29/(INDEX(GOOGLEFINANCE(B29,""price"",WORKDAY(TODAY(),-$N$17)),2,2))-1,""""))"),0.0150749427670511)</f>
        <v>1.5074942767051101E-2</v>
      </c>
      <c r="O29" s="21" t="str">
        <f ca="1">IFERROR(__xludf.DUMMYFUNCTION("IF(ISBLANK(B29),"""",IFERROR(IFERROR(""$""&amp;Trunc(GOOGLEFINANCE(B29,""Marketcap"")/1000000000)&amp;"" B"",""$""&amp;Trunc(IMPORTXML(""https://coinmarketcap.com/currencies/""&amp;B29,$W$4)/1000000000)&amp;"" B""),""-""))"),"$57 B")</f>
        <v>$57 B</v>
      </c>
      <c r="P29" s="8">
        <f ca="1">IFERROR(__xludf.DUMMYFUNCTION("IF(ISBLANK(B29),"""",IFERROR(GOOGLEFINANCE(B29,""pe""),""-""))"),48.6)</f>
        <v>48.6</v>
      </c>
      <c r="Q29" s="22" t="str">
        <f ca="1">IFERROR(__xludf.DUMMYFUNCTION("SPARKLINE(INDEX(GOOGLEFINANCE(B29,""price"",workday(today(),-$Q$17),today()),,2),{""charttype"",""column"";""color"",""green""})
"),"")</f>
        <v/>
      </c>
      <c r="R29" s="23" t="str">
        <f t="shared" si="2"/>
        <v>Info</v>
      </c>
      <c r="S29" s="24"/>
      <c r="T29" s="25"/>
      <c r="U29" s="8"/>
      <c r="V29" s="8"/>
      <c r="W29" s="8"/>
      <c r="X29" s="8"/>
      <c r="Y29" s="8"/>
      <c r="Z29" s="8"/>
      <c r="AA29" s="8"/>
      <c r="AB29" s="8"/>
      <c r="AC29" s="8"/>
    </row>
    <row r="30" spans="1:29" ht="13" x14ac:dyDescent="0.25">
      <c r="A30" s="8"/>
      <c r="B30" s="16" t="s">
        <v>31</v>
      </c>
      <c r="C30" s="17" t="str">
        <f ca="1">IFERROR(__xludf.DUMMYFUNCTION("GOOGLEFINANCE(B30,""name"")
"),"Riot Platforms Inc")</f>
        <v>Riot Platforms Inc</v>
      </c>
      <c r="D30" s="26" t="str">
        <f ca="1">IFERROR(__xludf.DUMMYFUNCTION("IF(ISBLANK(B30),"""",IFERROR(SPARKLINE(INDEX(GOOGLEFINANCE(B30,""price"",TODAY()-$D$17,TODAY()),,2),{""charttype"",""column"";""color"",""17a7e0""}),""""))"),"")</f>
        <v/>
      </c>
      <c r="E30" s="27"/>
      <c r="F30" s="18">
        <f ca="1">IFERROR(__xludf.DUMMYFUNCTION("IFERROR(IF(B30="""","""",GOOGLEFINANCE(B30)),IFERROR(GOOGLEFINANCE(""CURRENCY:""&amp;""USD""&amp;#REF!)*IMPORTXML(""https://coinmarketcap.com/currencies/""&amp;B30,$W$3),IMPORTXML(""https://coinmarketcap.com/currencies/""&amp;B30,$W$3)))"),10.16)</f>
        <v>10.16</v>
      </c>
      <c r="G30" s="19">
        <f ca="1">IFERROR(__xludf.DUMMYFUNCTION("IFERROR(IF(ISBLANK(B30),"""",GOOGLEFINANCE(B30,""changepct"")/100),"""")"),-0.0174)</f>
        <v>-1.7399999999999999E-2</v>
      </c>
      <c r="H30" s="19">
        <f ca="1">IFERROR(__xludf.DUMMYFUNCTION("IF(ISBLANK(B30),"""",IFERROR((GOOGLEFINANCE(B30,""price"")/INDEX(GOOGLEFINANCE(B30,""price"",DATEVALUE(TODAY()-365) ),2,2)-1),""""))"),-0.155444721529509)</f>
        <v>-0.155444721529509</v>
      </c>
      <c r="I30" s="20">
        <f ca="1">IFERROR(__xludf.DUMMYFUNCTION("IFERROR(IF(ISBLANK(B30),"""",GOOGLEFINANCE(B30,""low52"")),"""")"),7.8)</f>
        <v>7.8</v>
      </c>
      <c r="J30" s="19">
        <f t="shared" ca="1" si="0"/>
        <v>0.3025641025641026</v>
      </c>
      <c r="K30" s="20">
        <f ca="1">IFERROR(__xludf.DUMMYFUNCTION("IFERROR(IF(ISBLANK(B30),"""",GOOGLEFINANCE(B30,""high52"")),"""")"),20.65)</f>
        <v>20.65</v>
      </c>
      <c r="L30" s="19">
        <f t="shared" ca="1" si="1"/>
        <v>-0.50799031476997569</v>
      </c>
      <c r="M30" s="20">
        <f ca="1">IFERROR(__xludf.DUMMYFUNCTION("IF(ISBLANK(B30),"""",IFERROR(INDEX(GOOGLEFINANCE(B30,""price"",WORKDAY(TODAY(),-$M$17)),2,2),""""))"),10.79)</f>
        <v>10.79</v>
      </c>
      <c r="N30" s="19">
        <f ca="1">IFERROR(__xludf.DUMMYFUNCTION("IF(ISBLANK(B30),"""",IFERROR(F30/(INDEX(GOOGLEFINANCE(B30,""price"",WORKDAY(TODAY(),-$N$17)),2,2))-1,""""))"),-0.0583873957367931)</f>
        <v>-5.83873957367931E-2</v>
      </c>
      <c r="O30" s="21" t="str">
        <f ca="1">IFERROR(__xludf.DUMMYFUNCTION("IF(ISBLANK(B30),"""",IFERROR(IFERROR(""$""&amp;Trunc(GOOGLEFINANCE(B30,""Marketcap"")/1000000000)&amp;"" B"",""$""&amp;Trunc(IMPORTXML(""https://coinmarketcap.com/currencies/""&amp;B30,$W$4)/1000000000)&amp;"" B""),""-""))"),"$2 B")</f>
        <v>$2 B</v>
      </c>
      <c r="P30" s="8">
        <f ca="1">IFERROR(__xludf.DUMMYFUNCTION("IF(ISBLANK(B30),"""",IFERROR(GOOGLEFINANCE(B30,""pe""),""-""))"),12.7)</f>
        <v>12.7</v>
      </c>
      <c r="Q30" s="22" t="str">
        <f ca="1">IFERROR(__xludf.DUMMYFUNCTION("SPARKLINE(INDEX(GOOGLEFINANCE(B30,""price"",workday(today(),-$Q$17),today()),,2),{""charttype"",""column"";""color"",""green""})
"),"")</f>
        <v/>
      </c>
      <c r="R30" s="23" t="str">
        <f t="shared" si="2"/>
        <v>Info</v>
      </c>
      <c r="S30" s="24"/>
      <c r="T30" s="25"/>
      <c r="U30" s="8"/>
      <c r="V30" s="8"/>
      <c r="W30" s="8"/>
      <c r="X30" s="8"/>
      <c r="Y30" s="8"/>
      <c r="Z30" s="8"/>
      <c r="AA30" s="8"/>
      <c r="AB30" s="8"/>
      <c r="AC30" s="8"/>
    </row>
    <row r="31" spans="1:29" ht="13" x14ac:dyDescent="0.25">
      <c r="A31" s="8"/>
      <c r="B31" s="16" t="s">
        <v>32</v>
      </c>
      <c r="C31" s="17" t="str">
        <f ca="1">IFERROR(__xludf.DUMMYFUNCTION("GOOGLEFINANCE(B31,""name"")
"),"Marathon Digital Holdings Inc")</f>
        <v>Marathon Digital Holdings Inc</v>
      </c>
      <c r="D31" s="26" t="str">
        <f ca="1">IFERROR(__xludf.DUMMYFUNCTION("IF(ISBLANK(B31),"""",IFERROR(SPARKLINE(INDEX(GOOGLEFINANCE(B31,""price"",TODAY()-$D$17,TODAY()),,2),{""charttype"",""column"";""color"",""17a7e0""}),""""))"),"")</f>
        <v/>
      </c>
      <c r="E31" s="27"/>
      <c r="F31" s="18">
        <f ca="1">IFERROR(__xludf.DUMMYFUNCTION("IFERROR(IF(B31="""","""",GOOGLEFINANCE(B31)),IFERROR(GOOGLEFINANCE(""CURRENCY:""&amp;""USD""&amp;#REF!)*IMPORTXML(""https://coinmarketcap.com/currencies/""&amp;B31,$W$3),IMPORTXML(""https://coinmarketcap.com/currencies/""&amp;B31,$W$3)))"),20.52)</f>
        <v>20.52</v>
      </c>
      <c r="G31" s="19">
        <f ca="1">IFERROR(__xludf.DUMMYFUNCTION("IFERROR(IF(ISBLANK(B31),"""",GOOGLEFINANCE(B31,""changepct"")/100),"""")"),-0.0101)</f>
        <v>-1.01E-2</v>
      </c>
      <c r="H31" s="19">
        <f ca="1">IFERROR(__xludf.DUMMYFUNCTION("IF(ISBLANK(B31),"""",IFERROR((GOOGLEFINANCE(B31,""price"")/INDEX(GOOGLEFINANCE(B31,""price"",DATEVALUE(TODAY()-365) ),2,2)-1),""""))"),1.17834394904458)</f>
        <v>1.17834394904458</v>
      </c>
      <c r="I31" s="20">
        <f ca="1">IFERROR(__xludf.DUMMYFUNCTION("IFERROR(IF(ISBLANK(B31),"""",GOOGLEFINANCE(B31,""low52"")),"""")"),7.16)</f>
        <v>7.16</v>
      </c>
      <c r="J31" s="19">
        <f t="shared" ca="1" si="0"/>
        <v>1.8659217877094971</v>
      </c>
      <c r="K31" s="20">
        <f ca="1">IFERROR(__xludf.DUMMYFUNCTION("IFERROR(IF(ISBLANK(B31),"""",GOOGLEFINANCE(B31,""high52"")),"""")"),34.09)</f>
        <v>34.090000000000003</v>
      </c>
      <c r="L31" s="19">
        <f t="shared" ca="1" si="1"/>
        <v>-0.39806394837195663</v>
      </c>
      <c r="M31" s="20">
        <f ca="1">IFERROR(__xludf.DUMMYFUNCTION("IF(ISBLANK(B31),"""",IFERROR(INDEX(GOOGLEFINANCE(B31,""price"",WORKDAY(TODAY(),-$M$17)),2,2),""""))"),21.24)</f>
        <v>21.24</v>
      </c>
      <c r="N31" s="19">
        <f ca="1">IFERROR(__xludf.DUMMYFUNCTION("IF(ISBLANK(B31),"""",IFERROR(F31/(INDEX(GOOGLEFINANCE(B31,""price"",WORKDAY(TODAY(),-$N$17)),2,2))-1,""""))"),-0.0338983050847456)</f>
        <v>-3.3898305084745603E-2</v>
      </c>
      <c r="O31" s="21" t="str">
        <f ca="1">IFERROR(__xludf.DUMMYFUNCTION("IF(ISBLANK(B31),"""",IFERROR(IFERROR(""$""&amp;Trunc(GOOGLEFINANCE(B31,""Marketcap"")/1000000000)&amp;"" B"",""$""&amp;Trunc(IMPORTXML(""https://coinmarketcap.com/currencies/""&amp;B31,$W$4)/1000000000)&amp;"" B""),""-""))"),"$5 B")</f>
        <v>$5 B</v>
      </c>
      <c r="P31" s="8">
        <f ca="1">IFERROR(__xludf.DUMMYFUNCTION("IF(ISBLANK(B31),"""",IFERROR(GOOGLEFINANCE(B31,""pe""),""-""))"),8.83)</f>
        <v>8.83</v>
      </c>
      <c r="Q31" s="22" t="str">
        <f ca="1">IFERROR(__xludf.DUMMYFUNCTION("SPARKLINE(INDEX(GOOGLEFINANCE(B31,""price"",workday(today(),-$Q$17),today()),,2),{""charttype"",""column"";""color"",""green""})
"),"")</f>
        <v/>
      </c>
      <c r="R31" s="23" t="str">
        <f t="shared" si="2"/>
        <v>Info</v>
      </c>
      <c r="S31" s="24"/>
      <c r="T31" s="25"/>
      <c r="U31" s="8"/>
      <c r="V31" s="8"/>
      <c r="W31" s="8"/>
      <c r="X31" s="8"/>
      <c r="Y31" s="8"/>
      <c r="Z31" s="8"/>
      <c r="AA31" s="8"/>
      <c r="AB31" s="8"/>
      <c r="AC31" s="8"/>
    </row>
    <row r="32" spans="1:29" ht="13" x14ac:dyDescent="0.25">
      <c r="A32" s="8"/>
      <c r="B32" s="16" t="s">
        <v>33</v>
      </c>
      <c r="C32" s="17" t="str">
        <f ca="1">IFERROR(__xludf.DUMMYFUNCTION("GOOGLEFINANCE(B32,""name"")
"),"SPDR S&amp;P 500 ETF Trust")</f>
        <v>SPDR S&amp;P 500 ETF Trust</v>
      </c>
      <c r="D32" s="26" t="str">
        <f ca="1">IFERROR(__xludf.DUMMYFUNCTION("IF(ISBLANK(B32),"""",IFERROR(SPARKLINE(INDEX(GOOGLEFINANCE(B32,""price"",TODAY()-$D$17,TODAY()),,2),{""charttype"",""column"";""color"",""17a7e0""}),""""))"),"")</f>
        <v/>
      </c>
      <c r="E32" s="27"/>
      <c r="F32" s="18">
        <f ca="1">IFERROR(__xludf.DUMMYFUNCTION("IFERROR(IF(B32="""","""",GOOGLEFINANCE(B32)),IFERROR(GOOGLEFINANCE(""CURRENCY:""&amp;""USD""&amp;#REF!)*IMPORTXML(""https://coinmarketcap.com/currencies/""&amp;B32,$W$3),IMPORTXML(""https://coinmarketcap.com/currencies/""&amp;B32,$W$3)))"),526.16)</f>
        <v>526.16</v>
      </c>
      <c r="G32" s="19">
        <f ca="1">IFERROR(__xludf.DUMMYFUNCTION("IFERROR(IF(ISBLANK(B32),"""",GOOGLEFINANCE(B32,""changepct"")/100),"""")"),-0.0069)</f>
        <v>-6.8999999999999999E-3</v>
      </c>
      <c r="H32" s="19">
        <f ca="1">IFERROR(__xludf.DUMMYFUNCTION("IF(ISBLANK(B32),"""",IFERROR((GOOGLEFINANCE(B32,""price"")/INDEX(GOOGLEFINANCE(B32,""price"",DATEVALUE(TODAY()-365) ),2,2)-1),""""))"),0.252225236803274)</f>
        <v>0.25222523680327402</v>
      </c>
      <c r="I32" s="20">
        <f ca="1">IFERROR(__xludf.DUMMYFUNCTION("IFERROR(IF(ISBLANK(B32),"""",GOOGLEFINANCE(B32,""low52"")),"""")"),409.21)</f>
        <v>409.21</v>
      </c>
      <c r="J32" s="19">
        <f t="shared" ca="1" si="0"/>
        <v>0.28579457980010264</v>
      </c>
      <c r="K32" s="20">
        <f ca="1">IFERROR(__xludf.DUMMYFUNCTION("IFERROR(IF(ISBLANK(B32),"""",GOOGLEFINANCE(B32,""high52"")),"""")"),533.07)</f>
        <v>533.07000000000005</v>
      </c>
      <c r="L32" s="19">
        <f t="shared" ca="1" si="1"/>
        <v>-1.2962650308590019E-2</v>
      </c>
      <c r="M32" s="20">
        <f ca="1">IFERROR(__xludf.DUMMYFUNCTION("IF(ISBLANK(B32),"""",IFERROR(INDEX(GOOGLEFINANCE(B32,""price"",WORKDAY(TODAY(),-$M$17)),2,2),""""))"),529.83)</f>
        <v>529.83000000000004</v>
      </c>
      <c r="N32" s="19">
        <f ca="1">IFERROR(__xludf.DUMMYFUNCTION("IF(ISBLANK(B32),"""",IFERROR(F32/(INDEX(GOOGLEFINANCE(B32,""price"",WORKDAY(TODAY(),-$N$17)),2,2))-1,""""))"),-0.00692675008965149)</f>
        <v>-6.92675008965149E-3</v>
      </c>
      <c r="O32" s="21" t="str">
        <f ca="1">IFERROR(__xludf.DUMMYFUNCTION("IF(ISBLANK(B32),"""",IFERROR(IFERROR(""$""&amp;Trunc(GOOGLEFINANCE(B32,""Marketcap"")/1000000000)&amp;"" B"",""$""&amp;Trunc(IMPORTXML(""https://coinmarketcap.com/currencies/""&amp;B32,$W$4)/1000000000)&amp;"" B""),""-""))"),"$474 B")</f>
        <v>$474 B</v>
      </c>
      <c r="P32" s="8" t="str">
        <f ca="1">IFERROR(__xludf.DUMMYFUNCTION("IF(ISBLANK(B32),"""",IFERROR(GOOGLEFINANCE(B32,""pe""),""-""))"),"-")</f>
        <v>-</v>
      </c>
      <c r="Q32" s="22" t="str">
        <f ca="1">IFERROR(__xludf.DUMMYFUNCTION("SPARKLINE(INDEX(GOOGLEFINANCE(B32,""price"",workday(today(),-$Q$17),today()),,2),{""charttype"",""column"";""color"",""green""})
"),"")</f>
        <v/>
      </c>
      <c r="R32" s="23" t="str">
        <f t="shared" si="2"/>
        <v>Info</v>
      </c>
      <c r="S32" s="24"/>
      <c r="T32" s="25"/>
      <c r="U32" s="8"/>
      <c r="V32" s="8"/>
      <c r="W32" s="8"/>
      <c r="X32" s="8"/>
      <c r="Y32" s="8"/>
      <c r="Z32" s="8"/>
      <c r="AA32" s="8"/>
      <c r="AB32" s="8"/>
      <c r="AC32" s="8"/>
    </row>
    <row r="33" spans="1:29" ht="13" x14ac:dyDescent="0.25">
      <c r="A33" s="8"/>
      <c r="B33" s="16" t="s">
        <v>34</v>
      </c>
      <c r="C33" s="17" t="str">
        <f ca="1">IFERROR(__xludf.DUMMYFUNCTION("GOOGLEFINANCE(B33,""name"")
"),"iShares Core S&amp;P 500 ETF")</f>
        <v>iShares Core S&amp;P 500 ETF</v>
      </c>
      <c r="D33" s="26" t="str">
        <f ca="1">IFERROR(__xludf.DUMMYFUNCTION("IF(ISBLANK(B33),"""",IFERROR(SPARKLINE(INDEX(GOOGLEFINANCE(B33,""price"",TODAY()-$D$17,TODAY()),,2),{""charttype"",""column"";""color"",""17a7e0""}),""""))"),"")</f>
        <v/>
      </c>
      <c r="E33" s="27"/>
      <c r="F33" s="18">
        <f ca="1">IFERROR(__xludf.DUMMYFUNCTION("IFERROR(IF(B33="""","""",GOOGLEFINANCE(B33)),IFERROR(GOOGLEFINANCE(""CURRENCY:""&amp;""USD""&amp;#REF!)*IMPORTXML(""https://coinmarketcap.com/currencies/""&amp;B33,$W$3),IMPORTXML(""https://coinmarketcap.com/currencies/""&amp;B33,$W$3)))"),528.8)</f>
        <v>528.79999999999995</v>
      </c>
      <c r="G33" s="19">
        <f ca="1">IFERROR(__xludf.DUMMYFUNCTION("IFERROR(IF(ISBLANK(B33),"""",GOOGLEFINANCE(B33,""changepct"")/100),"""")"),-0.00709999999999999)</f>
        <v>-7.09999999999999E-3</v>
      </c>
      <c r="H33" s="19">
        <f ca="1">IFERROR(__xludf.DUMMYFUNCTION("IF(ISBLANK(B33),"""",IFERROR((GOOGLEFINANCE(B33,""price"")/INDEX(GOOGLEFINANCE(B33,""price"",DATEVALUE(TODAY()-365) ),2,2)-1),""""))"),0.252991493495722)</f>
        <v>0.25299149349572198</v>
      </c>
      <c r="I33" s="20">
        <f ca="1">IFERROR(__xludf.DUMMYFUNCTION("IFERROR(IF(ISBLANK(B33),"""",GOOGLEFINANCE(B33,""low52"")),"""")"),411.02)</f>
        <v>411.02</v>
      </c>
      <c r="J33" s="19">
        <f t="shared" ca="1" si="0"/>
        <v>0.28655539876405034</v>
      </c>
      <c r="K33" s="20">
        <f ca="1">IFERROR(__xludf.DUMMYFUNCTION("IFERROR(IF(ISBLANK(B33),"""",GOOGLEFINANCE(B33,""high52"")),"""")"),535.74)</f>
        <v>535.74</v>
      </c>
      <c r="L33" s="19">
        <f t="shared" ca="1" si="1"/>
        <v>-1.2954044872512888E-2</v>
      </c>
      <c r="M33" s="20">
        <f ca="1">IFERROR(__xludf.DUMMYFUNCTION("IF(ISBLANK(B33),"""",IFERROR(INDEX(GOOGLEFINANCE(B33,""price"",WORKDAY(TODAY(),-$M$17)),2,2),""""))"),532.53)</f>
        <v>532.53</v>
      </c>
      <c r="N33" s="19">
        <f ca="1">IFERROR(__xludf.DUMMYFUNCTION("IF(ISBLANK(B33),"""",IFERROR(F33/(INDEX(GOOGLEFINANCE(B33,""price"",WORKDAY(TODAY(),-$N$17)),2,2))-1,""""))"),-0.00700430022721731)</f>
        <v>-7.0043002272173098E-3</v>
      </c>
      <c r="O33" s="21" t="str">
        <f ca="1">IFERROR(__xludf.DUMMYFUNCTION("IF(ISBLANK(B33),"""",IFERROR(IFERROR(""$""&amp;Trunc(GOOGLEFINANCE(B33,""Marketcap"")/1000000000)&amp;"" B"",""$""&amp;Trunc(IMPORTXML(""https://coinmarketcap.com/currencies/""&amp;B33,$W$4)/1000000000)&amp;"" B""),""-""))"),"$26 B")</f>
        <v>$26 B</v>
      </c>
      <c r="P33" s="8" t="str">
        <f ca="1">IFERROR(__xludf.DUMMYFUNCTION("IF(ISBLANK(B33),"""",IFERROR(GOOGLEFINANCE(B33,""pe""),""-""))"),"-")</f>
        <v>-</v>
      </c>
      <c r="Q33" s="22" t="str">
        <f ca="1">IFERROR(__xludf.DUMMYFUNCTION("SPARKLINE(INDEX(GOOGLEFINANCE(B33,""price"",workday(today(),-$Q$17),today()),,2),{""charttype"",""column"";""color"",""green""})
"),"")</f>
        <v/>
      </c>
      <c r="R33" s="23" t="str">
        <f t="shared" si="2"/>
        <v>Info</v>
      </c>
      <c r="S33" s="24"/>
      <c r="T33" s="25"/>
      <c r="U33" s="8"/>
      <c r="V33" s="8"/>
      <c r="W33" s="8"/>
      <c r="X33" s="8"/>
      <c r="Y33" s="8"/>
      <c r="Z33" s="8"/>
      <c r="AA33" s="8"/>
      <c r="AB33" s="8"/>
      <c r="AC33" s="8"/>
    </row>
    <row r="34" spans="1:29" ht="13" x14ac:dyDescent="0.25">
      <c r="A34" s="8"/>
      <c r="B34" s="16" t="s">
        <v>35</v>
      </c>
      <c r="C34" s="17" t="str">
        <f ca="1">IFERROR(__xludf.DUMMYFUNCTION("GOOGLEFINANCE(B34,""name"")
"),"Vanguard S&amp;P 500 ETF")</f>
        <v>Vanguard S&amp;P 500 ETF</v>
      </c>
      <c r="D34" s="26" t="str">
        <f ca="1">IFERROR(__xludf.DUMMYFUNCTION("IF(ISBLANK(B34),"""",IFERROR(SPARKLINE(INDEX(GOOGLEFINANCE(B34,""price"",TODAY()-$D$17,TODAY()),,2),{""charttype"",""column"";""color"",""17a7e0""}),""""))"),"")</f>
        <v/>
      </c>
      <c r="E34" s="27"/>
      <c r="F34" s="18">
        <f ca="1">IFERROR(__xludf.DUMMYFUNCTION("IFERROR(IF(B34="""","""",GOOGLEFINANCE(B34)),IFERROR(GOOGLEFINANCE(""CURRENCY:""&amp;""USD""&amp;#REF!)*IMPORTXML(""https://coinmarketcap.com/currencies/""&amp;B34,$W$3),IMPORTXML(""https://coinmarketcap.com/currencies/""&amp;B34,$W$3)))"),483.63)</f>
        <v>483.63</v>
      </c>
      <c r="G34" s="19">
        <f ca="1">IFERROR(__xludf.DUMMYFUNCTION("IFERROR(IF(ISBLANK(B34),"""",GOOGLEFINANCE(B34,""changepct"")/100),"""")"),-0.0072)</f>
        <v>-7.1999999999999998E-3</v>
      </c>
      <c r="H34" s="19">
        <f ca="1">IFERROR(__xludf.DUMMYFUNCTION("IF(ISBLANK(B34),"""",IFERROR((GOOGLEFINANCE(B34,""price"")/INDEX(GOOGLEFINANCE(B34,""price"",DATEVALUE(TODAY()-365) ),2,2)-1),""""))"),0.252959921241482)</f>
        <v>0.25295992124148198</v>
      </c>
      <c r="I34" s="20">
        <f ca="1">IFERROR(__xludf.DUMMYFUNCTION("IFERROR(IF(ISBLANK(B34),"""",GOOGLEFINANCE(B34,""low52"")),"""")"),375.95)</f>
        <v>375.95</v>
      </c>
      <c r="J34" s="19">
        <f t="shared" ca="1" si="0"/>
        <v>0.28642106663120098</v>
      </c>
      <c r="K34" s="20">
        <f ca="1">IFERROR(__xludf.DUMMYFUNCTION("IFERROR(IF(ISBLANK(B34),"""",GOOGLEFINANCE(B34,""high52"")),"""")"),489.99)</f>
        <v>489.99</v>
      </c>
      <c r="L34" s="19">
        <f t="shared" ca="1" si="1"/>
        <v>-1.2979856731770064E-2</v>
      </c>
      <c r="M34" s="20">
        <f ca="1">IFERROR(__xludf.DUMMYFUNCTION("IF(ISBLANK(B34),"""",IFERROR(INDEX(GOOGLEFINANCE(B34,""price"",WORKDAY(TODAY(),-$M$17)),2,2),""""))"),487.06)</f>
        <v>487.06</v>
      </c>
      <c r="N34" s="19">
        <f ca="1">IFERROR(__xludf.DUMMYFUNCTION("IF(ISBLANK(B34),"""",IFERROR(F34/(INDEX(GOOGLEFINANCE(B34,""price"",WORKDAY(TODAY(),-$N$17)),2,2))-1,""""))"),-0.00704225352112675)</f>
        <v>-7.0422535211267503E-3</v>
      </c>
      <c r="O34" s="21" t="str">
        <f ca="1">IFERROR(__xludf.DUMMYFUNCTION("IF(ISBLANK(B34),"""",IFERROR(IFERROR(""$""&amp;Trunc(GOOGLEFINANCE(B34,""Marketcap"")/1000000000)&amp;"" B"",""$""&amp;Trunc(IMPORTXML(""https://coinmarketcap.com/currencies/""&amp;B34,$W$4)/1000000000)&amp;"" B""),""-""))"),"-")</f>
        <v>-</v>
      </c>
      <c r="P34" s="8" t="str">
        <f ca="1">IFERROR(__xludf.DUMMYFUNCTION("IF(ISBLANK(B34),"""",IFERROR(GOOGLEFINANCE(B34,""pe""),""-""))"),"-")</f>
        <v>-</v>
      </c>
      <c r="Q34" s="22" t="str">
        <f ca="1">IFERROR(__xludf.DUMMYFUNCTION("SPARKLINE(INDEX(GOOGLEFINANCE(B34,""price"",workday(today(),-$Q$17),today()),,2),{""charttype"",""column"";""color"",""green""})
"),"")</f>
        <v/>
      </c>
      <c r="R34" s="23" t="str">
        <f t="shared" si="2"/>
        <v>Info</v>
      </c>
      <c r="S34" s="24"/>
      <c r="T34" s="25"/>
      <c r="U34" s="8"/>
      <c r="V34" s="8"/>
      <c r="W34" s="8"/>
      <c r="X34" s="8"/>
      <c r="Y34" s="8"/>
      <c r="Z34" s="8"/>
      <c r="AA34" s="8"/>
      <c r="AB34" s="8"/>
      <c r="AC34" s="8"/>
    </row>
    <row r="35" spans="1:29" ht="13" x14ac:dyDescent="0.25">
      <c r="A35" s="8"/>
      <c r="B35" s="16" t="s">
        <v>36</v>
      </c>
      <c r="C35" s="17" t="str">
        <f ca="1">IFERROR(__xludf.DUMMYFUNCTION("GOOGLEFINANCE(B35,""name"")
"),"Vanguard Total Stock Market Index Fund ETF")</f>
        <v>Vanguard Total Stock Market Index Fund ETF</v>
      </c>
      <c r="D35" s="26" t="str">
        <f ca="1">IFERROR(__xludf.DUMMYFUNCTION("IF(ISBLANK(B35),"""",IFERROR(SPARKLINE(INDEX(GOOGLEFINANCE(B35,""price"",TODAY()-$D$17,TODAY()),,2),{""charttype"",""column"";""color"",""17a7e0""}),""""))"),"")</f>
        <v/>
      </c>
      <c r="E35" s="27"/>
      <c r="F35" s="18">
        <f ca="1">IFERROR(__xludf.DUMMYFUNCTION("IFERROR(IF(B35="""","""",GOOGLEFINANCE(B35)),IFERROR(GOOGLEFINANCE(""CURRENCY:""&amp;""USD""&amp;#REF!)*IMPORTXML(""https://coinmarketcap.com/currencies/""&amp;B35,$W$3),IMPORTXML(""https://coinmarketcap.com/currencies/""&amp;B35,$W$3)))"),259.81)</f>
        <v>259.81</v>
      </c>
      <c r="G35" s="19">
        <f ca="1">IFERROR(__xludf.DUMMYFUNCTION("IFERROR(IF(ISBLANK(B35),"""",GOOGLEFINANCE(B35,""changepct"")/100),"""")"),-0.0079)</f>
        <v>-7.9000000000000008E-3</v>
      </c>
      <c r="H35" s="19">
        <f ca="1">IFERROR(__xludf.DUMMYFUNCTION("IF(ISBLANK(B35),"""",IFERROR((GOOGLEFINANCE(B35,""price"")/INDEX(GOOGLEFINANCE(B35,""price"",DATEVALUE(TODAY()-365) ),2,2)-1),""""))"),0.246509619536535)</f>
        <v>0.246509619536535</v>
      </c>
      <c r="I35" s="20">
        <f ca="1">IFERROR(__xludf.DUMMYFUNCTION("IFERROR(IF(ISBLANK(B35),"""",GOOGLEFINANCE(B35,""low52"")),"""")"),202.44)</f>
        <v>202.44</v>
      </c>
      <c r="J35" s="19">
        <f t="shared" ca="1" si="0"/>
        <v>0.28339261015609568</v>
      </c>
      <c r="K35" s="20">
        <f ca="1">IFERROR(__xludf.DUMMYFUNCTION("IFERROR(IF(ISBLANK(B35),"""",GOOGLEFINANCE(B35,""high52"")),"""")"),263.92)</f>
        <v>263.92</v>
      </c>
      <c r="L35" s="19">
        <f t="shared" ca="1" si="1"/>
        <v>-1.5572900879054309E-2</v>
      </c>
      <c r="M35" s="20">
        <f ca="1">IFERROR(__xludf.DUMMYFUNCTION("IF(ISBLANK(B35),"""",IFERROR(INDEX(GOOGLEFINANCE(B35,""price"",WORKDAY(TODAY(),-$M$17)),2,2),""""))"),262.22)</f>
        <v>262.22000000000003</v>
      </c>
      <c r="N35" s="19">
        <f ca="1">IFERROR(__xludf.DUMMYFUNCTION("IF(ISBLANK(B35),"""",IFERROR(F35/(INDEX(GOOGLEFINANCE(B35,""price"",WORKDAY(TODAY(),-$N$17)),2,2))-1,""""))"),-0.0091907558538633)</f>
        <v>-9.1907558538632996E-3</v>
      </c>
      <c r="O35" s="21" t="str">
        <f ca="1">IFERROR(__xludf.DUMMYFUNCTION("IF(ISBLANK(B35),"""",IFERROR(IFERROR(""$""&amp;Trunc(GOOGLEFINANCE(B35,""Marketcap"")/1000000000)&amp;"" B"",""$""&amp;Trunc(IMPORTXML(""https://coinmarketcap.com/currencies/""&amp;B35,$W$4)/1000000000)&amp;"" B""),""-""))"),"$212 B")</f>
        <v>$212 B</v>
      </c>
      <c r="P35" s="8" t="str">
        <f ca="1">IFERROR(__xludf.DUMMYFUNCTION("IF(ISBLANK(B35),"""",IFERROR(GOOGLEFINANCE(B35,""pe""),""-""))"),"-")</f>
        <v>-</v>
      </c>
      <c r="Q35" s="22" t="str">
        <f ca="1">IFERROR(__xludf.DUMMYFUNCTION("SPARKLINE(INDEX(GOOGLEFINANCE(B35,""price"",workday(today(),-$Q$17),today()),,2),{""charttype"",""column"";""color"",""green""})
"),"")</f>
        <v/>
      </c>
      <c r="R35" s="23" t="str">
        <f t="shared" si="2"/>
        <v>Info</v>
      </c>
      <c r="S35" s="24"/>
      <c r="T35" s="25"/>
      <c r="U35" s="8"/>
      <c r="V35" s="8"/>
      <c r="W35" s="8"/>
      <c r="X35" s="8"/>
      <c r="Y35" s="8"/>
      <c r="Z35" s="8"/>
      <c r="AA35" s="8"/>
      <c r="AB35" s="8"/>
      <c r="AC35" s="8"/>
    </row>
    <row r="36" spans="1:29" ht="13" x14ac:dyDescent="0.25">
      <c r="A36" s="8"/>
      <c r="B36" s="16" t="s">
        <v>37</v>
      </c>
      <c r="C36" s="17" t="str">
        <f ca="1">IFERROR(__xludf.DUMMYFUNCTION("GOOGLEFINANCE(B36,""name"")
"),"Invesco QQQ Trust Series 1")</f>
        <v>Invesco QQQ Trust Series 1</v>
      </c>
      <c r="D36" s="26" t="str">
        <f ca="1">IFERROR(__xludf.DUMMYFUNCTION("IF(ISBLANK(B36),"""",IFERROR(SPARKLINE(INDEX(GOOGLEFINANCE(B36,""price"",TODAY()-$D$17,TODAY()),,2),{""charttype"",""column"";""color"",""17a7e0""}),""""))"),"")</f>
        <v/>
      </c>
      <c r="E36" s="27"/>
      <c r="F36" s="18">
        <f ca="1">IFERROR(__xludf.DUMMYFUNCTION("IFERROR(IF(B36="""","""",GOOGLEFINANCE(B36)),IFERROR(GOOGLEFINANCE(""CURRENCY:""&amp;""USD""&amp;#REF!)*IMPORTXML(""https://coinmarketcap.com/currencies/""&amp;B36,$W$3),IMPORTXML(""https://coinmarketcap.com/currencies/""&amp;B36,$W$3)))"),457.14)</f>
        <v>457.14</v>
      </c>
      <c r="G36" s="19">
        <f ca="1">IFERROR(__xludf.DUMMYFUNCTION("IFERROR(IF(ISBLANK(B36),"""",GOOGLEFINANCE(B36,""changepct"")/100),"""")"),-0.0055)</f>
        <v>-5.4999999999999997E-3</v>
      </c>
      <c r="H36" s="19">
        <f ca="1">IFERROR(__xludf.DUMMYFUNCTION("IF(ISBLANK(B36),"""",IFERROR((GOOGLEFINANCE(B36,""price"")/INDEX(GOOGLEFINANCE(B36,""price"",DATEVALUE(TODAY()-365) ),2,2)-1),""""))"),0.306188925081433)</f>
        <v>0.30618892508143303</v>
      </c>
      <c r="I36" s="20">
        <f ca="1">IFERROR(__xludf.DUMMYFUNCTION("IFERROR(IF(ISBLANK(B36),"""",GOOGLEFINANCE(B36,""low52"")),"""")"),342.35)</f>
        <v>342.35</v>
      </c>
      <c r="J36" s="19">
        <f t="shared" ca="1" si="0"/>
        <v>0.33530013144442811</v>
      </c>
      <c r="K36" s="20">
        <f ca="1">IFERROR(__xludf.DUMMYFUNCTION("IFERROR(IF(ISBLANK(B36),"""",GOOGLEFINANCE(B36,""high52"")),"""")"),460.58)</f>
        <v>460.58</v>
      </c>
      <c r="L36" s="19">
        <f t="shared" ca="1" si="1"/>
        <v>-7.4688436319423285E-3</v>
      </c>
      <c r="M36" s="20">
        <f ca="1">IFERROR(__xludf.DUMMYFUNCTION("IF(ISBLANK(B36),"""",IFERROR(INDEX(GOOGLEFINANCE(B36,""price"",WORKDAY(TODAY(),-$M$17)),2,2),""""))"),455.71)</f>
        <v>455.71</v>
      </c>
      <c r="N36" s="19">
        <f ca="1">IFERROR(__xludf.DUMMYFUNCTION("IF(ISBLANK(B36),"""",IFERROR(F36/(INDEX(GOOGLEFINANCE(B36,""price"",WORKDAY(TODAY(),-$N$17)),2,2))-1,""""))"),0.00313796054508341)</f>
        <v>3.1379605450834098E-3</v>
      </c>
      <c r="O36" s="21" t="str">
        <f ca="1">IFERROR(__xludf.DUMMYFUNCTION("IF(ISBLANK(B36),"""",IFERROR(IFERROR(""$""&amp;Trunc(GOOGLEFINANCE(B36,""Marketcap"")/1000000000)&amp;"" B"",""$""&amp;Trunc(IMPORTXML(""https://coinmarketcap.com/currencies/""&amp;B36,$W$4)/1000000000)&amp;"" B""),""-""))"),"$178 B")</f>
        <v>$178 B</v>
      </c>
      <c r="P36" s="8" t="str">
        <f ca="1">IFERROR(__xludf.DUMMYFUNCTION("IF(ISBLANK(B36),"""",IFERROR(GOOGLEFINANCE(B36,""pe""),""-""))"),"-")</f>
        <v>-</v>
      </c>
      <c r="Q36" s="22" t="str">
        <f ca="1">IFERROR(__xludf.DUMMYFUNCTION("SPARKLINE(INDEX(GOOGLEFINANCE(B36,""price"",workday(today(),-$Q$17),today()),,2),{""charttype"",""column"";""color"",""green""})
"),"")</f>
        <v/>
      </c>
      <c r="R36" s="23" t="str">
        <f t="shared" si="2"/>
        <v>Info</v>
      </c>
      <c r="S36" s="24"/>
      <c r="T36" s="25"/>
      <c r="U36" s="8"/>
      <c r="V36" s="8"/>
      <c r="W36" s="8"/>
      <c r="X36" s="8"/>
      <c r="Y36" s="8"/>
      <c r="Z36" s="8"/>
      <c r="AA36" s="8"/>
      <c r="AB36" s="8"/>
      <c r="AC36" s="8"/>
    </row>
    <row r="37" spans="1:29" ht="13" x14ac:dyDescent="0.25">
      <c r="A37" s="8"/>
      <c r="B37" s="16" t="s">
        <v>38</v>
      </c>
      <c r="C37" s="17" t="str">
        <f ca="1">IFERROR(__xludf.DUMMYFUNCTION("GOOGLEFINANCE(B37,""name"")
"),"Vanguard Tax Managed Fund FTSE Developed Markets ETF")</f>
        <v>Vanguard Tax Managed Fund FTSE Developed Markets ETF</v>
      </c>
      <c r="D37" s="26" t="str">
        <f ca="1">IFERROR(__xludf.DUMMYFUNCTION("IF(ISBLANK(B37),"""",IFERROR(SPARKLINE(INDEX(GOOGLEFINANCE(B37,""price"",TODAY()-$D$17,TODAY()),,2),{""charttype"",""column"";""color"",""17a7e0""}),""""))"),"")</f>
        <v/>
      </c>
      <c r="E37" s="27"/>
      <c r="F37" s="18">
        <f ca="1">IFERROR(__xludf.DUMMYFUNCTION("IFERROR(IF(B37="""","""",GOOGLEFINANCE(B37)),IFERROR(GOOGLEFINANCE(""CURRENCY:""&amp;""USD""&amp;#REF!)*IMPORTXML(""https://coinmarketcap.com/currencies/""&amp;B37,$W$3),IMPORTXML(""https://coinmarketcap.com/currencies/""&amp;B37,$W$3)))"),49.87)</f>
        <v>49.87</v>
      </c>
      <c r="G37" s="19">
        <f ca="1">IFERROR(__xludf.DUMMYFUNCTION("IFERROR(IF(ISBLANK(B37),"""",GOOGLEFINANCE(B37,""changepct"")/100),"""")"),-0.0163999999999999)</f>
        <v>-1.6399999999999901E-2</v>
      </c>
      <c r="H37" s="19">
        <f ca="1">IFERROR(__xludf.DUMMYFUNCTION("IF(ISBLANK(B37),"""",IFERROR((GOOGLEFINANCE(B37,""price"")/INDEX(GOOGLEFINANCE(B37,""price"",DATEVALUE(TODAY()-365) ),2,2)-1),""""))"),0.10650099844686)</f>
        <v>0.10650099844686001</v>
      </c>
      <c r="I37" s="20">
        <f ca="1">IFERROR(__xludf.DUMMYFUNCTION("IFERROR(IF(ISBLANK(B37),"""",GOOGLEFINANCE(B37,""low52"")),"""")"),41.48)</f>
        <v>41.48</v>
      </c>
      <c r="J37" s="19">
        <f t="shared" ca="1" si="0"/>
        <v>0.20226615236258441</v>
      </c>
      <c r="K37" s="20">
        <f ca="1">IFERROR(__xludf.DUMMYFUNCTION("IFERROR(IF(ISBLANK(B37),"""",GOOGLEFINANCE(B37,""high52"")),"""")"),51.28)</f>
        <v>51.28</v>
      </c>
      <c r="L37" s="19">
        <f t="shared" ca="1" si="1"/>
        <v>-2.7496099843993833E-2</v>
      </c>
      <c r="M37" s="20">
        <f ca="1">IFERROR(__xludf.DUMMYFUNCTION("IF(ISBLANK(B37),"""",IFERROR(INDEX(GOOGLEFINANCE(B37,""price"",WORKDAY(TODAY(),-$M$17)),2,2),""""))"),50.56)</f>
        <v>50.56</v>
      </c>
      <c r="N37" s="19">
        <f ca="1">IFERROR(__xludf.DUMMYFUNCTION("IF(ISBLANK(B37),"""",IFERROR(F37/(INDEX(GOOGLEFINANCE(B37,""price"",WORKDAY(TODAY(),-$N$17)),2,2))-1,""""))"),-0.0136471518987342)</f>
        <v>-1.36471518987342E-2</v>
      </c>
      <c r="O37" s="21" t="str">
        <f ca="1">IFERROR(__xludf.DUMMYFUNCTION("IF(ISBLANK(B37),"""",IFERROR(IFERROR(""$""&amp;Trunc(GOOGLEFINANCE(B37,""Marketcap"")/1000000000)&amp;"" B"",""$""&amp;Trunc(IMPORTXML(""https://coinmarketcap.com/currencies/""&amp;B37,$W$4)/1000000000)&amp;"" B""),""-""))"),"-")</f>
        <v>-</v>
      </c>
      <c r="P37" s="8" t="str">
        <f ca="1">IFERROR(__xludf.DUMMYFUNCTION("IF(ISBLANK(B37),"""",IFERROR(GOOGLEFINANCE(B37,""pe""),""-""))"),"-")</f>
        <v>-</v>
      </c>
      <c r="Q37" s="22" t="str">
        <f ca="1">IFERROR(__xludf.DUMMYFUNCTION("SPARKLINE(INDEX(GOOGLEFINANCE(B37,""price"",workday(today(),-$Q$17),today()),,2),{""charttype"",""column"";""color"",""green""})
"),"")</f>
        <v/>
      </c>
      <c r="R37" s="23" t="str">
        <f t="shared" si="2"/>
        <v>Info</v>
      </c>
      <c r="S37" s="24"/>
      <c r="T37" s="25"/>
      <c r="U37" s="8"/>
      <c r="V37" s="8"/>
      <c r="W37" s="8"/>
      <c r="X37" s="8"/>
      <c r="Y37" s="8"/>
      <c r="Z37" s="8"/>
      <c r="AA37" s="8"/>
      <c r="AB37" s="8"/>
      <c r="AC37" s="8"/>
    </row>
    <row r="38" spans="1:29" ht="13" x14ac:dyDescent="0.25">
      <c r="A38" s="8"/>
      <c r="B38" s="16" t="s">
        <v>39</v>
      </c>
      <c r="C38" s="17" t="str">
        <f ca="1">IFERROR(__xludf.DUMMYFUNCTION("GOOGLEFINANCE(B38,""name"")
"),"Vanguard Growth Index Fund ETF")</f>
        <v>Vanguard Growth Index Fund ETF</v>
      </c>
      <c r="D38" s="26" t="str">
        <f ca="1">IFERROR(__xludf.DUMMYFUNCTION("IF(ISBLANK(B38),"""",IFERROR(SPARKLINE(INDEX(GOOGLEFINANCE(B38,""price"",TODAY()-$D$17,TODAY()),,2),{""charttype"",""column"";""color"",""17a7e0""}),""""))"),"")</f>
        <v/>
      </c>
      <c r="E38" s="27"/>
      <c r="F38" s="18">
        <f ca="1">IFERROR(__xludf.DUMMYFUNCTION("IFERROR(IF(B38="""","""",GOOGLEFINANCE(B38)),IFERROR(GOOGLEFINANCE(""CURRENCY:""&amp;""USD""&amp;#REF!)*IMPORTXML(""https://coinmarketcap.com/currencies/""&amp;B38,$W$3),IMPORTXML(""https://coinmarketcap.com/currencies/""&amp;B38,$W$3)))"),356.46)</f>
        <v>356.46</v>
      </c>
      <c r="G38" s="19">
        <f ca="1">IFERROR(__xludf.DUMMYFUNCTION("IFERROR(IF(ISBLANK(B38),"""",GOOGLEFINANCE(B38,""changepct"")/100),"""")"),-0.0026)</f>
        <v>-2.5999999999999999E-3</v>
      </c>
      <c r="H38" s="19">
        <f ca="1">IFERROR(__xludf.DUMMYFUNCTION("IF(ISBLANK(B38),"""",IFERROR((GOOGLEFINANCE(B38,""price"")/INDEX(GOOGLEFINANCE(B38,""price"",DATEVALUE(TODAY()-365) ),2,2)-1),""""))"),0.336908824963432)</f>
        <v>0.336908824963432</v>
      </c>
      <c r="I38" s="20">
        <f ca="1">IFERROR(__xludf.DUMMYFUNCTION("IFERROR(IF(ISBLANK(B38),"""",GOOGLEFINANCE(B38,""low52"")),"""")"),260.65)</f>
        <v>260.64999999999998</v>
      </c>
      <c r="J38" s="19">
        <f t="shared" ca="1" si="0"/>
        <v>0.36758104738154618</v>
      </c>
      <c r="K38" s="20">
        <f ca="1">IFERROR(__xludf.DUMMYFUNCTION("IFERROR(IF(ISBLANK(B38),"""",GOOGLEFINANCE(B38,""high52"")),"""")"),357.59)</f>
        <v>357.59</v>
      </c>
      <c r="L38" s="19">
        <f t="shared" ca="1" si="1"/>
        <v>-3.1600436253810104E-3</v>
      </c>
      <c r="M38" s="20">
        <f ca="1">IFERROR(__xludf.DUMMYFUNCTION("IF(ISBLANK(B38),"""",IFERROR(INDEX(GOOGLEFINANCE(B38,""price"",WORKDAY(TODAY(),-$M$17)),2,2),""""))"),353.04)</f>
        <v>353.04</v>
      </c>
      <c r="N38" s="19">
        <f ca="1">IFERROR(__xludf.DUMMYFUNCTION("IF(ISBLANK(B38),"""",IFERROR(F38/(INDEX(GOOGLEFINANCE(B38,""price"",WORKDAY(TODAY(),-$N$17)),2,2))-1,""""))"),0.00968728755948333)</f>
        <v>9.6872875594833305E-3</v>
      </c>
      <c r="O38" s="21" t="str">
        <f ca="1">IFERROR(__xludf.DUMMYFUNCTION("IF(ISBLANK(B38),"""",IFERROR(IFERROR(""$""&amp;Trunc(GOOGLEFINANCE(B38,""Marketcap"")/1000000000)&amp;"" B"",""$""&amp;Trunc(IMPORTXML(""https://coinmarketcap.com/currencies/""&amp;B38,$W$4)/1000000000)&amp;"" B""),""-""))"),"$90 B")</f>
        <v>$90 B</v>
      </c>
      <c r="P38" s="8" t="str">
        <f ca="1">IFERROR(__xludf.DUMMYFUNCTION("IF(ISBLANK(B38),"""",IFERROR(GOOGLEFINANCE(B38,""pe""),""-""))"),"-")</f>
        <v>-</v>
      </c>
      <c r="Q38" s="22" t="str">
        <f ca="1">IFERROR(__xludf.DUMMYFUNCTION("SPARKLINE(INDEX(GOOGLEFINANCE(B38,""price"",workday(today(),-$Q$17),today()),,2),{""charttype"",""column"";""color"",""green""})
"),"")</f>
        <v/>
      </c>
      <c r="R38" s="23" t="str">
        <f t="shared" si="2"/>
        <v>Info</v>
      </c>
      <c r="S38" s="24"/>
      <c r="T38" s="25"/>
      <c r="U38" s="8"/>
      <c r="V38" s="8"/>
      <c r="W38" s="8"/>
      <c r="X38" s="8"/>
      <c r="Y38" s="8"/>
      <c r="Z38" s="8"/>
      <c r="AA38" s="8"/>
      <c r="AB38" s="8"/>
      <c r="AC38" s="8"/>
    </row>
    <row r="39" spans="1:29" ht="13" x14ac:dyDescent="0.25">
      <c r="A39" s="8"/>
      <c r="B39" s="16" t="s">
        <v>40</v>
      </c>
      <c r="C39" s="17" t="str">
        <f ca="1">IFERROR(__xludf.DUMMYFUNCTION("GOOGLEFINANCE(B39,""name"")
"),"Vanguard Total Bond Market Index Fund ETF")</f>
        <v>Vanguard Total Bond Market Index Fund ETF</v>
      </c>
      <c r="D39" s="26" t="str">
        <f ca="1">IFERROR(__xludf.DUMMYFUNCTION("IF(ISBLANK(B39),"""",IFERROR(SPARKLINE(INDEX(GOOGLEFINANCE(B39,""price"",TODAY()-$D$17,TODAY()),,2),{""charttype"",""column"";""color"",""17a7e0""}),""""))"),"")</f>
        <v/>
      </c>
      <c r="E39" s="27"/>
      <c r="F39" s="18">
        <f ca="1">IFERROR(__xludf.DUMMYFUNCTION("IFERROR(IF(B39="""","""",GOOGLEFINANCE(B39)),IFERROR(GOOGLEFINANCE(""CURRENCY:""&amp;""USD""&amp;#REF!)*IMPORTXML(""https://coinmarketcap.com/currencies/""&amp;B39,$W$3),IMPORTXML(""https://coinmarketcap.com/currencies/""&amp;B39,$W$3)))"),71.08)</f>
        <v>71.08</v>
      </c>
      <c r="G39" s="19">
        <f ca="1">IFERROR(__xludf.DUMMYFUNCTION("IFERROR(IF(ISBLANK(B39),"""",GOOGLEFINANCE(B39,""changepct"")/100),"""")"),-0.0036)</f>
        <v>-3.5999999999999999E-3</v>
      </c>
      <c r="H39" s="19">
        <f ca="1">IFERROR(__xludf.DUMMYFUNCTION("IF(ISBLANK(B39),"""",IFERROR((GOOGLEFINANCE(B39,""price"")/INDEX(GOOGLEFINANCE(B39,""price"",DATEVALUE(TODAY()-365) ),2,2)-1),""""))"),-0.0236263736263736)</f>
        <v>-2.3626373626373601E-2</v>
      </c>
      <c r="I39" s="20">
        <f ca="1">IFERROR(__xludf.DUMMYFUNCTION("IFERROR(IF(ISBLANK(B39),"""",GOOGLEFINANCE(B39,""low52"")),"""")"),67.99)</f>
        <v>67.989999999999995</v>
      </c>
      <c r="J39" s="19">
        <f t="shared" ca="1" si="0"/>
        <v>4.544785997940879E-2</v>
      </c>
      <c r="K39" s="20">
        <f ca="1">IFERROR(__xludf.DUMMYFUNCTION("IFERROR(IF(ISBLANK(B39),"""",GOOGLEFINANCE(B39,""high52"")),"""")"),73.92)</f>
        <v>73.92</v>
      </c>
      <c r="L39" s="19">
        <f t="shared" ca="1" si="1"/>
        <v>-3.8419913419913465E-2</v>
      </c>
      <c r="M39" s="20">
        <f ca="1">IFERROR(__xludf.DUMMYFUNCTION("IF(ISBLANK(B39),"""",IFERROR(INDEX(GOOGLEFINANCE(B39,""price"",WORKDAY(TODAY(),-$M$17)),2,2),""""))"),71.8)</f>
        <v>71.8</v>
      </c>
      <c r="N39" s="19">
        <f ca="1">IFERROR(__xludf.DUMMYFUNCTION("IF(ISBLANK(B39),"""",IFERROR(F39/(INDEX(GOOGLEFINANCE(B39,""price"",WORKDAY(TODAY(),-$N$17)),2,2))-1,""""))"),-0.0100278551532033)</f>
        <v>-1.0027855153203299E-2</v>
      </c>
      <c r="O39" s="21" t="str">
        <f ca="1">IFERROR(__xludf.DUMMYFUNCTION("IF(ISBLANK(B39),"""",IFERROR(IFERROR(""$""&amp;Trunc(GOOGLEFINANCE(B39,""Marketcap"")/1000000000)&amp;"" B"",""$""&amp;Trunc(IMPORTXML(""https://coinmarketcap.com/currencies/""&amp;B39,$W$4)/1000000000)&amp;"" B""),""-""))"),"-")</f>
        <v>-</v>
      </c>
      <c r="P39" s="8" t="str">
        <f ca="1">IFERROR(__xludf.DUMMYFUNCTION("IF(ISBLANK(B39),"""",IFERROR(GOOGLEFINANCE(B39,""pe""),""-""))"),"-")</f>
        <v>-</v>
      </c>
      <c r="Q39" s="22" t="str">
        <f ca="1">IFERROR(__xludf.DUMMYFUNCTION("SPARKLINE(INDEX(GOOGLEFINANCE(B39,""price"",workday(today(),-$Q$17),today()),,2),{""charttype"",""column"";""color"",""green""})
"),"")</f>
        <v/>
      </c>
      <c r="R39" s="23" t="str">
        <f t="shared" si="2"/>
        <v>Info</v>
      </c>
      <c r="S39" s="24"/>
      <c r="T39" s="25"/>
      <c r="U39" s="8"/>
      <c r="V39" s="8"/>
      <c r="W39" s="8"/>
      <c r="X39" s="8"/>
      <c r="Y39" s="8"/>
      <c r="Z39" s="8"/>
      <c r="AA39" s="8"/>
      <c r="AB39" s="8"/>
      <c r="AC39" s="8"/>
    </row>
    <row r="40" spans="1:29" ht="13" x14ac:dyDescent="0.25">
      <c r="A40" s="8"/>
      <c r="B40" s="16" t="s">
        <v>41</v>
      </c>
      <c r="C40" s="17" t="str">
        <f ca="1">IFERROR(__xludf.DUMMYFUNCTION("GOOGLEFINANCE(B40,""name"")
"),"Vanguard Value Index Fund ETF")</f>
        <v>Vanguard Value Index Fund ETF</v>
      </c>
      <c r="D40" s="26" t="str">
        <f ca="1">IFERROR(__xludf.DUMMYFUNCTION("IF(ISBLANK(B40),"""",IFERROR(SPARKLINE(INDEX(GOOGLEFINANCE(B40,""price"",TODAY()-$D$17,TODAY()),,2),{""charttype"",""column"";""color"",""17a7e0""}),""""))"),"")</f>
        <v/>
      </c>
      <c r="E40" s="27"/>
      <c r="F40" s="18">
        <f ca="1">IFERROR(__xludf.DUMMYFUNCTION("IFERROR(IF(B40="""","""",GOOGLEFINANCE(B40)),IFERROR(GOOGLEFINANCE(""CURRENCY:""&amp;""USD""&amp;#REF!)*IMPORTXML(""https://coinmarketcap.com/currencies/""&amp;B40,$W$3),IMPORTXML(""https://coinmarketcap.com/currencies/""&amp;B40,$W$3)))"),158.04)</f>
        <v>158.04</v>
      </c>
      <c r="G40" s="19">
        <f ca="1">IFERROR(__xludf.DUMMYFUNCTION("IFERROR(IF(ISBLANK(B40),"""",GOOGLEFINANCE(B40,""changepct"")/100),"""")"),-0.0105)</f>
        <v>-1.0500000000000001E-2</v>
      </c>
      <c r="H40" s="19">
        <f ca="1">IFERROR(__xludf.DUMMYFUNCTION("IF(ISBLANK(B40),"""",IFERROR((GOOGLEFINANCE(B40,""price"")/INDEX(GOOGLEFINANCE(B40,""price"",DATEVALUE(TODAY()-365) ),2,2)-1),""""))"),0.167639453269301)</f>
        <v>0.16763945326930099</v>
      </c>
      <c r="I40" s="20">
        <f ca="1">IFERROR(__xludf.DUMMYFUNCTION("IFERROR(IF(ISBLANK(B40),"""",GOOGLEFINANCE(B40,""low52"")),"""")"),131.42)</f>
        <v>131.41999999999999</v>
      </c>
      <c r="J40" s="19">
        <f t="shared" ca="1" si="0"/>
        <v>0.2025566884796835</v>
      </c>
      <c r="K40" s="20">
        <f ca="1">IFERROR(__xludf.DUMMYFUNCTION("IFERROR(IF(ISBLANK(B40),"""",GOOGLEFINANCE(B40,""high52"")),"""")"),163.81)</f>
        <v>163.81</v>
      </c>
      <c r="L40" s="19">
        <f t="shared" ca="1" si="1"/>
        <v>-3.522373481472444E-2</v>
      </c>
      <c r="M40" s="20">
        <f ca="1">IFERROR(__xludf.DUMMYFUNCTION("IF(ISBLANK(B40),"""",IFERROR(INDEX(GOOGLEFINANCE(B40,""price"",WORKDAY(TODAY(),-$M$17)),2,2),""""))"),162.43)</f>
        <v>162.43</v>
      </c>
      <c r="N40" s="19">
        <f ca="1">IFERROR(__xludf.DUMMYFUNCTION("IF(ISBLANK(B40),"""",IFERROR(F40/(INDEX(GOOGLEFINANCE(B40,""price"",WORKDAY(TODAY(),-$N$17)),2,2))-1,""""))"),-0.027027027027027)</f>
        <v>-2.7027027027027001E-2</v>
      </c>
      <c r="O40" s="21" t="str">
        <f ca="1">IFERROR(__xludf.DUMMYFUNCTION("IF(ISBLANK(B40),"""",IFERROR(IFERROR(""$""&amp;Trunc(GOOGLEFINANCE(B40,""Marketcap"")/1000000000)&amp;"" B"",""$""&amp;Trunc(IMPORTXML(""https://coinmarketcap.com/currencies/""&amp;B40,$W$4)/1000000000)&amp;"" B""),""-""))"),"$73 B")</f>
        <v>$73 B</v>
      </c>
      <c r="P40" s="8" t="str">
        <f ca="1">IFERROR(__xludf.DUMMYFUNCTION("IF(ISBLANK(B40),"""",IFERROR(GOOGLEFINANCE(B40,""pe""),""-""))"),"-")</f>
        <v>-</v>
      </c>
      <c r="Q40" s="22" t="str">
        <f ca="1">IFERROR(__xludf.DUMMYFUNCTION("SPARKLINE(INDEX(GOOGLEFINANCE(B40,""price"",workday(today(),-$Q$17),today()),,2),{""charttype"",""column"";""color"",""green""})
"),"")</f>
        <v/>
      </c>
      <c r="R40" s="23" t="str">
        <f t="shared" si="2"/>
        <v>Info</v>
      </c>
      <c r="S40" s="24"/>
      <c r="T40" s="25"/>
      <c r="U40" s="8"/>
      <c r="V40" s="8"/>
      <c r="W40" s="8"/>
      <c r="X40" s="8"/>
      <c r="Y40" s="8"/>
      <c r="Z40" s="8"/>
      <c r="AA40" s="8"/>
      <c r="AB40" s="8"/>
      <c r="AC40" s="8"/>
    </row>
    <row r="41" spans="1:29" ht="13" x14ac:dyDescent="0.25">
      <c r="A41" s="8"/>
      <c r="B41" s="16" t="s">
        <v>42</v>
      </c>
      <c r="C41" s="17" t="str">
        <f ca="1">IFERROR(__xludf.DUMMYFUNCTION("GOOGLEFINANCE(B41,""name"")
"),"iShares Core MSCI EAFE ETF")</f>
        <v>iShares Core MSCI EAFE ETF</v>
      </c>
      <c r="D41" s="26" t="str">
        <f ca="1">IFERROR(__xludf.DUMMYFUNCTION("IF(ISBLANK(B41),"""",IFERROR(SPARKLINE(INDEX(GOOGLEFINANCE(B41,""price"",TODAY()-$D$17,TODAY()),,2),{""charttype"",""column"";""color"",""17a7e0""}),""""))"),"")</f>
        <v/>
      </c>
      <c r="E41" s="27"/>
      <c r="F41" s="18">
        <f ca="1">IFERROR(__xludf.DUMMYFUNCTION("IFERROR(IF(B41="""","""",GOOGLEFINANCE(B41)),IFERROR(GOOGLEFINANCE(""CURRENCY:""&amp;""USD""&amp;#REF!)*IMPORTXML(""https://coinmarketcap.com/currencies/""&amp;B41,$W$3),IMPORTXML(""https://coinmarketcap.com/currencies/""&amp;B41,$W$3)))"),74.11)</f>
        <v>74.11</v>
      </c>
      <c r="G41" s="19">
        <f ca="1">IFERROR(__xludf.DUMMYFUNCTION("IFERROR(IF(ISBLANK(B41),"""",GOOGLEFINANCE(B41,""changepct"")/100),"""")"),-0.0159)</f>
        <v>-1.5900000000000001E-2</v>
      </c>
      <c r="H41" s="19">
        <f ca="1">IFERROR(__xludf.DUMMYFUNCTION("IF(ISBLANK(B41),"""",IFERROR((GOOGLEFINANCE(B41,""price"")/INDEX(GOOGLEFINANCE(B41,""price"",DATEVALUE(TODAY()-365) ),2,2)-1),""""))"),0.111261058629479)</f>
        <v>0.11126105862947901</v>
      </c>
      <c r="I41" s="20">
        <f ca="1">IFERROR(__xludf.DUMMYFUNCTION("IFERROR(IF(ISBLANK(B41),"""",GOOGLEFINANCE(B41,""low52"")),"""")"),61.15)</f>
        <v>61.15</v>
      </c>
      <c r="J41" s="19">
        <f t="shared" ca="1" si="0"/>
        <v>0.21193785772690107</v>
      </c>
      <c r="K41" s="20">
        <f ca="1">IFERROR(__xludf.DUMMYFUNCTION("IFERROR(IF(ISBLANK(B41),"""",GOOGLEFINANCE(B41,""high52"")),"""")"),76.11)</f>
        <v>76.11</v>
      </c>
      <c r="L41" s="19">
        <f t="shared" ca="1" si="1"/>
        <v>-2.6277755879647879E-2</v>
      </c>
      <c r="M41" s="20">
        <f ca="1">IFERROR(__xludf.DUMMYFUNCTION("IF(ISBLANK(B41),"""",IFERROR(INDEX(GOOGLEFINANCE(B41,""price"",WORKDAY(TODAY(),-$M$17)),2,2),""""))"),75.05)</f>
        <v>75.05</v>
      </c>
      <c r="N41" s="19">
        <f ca="1">IFERROR(__xludf.DUMMYFUNCTION("IF(ISBLANK(B41),"""",IFERROR(F41/(INDEX(GOOGLEFINANCE(B41,""price"",WORKDAY(TODAY(),-$N$17)),2,2))-1,""""))"),-0.0125249833444369)</f>
        <v>-1.2524983344436901E-2</v>
      </c>
      <c r="O41" s="21" t="str">
        <f ca="1">IFERROR(__xludf.DUMMYFUNCTION("IF(ISBLANK(B41),"""",IFERROR(IFERROR(""$""&amp;Trunc(GOOGLEFINANCE(B41,""Marketcap"")/1000000000)&amp;"" B"",""$""&amp;Trunc(IMPORTXML(""https://coinmarketcap.com/currencies/""&amp;B41,$W$4)/1000000000)&amp;"" B""),""-""))"),"-")</f>
        <v>-</v>
      </c>
      <c r="P41" s="8" t="str">
        <f ca="1">IFERROR(__xludf.DUMMYFUNCTION("IF(ISBLANK(B41),"""",IFERROR(GOOGLEFINANCE(B41,""pe""),""-""))"),"-")</f>
        <v>-</v>
      </c>
      <c r="Q41" s="22" t="str">
        <f ca="1">IFERROR(__xludf.DUMMYFUNCTION("SPARKLINE(INDEX(GOOGLEFINANCE(B41,""price"",workday(today(),-$Q$17),today()),,2),{""charttype"",""column"";""color"",""green""})
"),"")</f>
        <v/>
      </c>
      <c r="R41" s="23" t="str">
        <f t="shared" si="2"/>
        <v>Info</v>
      </c>
      <c r="S41" s="24"/>
      <c r="T41" s="25"/>
      <c r="U41" s="8"/>
      <c r="V41" s="8"/>
      <c r="W41" s="8"/>
      <c r="X41" s="8"/>
      <c r="Y41" s="8"/>
      <c r="Z41" s="8"/>
      <c r="AA41" s="8"/>
      <c r="AB41" s="8"/>
      <c r="AC41" s="8"/>
    </row>
    <row r="42" spans="1:29" ht="13" x14ac:dyDescent="0.25">
      <c r="A42" s="8"/>
      <c r="B42" s="16" t="s">
        <v>43</v>
      </c>
      <c r="C42" s="17" t="str">
        <f ca="1">IFERROR(__xludf.DUMMYFUNCTION("GOOGLEFINANCE(B42,""name"")
"),"#N/A")</f>
        <v>#N/A</v>
      </c>
      <c r="D42" s="26" t="str">
        <f ca="1">IFERROR(__xludf.DUMMYFUNCTION("IF(ISBLANK(B42),"""",IFERROR(SPARKLINE(INDEX(GOOGLEFINANCE(B42,""price"",TODAY()-$D$17,TODAY()),,2),{""charttype"",""column"";""color"",""17a7e0""}),""""))"),"")</f>
        <v/>
      </c>
      <c r="E42" s="27"/>
      <c r="F42" s="18">
        <f ca="1">IFERROR(__xludf.DUMMYFUNCTION("IFERROR(IF(B42="""","""",GOOGLEFINANCE(B42)),IFERROR(GOOGLEFINANCE(""CURRENCY:""&amp;""USD""&amp;#REF!)*IMPORTXML(""https://coinmarketcap.com/currencies/""&amp;B42,$W$3),IMPORTXML(""https://coinmarketcap.com/currencies/""&amp;B42,$W$3)))"),62412.04683)</f>
        <v>62412.046829999999</v>
      </c>
      <c r="G42" s="19" t="str">
        <f ca="1">IFERROR(__xludf.DUMMYFUNCTION("IFERROR(IF(ISBLANK(B42),"""",GOOGLEFINANCE(B42,""changepct"")/100),"""")"),"")</f>
        <v/>
      </c>
      <c r="H42" s="19" t="str">
        <f ca="1">IFERROR(__xludf.DUMMYFUNCTION("IF(ISBLANK(B42),"""",IFERROR((GOOGLEFINANCE(B42,""price"")/INDEX(GOOGLEFINANCE(B42,""price"",DATEVALUE(TODAY()-365) ),2,2)-1),""""))"),"")</f>
        <v/>
      </c>
      <c r="I42" s="20" t="str">
        <f ca="1">IFERROR(__xludf.DUMMYFUNCTION("IFERROR(IF(ISBLANK(B42),"""",GOOGLEFINANCE(B42,""low52"")),"""")"),"")</f>
        <v/>
      </c>
      <c r="J42" s="19" t="str">
        <f t="shared" ca="1" si="0"/>
        <v/>
      </c>
      <c r="K42" s="20" t="str">
        <f ca="1">IFERROR(__xludf.DUMMYFUNCTION("IFERROR(IF(ISBLANK(B42),"""",GOOGLEFINANCE(B42,""high52"")),"""")"),"")</f>
        <v/>
      </c>
      <c r="L42" s="19" t="str">
        <f t="shared" ca="1" si="1"/>
        <v/>
      </c>
      <c r="M42" s="20">
        <f ca="1">IFERROR(__xludf.DUMMYFUNCTION("IF(ISBLANK(B42),"""",IFERROR(INDEX(GOOGLEFINANCE(B42,""price"",WORKDAY(TODAY(),-$M$17)),2,2),""""))"),63843.38007)</f>
        <v>63843.380069999999</v>
      </c>
      <c r="N42" s="19">
        <f ca="1">IFERROR(__xludf.DUMMYFUNCTION("IF(ISBLANK(B42),"""",IFERROR(F42/(INDEX(GOOGLEFINANCE(B42,""price"",WORKDAY(TODAY(),-$N$17)),2,2))-1,""""))"),-0.0224194464395623)</f>
        <v>-2.2419446439562299E-2</v>
      </c>
      <c r="O42" s="21" t="str">
        <f ca="1">IFERROR(__xludf.DUMMYFUNCTION("IF(ISBLANK(B42),"""",IFERROR(IFERROR(""$""&amp;Trunc(GOOGLEFINANCE(B42,""Marketcap"")/1000000000)&amp;"" B"",""$""&amp;Trunc(IMPORTXML(""https://coinmarketcap.com/currencies/""&amp;B42,$W$4)/1000000000)&amp;"" B""),""-""))"),"-")</f>
        <v>-</v>
      </c>
      <c r="P42" s="8" t="str">
        <f ca="1">IFERROR(__xludf.DUMMYFUNCTION("IF(ISBLANK(B42),"""",IFERROR(GOOGLEFINANCE(B42,""pe""),""-""))"),"-")</f>
        <v>-</v>
      </c>
      <c r="Q42" s="22" t="str">
        <f ca="1">IFERROR(__xludf.DUMMYFUNCTION("SPARKLINE(INDEX(GOOGLEFINANCE(B42,""price"",workday(today(),-$Q$17),today()),,2),{""charttype"",""column"";""color"",""green""})
"),"")</f>
        <v/>
      </c>
      <c r="R42" s="23" t="str">
        <f t="shared" si="2"/>
        <v>Info</v>
      </c>
      <c r="S42" s="24"/>
      <c r="T42" s="25"/>
      <c r="U42" s="8"/>
      <c r="V42" s="8"/>
      <c r="W42" s="8"/>
      <c r="X42" s="8"/>
      <c r="Y42" s="8"/>
      <c r="Z42" s="8"/>
      <c r="AA42" s="8"/>
      <c r="AB42" s="8"/>
      <c r="AC42" s="8"/>
    </row>
    <row r="43" spans="1:29" ht="13" x14ac:dyDescent="0.25">
      <c r="A43" s="8"/>
      <c r="B43" s="16" t="s">
        <v>44</v>
      </c>
      <c r="C43" s="17" t="str">
        <f ca="1">IFERROR(__xludf.DUMMYFUNCTION("GOOGLEFINANCE(B43,""name"")
"),"Microsoft Corp")</f>
        <v>Microsoft Corp</v>
      </c>
      <c r="D43" s="26" t="str">
        <f ca="1">IFERROR(__xludf.DUMMYFUNCTION("IF(ISBLANK(B43),"""",IFERROR(SPARKLINE(INDEX(GOOGLEFINANCE(B43,""price"",TODAY()-$D$17,TODAY()),,2),{""charttype"",""column"";""color"",""17a7e0""}),""""))"),"")</f>
        <v/>
      </c>
      <c r="E43" s="27"/>
      <c r="F43" s="18">
        <f ca="1">IFERROR(__xludf.DUMMYFUNCTION("IFERROR(IF(B43="""","""",GOOGLEFINANCE(B43)),IFERROR(GOOGLEFINANCE(""CURRENCY:""&amp;""USD""&amp;#REF!)*IMPORTXML(""https://coinmarketcap.com/currencies/""&amp;B43,$W$3),IMPORTXML(""https://coinmarketcap.com/currencies/""&amp;B43,$W$3)))"),428.81)</f>
        <v>428.81</v>
      </c>
      <c r="G43" s="19">
        <f ca="1">IFERROR(__xludf.DUMMYFUNCTION("IFERROR(IF(ISBLANK(B43),"""",GOOGLEFINANCE(B43,""changepct"")/100),"""")"),-0.00349999999999999)</f>
        <v>-3.4999999999999901E-3</v>
      </c>
      <c r="H43" s="19">
        <f ca="1">IFERROR(__xludf.DUMMYFUNCTION("IF(ISBLANK(B43),"""",IFERROR((GOOGLEFINANCE(B43,""price"")/INDEX(GOOGLEFINANCE(B43,""price"",DATEVALUE(TODAY()-365) ),2,2)-1),""""))"),0.294677093082938)</f>
        <v>0.29467709308293799</v>
      </c>
      <c r="I43" s="20">
        <f ca="1">IFERROR(__xludf.DUMMYFUNCTION("IFERROR(IF(ISBLANK(B43),"""",GOOGLEFINANCE(B43,""low52"")),"""")"),309.45)</f>
        <v>309.45</v>
      </c>
      <c r="J43" s="19">
        <f t="shared" ca="1" si="0"/>
        <v>0.38571659395702057</v>
      </c>
      <c r="K43" s="20">
        <f ca="1">IFERROR(__xludf.DUMMYFUNCTION("IFERROR(IF(ISBLANK(B43),"""",GOOGLEFINANCE(B43,""high52"")),"""")"),433.6)</f>
        <v>433.6</v>
      </c>
      <c r="L43" s="19">
        <f t="shared" ca="1" si="1"/>
        <v>-1.1047047970479751E-2</v>
      </c>
      <c r="M43" s="20">
        <f ca="1">IFERROR(__xludf.DUMMYFUNCTION("IF(ISBLANK(B43),"""",IFERROR(INDEX(GOOGLEFINANCE(B43,""price"",WORKDAY(TODAY(),-$M$17)),2,2),""""))"),430.52)</f>
        <v>430.52</v>
      </c>
      <c r="N43" s="19">
        <f ca="1">IFERROR(__xludf.DUMMYFUNCTION("IF(ISBLANK(B43),"""",IFERROR(F43/(INDEX(GOOGLEFINANCE(B43,""price"",WORKDAY(TODAY(),-$N$17)),2,2))-1,""""))"),-0.00397194090866859)</f>
        <v>-3.9719409086685902E-3</v>
      </c>
      <c r="O43" s="21" t="str">
        <f ca="1">IFERROR(__xludf.DUMMYFUNCTION("IF(ISBLANK(B43),"""",IFERROR(IFERROR(""$""&amp;Trunc(GOOGLEFINANCE(B43,""Marketcap"")/1000000000)&amp;"" B"",""$""&amp;Trunc(IMPORTXML(""https://coinmarketcap.com/currencies/""&amp;B43,$W$4)/1000000000)&amp;"" B""),""-""))"),"$3187 B")</f>
        <v>$3187 B</v>
      </c>
      <c r="P43" s="8">
        <f ca="1">IFERROR(__xludf.DUMMYFUNCTION("IF(ISBLANK(B43),"""",IFERROR(GOOGLEFINANCE(B43,""pe""),""-""))"),37.15)</f>
        <v>37.15</v>
      </c>
      <c r="Q43" s="22" t="str">
        <f ca="1">IFERROR(__xludf.DUMMYFUNCTION("SPARKLINE(INDEX(GOOGLEFINANCE(B43,""price"",workday(today(),-$Q$17),today()),,2),{""charttype"",""column"";""color"",""green""})
"),"")</f>
        <v/>
      </c>
      <c r="R43" s="23" t="str">
        <f t="shared" si="2"/>
        <v>Info</v>
      </c>
      <c r="S43" s="24"/>
      <c r="T43" s="25"/>
      <c r="U43" s="8"/>
      <c r="V43" s="8"/>
      <c r="W43" s="8"/>
      <c r="X43" s="8"/>
      <c r="Y43" s="8"/>
      <c r="Z43" s="8"/>
      <c r="AA43" s="8"/>
      <c r="AB43" s="8"/>
      <c r="AC43" s="8"/>
    </row>
    <row r="44" spans="1:29" ht="13" x14ac:dyDescent="0.25">
      <c r="A44" s="8"/>
      <c r="B44" s="16" t="s">
        <v>45</v>
      </c>
      <c r="C44" s="17" t="str">
        <f ca="1">IFERROR(__xludf.DUMMYFUNCTION("GOOGLEFINANCE(B44,""name"")
"),"NVIDIA Corp")</f>
        <v>NVIDIA Corp</v>
      </c>
      <c r="D44" s="26" t="str">
        <f ca="1">IFERROR(__xludf.DUMMYFUNCTION("IF(ISBLANK(B44),"""",IFERROR(SPARKLINE(INDEX(GOOGLEFINANCE(B44,""price"",TODAY()-$D$17,TODAY()),,2),{""charttype"",""column"";""color"",""17a7e0""}),""""))"),"")</f>
        <v/>
      </c>
      <c r="E44" s="27"/>
      <c r="F44" s="18">
        <f ca="1">IFERROR(__xludf.DUMMYFUNCTION("IFERROR(IF(B44="""","""",GOOGLEFINANCE(B44)),IFERROR(GOOGLEFINANCE(""CURRENCY:""&amp;""USD""&amp;#REF!)*IMPORTXML(""https://coinmarketcap.com/currencies/""&amp;B44,$W$3),IMPORTXML(""https://coinmarketcap.com/currencies/""&amp;B44,$W$3)))"),1135.9)</f>
        <v>1135.9000000000001</v>
      </c>
      <c r="G44" s="19">
        <f ca="1">IFERROR(__xludf.DUMMYFUNCTION("IFERROR(IF(ISBLANK(B44),"""",GOOGLEFINANCE(B44,""changepct"")/100),"""")"),-0.0027)</f>
        <v>-2.7000000000000001E-3</v>
      </c>
      <c r="H44" s="19">
        <f ca="1">IFERROR(__xludf.DUMMYFUNCTION("IF(ISBLANK(B44),"""",IFERROR((GOOGLEFINANCE(B44,""price"")/INDEX(GOOGLEFINANCE(B44,""price"",DATEVALUE(TODAY()-365) ),2,2)-1),""""))"),1.83189150108449)</f>
        <v>1.8318915010844901</v>
      </c>
      <c r="I44" s="20">
        <f ca="1">IFERROR(__xludf.DUMMYFUNCTION("IFERROR(IF(ISBLANK(B44),"""",GOOGLEFINANCE(B44,""low52"")),"""")"),373.56)</f>
        <v>373.56</v>
      </c>
      <c r="J44" s="19">
        <f t="shared" ca="1" si="0"/>
        <v>2.040743120248421</v>
      </c>
      <c r="K44" s="20">
        <f ca="1">IFERROR(__xludf.DUMMYFUNCTION("IFERROR(IF(ISBLANK(B44),"""",GOOGLEFINANCE(B44,""high52"")),"""")"),1149.39)</f>
        <v>1149.3900000000001</v>
      </c>
      <c r="L44" s="19">
        <f t="shared" ca="1" si="1"/>
        <v>-1.1736660315471692E-2</v>
      </c>
      <c r="M44" s="20">
        <f ca="1">IFERROR(__xludf.DUMMYFUNCTION("IF(ISBLANK(B44),"""",IFERROR(INDEX(GOOGLEFINANCE(B44,""price"",WORKDAY(TODAY(),-$M$17)),2,2),""""))"),949.5)</f>
        <v>949.5</v>
      </c>
      <c r="N44" s="19">
        <f ca="1">IFERROR(__xludf.DUMMYFUNCTION("IF(ISBLANK(B44),"""",IFERROR(F44/(INDEX(GOOGLEFINANCE(B44,""price"",WORKDAY(TODAY(),-$N$17)),2,2))-1,""""))"),0.196313849394418)</f>
        <v>0.19631384939441801</v>
      </c>
      <c r="O44" s="21" t="str">
        <f ca="1">IFERROR(__xludf.DUMMYFUNCTION("IF(ISBLANK(B44),"""",IFERROR(IFERROR(""$""&amp;Trunc(GOOGLEFINANCE(B44,""Marketcap"")/1000000000)&amp;"" B"",""$""&amp;Trunc(IMPORTXML(""https://coinmarketcap.com/currencies/""&amp;B44,$W$4)/1000000000)&amp;"" B""),""-""))"),"$2793 B")</f>
        <v>$2793 B</v>
      </c>
      <c r="P44" s="8">
        <f ca="1">IFERROR(__xludf.DUMMYFUNCTION("IF(ISBLANK(B44),"""",IFERROR(GOOGLEFINANCE(B44,""pe""),""-""))"),66.5)</f>
        <v>66.5</v>
      </c>
      <c r="Q44" s="22" t="str">
        <f ca="1">IFERROR(__xludf.DUMMYFUNCTION("SPARKLINE(INDEX(GOOGLEFINANCE(B44,""price"",workday(today(),-$Q$17),today()),,2),{""charttype"",""column"";""color"",""green""})
"),"")</f>
        <v/>
      </c>
      <c r="R44" s="23" t="str">
        <f t="shared" si="2"/>
        <v>Info</v>
      </c>
      <c r="S44" s="24"/>
      <c r="T44" s="25"/>
      <c r="U44" s="8"/>
      <c r="V44" s="8"/>
      <c r="W44" s="8"/>
      <c r="X44" s="8"/>
      <c r="Y44" s="8"/>
      <c r="Z44" s="8"/>
      <c r="AA44" s="8"/>
      <c r="AB44" s="8"/>
      <c r="AC44" s="8"/>
    </row>
    <row r="45" spans="1:29" ht="13" x14ac:dyDescent="0.25">
      <c r="A45" s="8"/>
      <c r="B45" s="16" t="s">
        <v>35</v>
      </c>
      <c r="C45" s="17" t="str">
        <f ca="1">IFERROR(__xludf.DUMMYFUNCTION("GOOGLEFINANCE(B45,""name"")
"),"Vanguard S&amp;P 500 ETF")</f>
        <v>Vanguard S&amp;P 500 ETF</v>
      </c>
      <c r="D45" s="26" t="str">
        <f ca="1">IFERROR(__xludf.DUMMYFUNCTION("IF(ISBLANK(B45),"""",IFERROR(SPARKLINE(INDEX(GOOGLEFINANCE(B45,""price"",TODAY()-$D$17,TODAY()),,2),{""charttype"",""column"";""color"",""17a7e0""}),""""))"),"")</f>
        <v/>
      </c>
      <c r="E45" s="27"/>
      <c r="F45" s="18">
        <f ca="1">IFERROR(__xludf.DUMMYFUNCTION("IFERROR(IF(B45="""","""",GOOGLEFINANCE(B45)),IFERROR(GOOGLEFINANCE(""CURRENCY:""&amp;""USD""&amp;#REF!)*IMPORTXML(""https://coinmarketcap.com/currencies/""&amp;B45,$W$3),IMPORTXML(""https://coinmarketcap.com/currencies/""&amp;B45,$W$3)))"),483.63)</f>
        <v>483.63</v>
      </c>
      <c r="G45" s="19">
        <f ca="1">IFERROR(__xludf.DUMMYFUNCTION("IFERROR(IF(ISBLANK(B45),"""",GOOGLEFINANCE(B45,""changepct"")/100),"""")"),-0.0072)</f>
        <v>-7.1999999999999998E-3</v>
      </c>
      <c r="H45" s="19">
        <f ca="1">IFERROR(__xludf.DUMMYFUNCTION("IF(ISBLANK(B45),"""",IFERROR((GOOGLEFINANCE(B45,""price"")/INDEX(GOOGLEFINANCE(B45,""price"",DATEVALUE(TODAY()-365) ),2,2)-1),""""))"),0.252959921241482)</f>
        <v>0.25295992124148198</v>
      </c>
      <c r="I45" s="20">
        <f ca="1">IFERROR(__xludf.DUMMYFUNCTION("IFERROR(IF(ISBLANK(B45),"""",GOOGLEFINANCE(B45,""low52"")),"""")"),375.95)</f>
        <v>375.95</v>
      </c>
      <c r="J45" s="19">
        <f t="shared" ca="1" si="0"/>
        <v>0.28642106663120098</v>
      </c>
      <c r="K45" s="20">
        <f ca="1">IFERROR(__xludf.DUMMYFUNCTION("IFERROR(IF(ISBLANK(B45),"""",GOOGLEFINANCE(B45,""high52"")),"""")"),489.99)</f>
        <v>489.99</v>
      </c>
      <c r="L45" s="19">
        <f t="shared" ca="1" si="1"/>
        <v>-1.2979856731770064E-2</v>
      </c>
      <c r="M45" s="20">
        <f ca="1">IFERROR(__xludf.DUMMYFUNCTION("IF(ISBLANK(B45),"""",IFERROR(INDEX(GOOGLEFINANCE(B45,""price"",WORKDAY(TODAY(),-$M$17)),2,2),""""))"),487.06)</f>
        <v>487.06</v>
      </c>
      <c r="N45" s="19">
        <f ca="1">IFERROR(__xludf.DUMMYFUNCTION("IF(ISBLANK(B45),"""",IFERROR(F45/(INDEX(GOOGLEFINANCE(B45,""price"",WORKDAY(TODAY(),-$N$17)),2,2))-1,""""))"),-0.00704225352112675)</f>
        <v>-7.0422535211267503E-3</v>
      </c>
      <c r="O45" s="21" t="str">
        <f ca="1">IFERROR(__xludf.DUMMYFUNCTION("IF(ISBLANK(B45),"""",IFERROR(IFERROR(""$""&amp;Trunc(GOOGLEFINANCE(B45,""Marketcap"")/1000000000)&amp;"" B"",""$""&amp;Trunc(IMPORTXML(""https://coinmarketcap.com/currencies/""&amp;B45,$W$4)/1000000000)&amp;"" B""),""-""))"),"-")</f>
        <v>-</v>
      </c>
      <c r="P45" s="8" t="str">
        <f ca="1">IFERROR(__xludf.DUMMYFUNCTION("IF(ISBLANK(B45),"""",IFERROR(GOOGLEFINANCE(B45,""pe""),""-""))"),"-")</f>
        <v>-</v>
      </c>
      <c r="Q45" s="22" t="str">
        <f ca="1">IFERROR(__xludf.DUMMYFUNCTION("SPARKLINE(INDEX(GOOGLEFINANCE(B45,""price"",workday(today(),-$Q$17),today()),,2),{""charttype"",""column"";""color"",""green""})
"),"")</f>
        <v/>
      </c>
      <c r="R45" s="23" t="str">
        <f t="shared" si="2"/>
        <v>Info</v>
      </c>
      <c r="S45" s="24"/>
      <c r="T45" s="25"/>
      <c r="U45" s="8"/>
      <c r="V45" s="8"/>
      <c r="W45" s="8"/>
      <c r="X45" s="8"/>
      <c r="Y45" s="8"/>
      <c r="Z45" s="8"/>
      <c r="AA45" s="8"/>
      <c r="AB45" s="8"/>
      <c r="AC45" s="8"/>
    </row>
    <row r="46" spans="1:29" ht="13" x14ac:dyDescent="0.25">
      <c r="A46" s="8"/>
      <c r="B46" s="16" t="s">
        <v>46</v>
      </c>
      <c r="C46" s="17" t="str">
        <f ca="1">IFERROR(__xludf.DUMMYFUNCTION("GOOGLEFINANCE(B46,""name"")
"),"Shopify Inc")</f>
        <v>Shopify Inc</v>
      </c>
      <c r="D46" s="26" t="str">
        <f ca="1">IFERROR(__xludf.DUMMYFUNCTION("IF(ISBLANK(B46),"""",IFERROR(SPARKLINE(INDEX(GOOGLEFINANCE(B46,""price"",TODAY()-$D$17,TODAY()),,2),{""charttype"",""column"";""color"",""17a7e0""}),""""))"),"")</f>
        <v/>
      </c>
      <c r="E46" s="27"/>
      <c r="F46" s="18">
        <f ca="1">IFERROR(__xludf.DUMMYFUNCTION("IFERROR(IF(B46="""","""",GOOGLEFINANCE(B46)),IFERROR(GOOGLEFINANCE(""CURRENCY:""&amp;""USD""&amp;#REF!)*IMPORTXML(""https://coinmarketcap.com/currencies/""&amp;B46,$W$3),IMPORTXML(""https://coinmarketcap.com/currencies/""&amp;B46,$W$3)))"),79.44)</f>
        <v>79.44</v>
      </c>
      <c r="G46" s="19">
        <f ca="1">IFERROR(__xludf.DUMMYFUNCTION("IFERROR(IF(ISBLANK(B46),"""",GOOGLEFINANCE(B46,""changepct"")/100),"""")"),0.0004)</f>
        <v>4.0000000000000002E-4</v>
      </c>
      <c r="H46" s="19">
        <f ca="1">IFERROR(__xludf.DUMMYFUNCTION("IF(ISBLANK(B46),"""",IFERROR((GOOGLEFINANCE(B46,""price"")/INDEX(GOOGLEFINANCE(B46,""price"",DATEVALUE(TODAY()-365) ),2,2)-1),""""))"),0.00379075056861255)</f>
        <v>3.7907505686125501E-3</v>
      </c>
      <c r="I46" s="20">
        <f ca="1">IFERROR(__xludf.DUMMYFUNCTION("IFERROR(IF(ISBLANK(B46),"""",GOOGLEFINANCE(B46,""low52"")),"""")"),63.16)</f>
        <v>63.16</v>
      </c>
      <c r="J46" s="19">
        <f t="shared" ca="1" si="0"/>
        <v>0.25775807473084233</v>
      </c>
      <c r="K46" s="20">
        <f ca="1">IFERROR(__xludf.DUMMYFUNCTION("IFERROR(IF(ISBLANK(B46),"""",GOOGLEFINANCE(B46,""high52"")),"""")"),123.2)</f>
        <v>123.2</v>
      </c>
      <c r="L46" s="19">
        <f t="shared" ca="1" si="1"/>
        <v>-0.35519480519480523</v>
      </c>
      <c r="M46" s="20">
        <f ca="1">IFERROR(__xludf.DUMMYFUNCTION("IF(ISBLANK(B46),"""",IFERROR(INDEX(GOOGLEFINANCE(B46,""price"",WORKDAY(TODAY(),-$M$17)),2,2),""""))"),80.41)</f>
        <v>80.41</v>
      </c>
      <c r="N46" s="19">
        <f ca="1">IFERROR(__xludf.DUMMYFUNCTION("IF(ISBLANK(B46),"""",IFERROR(F46/(INDEX(GOOGLEFINANCE(B46,""price"",WORKDAY(TODAY(),-$N$17)),2,2))-1,""""))"),-0.0120631762218629)</f>
        <v>-1.20631762218629E-2</v>
      </c>
      <c r="O46" s="21" t="str">
        <f ca="1">IFERROR(__xludf.DUMMYFUNCTION("IF(ISBLANK(B46),"""",IFERROR(IFERROR(""$""&amp;Trunc(GOOGLEFINANCE(B46,""Marketcap"")/1000000000)&amp;"" B"",""$""&amp;Trunc(IMPORTXML(""https://coinmarketcap.com/currencies/""&amp;B46,$W$4)/1000000000)&amp;"" B""),""-""))"),"$74 B")</f>
        <v>$74 B</v>
      </c>
      <c r="P46" s="8" t="str">
        <f ca="1">IFERROR(__xludf.DUMMYFUNCTION("IF(ISBLANK(B46),"""",IFERROR(GOOGLEFINANCE(B46,""pe""),""-""))"),"-")</f>
        <v>-</v>
      </c>
      <c r="Q46" s="22" t="str">
        <f ca="1">IFERROR(__xludf.DUMMYFUNCTION("SPARKLINE(INDEX(GOOGLEFINANCE(B46,""price"",workday(today(),-$Q$17),today()),,2),{""charttype"",""column"";""color"",""green""})
"),"")</f>
        <v/>
      </c>
      <c r="R46" s="23" t="str">
        <f t="shared" si="2"/>
        <v>Info</v>
      </c>
      <c r="S46" s="24"/>
      <c r="T46" s="25"/>
      <c r="U46" s="8"/>
      <c r="V46" s="8"/>
      <c r="W46" s="8"/>
      <c r="X46" s="8"/>
      <c r="Y46" s="8"/>
      <c r="Z46" s="8"/>
      <c r="AA46" s="8"/>
      <c r="AB46" s="8"/>
      <c r="AC46" s="8"/>
    </row>
    <row r="47" spans="1:29" ht="13" x14ac:dyDescent="0.25">
      <c r="A47" s="8"/>
      <c r="B47" s="16"/>
      <c r="C47" s="17" t="str">
        <f ca="1">IFERROR(__xludf.DUMMYFUNCTION("GOOGLEFINANCE(B47,""name"")
"),"#N/A")</f>
        <v>#N/A</v>
      </c>
      <c r="D47" s="26" t="str">
        <f ca="1">IFERROR(__xludf.DUMMYFUNCTION("IF(ISBLANK(B47),"""",IFERROR(SPARKLINE(INDEX(GOOGLEFINANCE(B47,""price"",TODAY()-$D$17,TODAY()),,2),{""charttype"",""column"";""color"",""17a7e0""}),""""))"),"")</f>
        <v/>
      </c>
      <c r="E47" s="27"/>
      <c r="F47" s="18" t="str">
        <f ca="1">IFERROR(__xludf.DUMMYFUNCTION("IFERROR(IF(B47="""","""",GOOGLEFINANCE(B47)),IFERROR(GOOGLEFINANCE(""CURRENCY:""&amp;""USD""&amp;#REF!)*IMPORTXML(""https://coinmarketcap.com/currencies/""&amp;B47,$W$3),IMPORTXML(""https://coinmarketcap.com/currencies/""&amp;B47,$W$3)))"),"")</f>
        <v/>
      </c>
      <c r="G47" s="19" t="str">
        <f ca="1">IFERROR(__xludf.DUMMYFUNCTION("IFERROR(IF(ISBLANK(B47),"""",GOOGLEFINANCE(B47,""changepct"")/100),"""")"),"")</f>
        <v/>
      </c>
      <c r="H47" s="19" t="str">
        <f ca="1">IFERROR(__xludf.DUMMYFUNCTION("IF(ISBLANK(B47),"""",IFERROR((GOOGLEFINANCE(B47,""price"")/INDEX(GOOGLEFINANCE(B47,""price"",DATEVALUE(TODAY()-365) ),2,2)-1),""""))"),"")</f>
        <v/>
      </c>
      <c r="I47" s="20" t="str">
        <f ca="1">IFERROR(__xludf.DUMMYFUNCTION("IFERROR(IF(ISBLANK(B47),"""",GOOGLEFINANCE(B47,""low52"")),"""")"),"")</f>
        <v/>
      </c>
      <c r="J47" s="19" t="str">
        <f t="shared" si="0"/>
        <v/>
      </c>
      <c r="K47" s="20" t="str">
        <f ca="1">IFERROR(__xludf.DUMMYFUNCTION("IFERROR(IF(ISBLANK(B47),"""",GOOGLEFINANCE(B47,""high52"")),"""")"),"")</f>
        <v/>
      </c>
      <c r="L47" s="19" t="str">
        <f t="shared" si="1"/>
        <v/>
      </c>
      <c r="M47" s="20" t="str">
        <f ca="1">IFERROR(__xludf.DUMMYFUNCTION("IF(ISBLANK(B47),"""",IFERROR(INDEX(GOOGLEFINANCE(B47,""price"",WORKDAY(TODAY(),-$M$17)),2,2),""""))"),"")</f>
        <v/>
      </c>
      <c r="N47" s="19" t="str">
        <f ca="1">IFERROR(__xludf.DUMMYFUNCTION("IF(ISBLANK(B47),"""",IFERROR(F47/(INDEX(GOOGLEFINANCE(B47,""price"",WORKDAY(TODAY(),-$N$17)),2,2))-1,""""))"),"")</f>
        <v/>
      </c>
      <c r="O47" s="21" t="str">
        <f ca="1">IFERROR(__xludf.DUMMYFUNCTION("IF(ISBLANK(B47),"""",IFERROR(IFERROR(""$""&amp;Trunc(GOOGLEFINANCE(B47,""Marketcap"")/1000000000)&amp;"" B"",""$""&amp;Trunc(IMPORTXML(""https://coinmarketcap.com/currencies/""&amp;B47,$W$4)/1000000000)&amp;"" B""),""-""))"),"")</f>
        <v/>
      </c>
      <c r="P47" s="8" t="str">
        <f ca="1">IFERROR(__xludf.DUMMYFUNCTION("IF(ISBLANK(B47),"""",IFERROR(GOOGLEFINANCE(B47,""pe""),""-""))"),"")</f>
        <v/>
      </c>
      <c r="Q47" s="22" t="str">
        <f ca="1">IFERROR(__xludf.DUMMYFUNCTION("SPARKLINE(INDEX(GOOGLEFINANCE(B47,""price"",workday(today(),-$Q$17),today()),,2),{""charttype"",""column"";""color"",""green""})
"),"#N/A")</f>
        <v>#N/A</v>
      </c>
      <c r="R47" s="23" t="str">
        <f t="shared" si="2"/>
        <v>Info</v>
      </c>
      <c r="S47" s="24"/>
      <c r="T47" s="25"/>
      <c r="U47" s="8"/>
      <c r="V47" s="8"/>
      <c r="W47" s="8"/>
      <c r="X47" s="8"/>
      <c r="Y47" s="8"/>
      <c r="Z47" s="8"/>
      <c r="AA47" s="8"/>
      <c r="AB47" s="8"/>
      <c r="AC47" s="8"/>
    </row>
    <row r="48" spans="1:29" ht="13" x14ac:dyDescent="0.25">
      <c r="A48" s="8"/>
      <c r="B48" s="16"/>
      <c r="C48" s="17" t="str">
        <f ca="1">IFERROR(__xludf.DUMMYFUNCTION("GOOGLEFINANCE(B48,""name"")
"),"#N/A")</f>
        <v>#N/A</v>
      </c>
      <c r="D48" s="26" t="str">
        <f ca="1">IFERROR(__xludf.DUMMYFUNCTION("IF(ISBLANK(B48),"""",IFERROR(SPARKLINE(INDEX(GOOGLEFINANCE(B48,""price"",TODAY()-$D$17,TODAY()),,2),{""charttype"",""column"";""color"",""17a7e0""}),""""))"),"")</f>
        <v/>
      </c>
      <c r="E48" s="27"/>
      <c r="F48" s="18" t="str">
        <f ca="1">IFERROR(__xludf.DUMMYFUNCTION("IFERROR(IF(B48="""","""",GOOGLEFINANCE(B48)),IFERROR(GOOGLEFINANCE(""CURRENCY:""&amp;""USD""&amp;#REF!)*IMPORTXML(""https://coinmarketcap.com/currencies/""&amp;B48,$W$3),IMPORTXML(""https://coinmarketcap.com/currencies/""&amp;B48,$W$3)))"),"")</f>
        <v/>
      </c>
      <c r="G48" s="19" t="str">
        <f ca="1">IFERROR(__xludf.DUMMYFUNCTION("IFERROR(IF(ISBLANK(B48),"""",GOOGLEFINANCE(B48,""changepct"")/100),"""")"),"")</f>
        <v/>
      </c>
      <c r="H48" s="19" t="str">
        <f ca="1">IFERROR(__xludf.DUMMYFUNCTION("IF(ISBLANK(B48),"""",IFERROR((GOOGLEFINANCE(B48,""price"")/INDEX(GOOGLEFINANCE(B48,""price"",DATEVALUE(TODAY()-365) ),2,2)-1),""""))"),"")</f>
        <v/>
      </c>
      <c r="I48" s="20" t="str">
        <f ca="1">IFERROR(__xludf.DUMMYFUNCTION("IFERROR(IF(ISBLANK(B48),"""",GOOGLEFINANCE(B48,""low52"")),"""")"),"")</f>
        <v/>
      </c>
      <c r="J48" s="19" t="str">
        <f t="shared" si="0"/>
        <v/>
      </c>
      <c r="K48" s="20" t="str">
        <f ca="1">IFERROR(__xludf.DUMMYFUNCTION("IFERROR(IF(ISBLANK(B48),"""",GOOGLEFINANCE(B48,""high52"")),"""")"),"")</f>
        <v/>
      </c>
      <c r="L48" s="19" t="str">
        <f t="shared" si="1"/>
        <v/>
      </c>
      <c r="M48" s="20" t="str">
        <f ca="1">IFERROR(__xludf.DUMMYFUNCTION("IF(ISBLANK(B48),"""",IFERROR(INDEX(GOOGLEFINANCE(B48,""price"",WORKDAY(TODAY(),-$M$17)),2,2),""""))"),"")</f>
        <v/>
      </c>
      <c r="N48" s="19" t="str">
        <f ca="1">IFERROR(__xludf.DUMMYFUNCTION("IF(ISBLANK(B48),"""",IFERROR(F48/(INDEX(GOOGLEFINANCE(B48,""price"",WORKDAY(TODAY(),-$N$17)),2,2))-1,""""))"),"")</f>
        <v/>
      </c>
      <c r="O48" s="21" t="str">
        <f ca="1">IFERROR(__xludf.DUMMYFUNCTION("IF(ISBLANK(B48),"""",IFERROR(IFERROR(""$""&amp;Trunc(GOOGLEFINANCE(B48,""Marketcap"")/1000000000)&amp;"" B"",""$""&amp;Trunc(IMPORTXML(""https://coinmarketcap.com/currencies/""&amp;B48,$W$4)/1000000000)&amp;"" B""),""-""))"),"")</f>
        <v/>
      </c>
      <c r="P48" s="8" t="str">
        <f ca="1">IFERROR(__xludf.DUMMYFUNCTION("IF(ISBLANK(B48),"""",IFERROR(GOOGLEFINANCE(B48,""pe""),""-""))"),"")</f>
        <v/>
      </c>
      <c r="Q48" s="22" t="str">
        <f ca="1">IFERROR(__xludf.DUMMYFUNCTION("SPARKLINE(INDEX(GOOGLEFINANCE(B48,""price"",workday(today(),-$Q$17),today()),,2),{""charttype"",""column"";""color"",""green""})
"),"#N/A")</f>
        <v>#N/A</v>
      </c>
      <c r="R48" s="23" t="str">
        <f t="shared" si="2"/>
        <v>Info</v>
      </c>
      <c r="S48" s="24"/>
      <c r="T48" s="25"/>
      <c r="U48" s="8"/>
      <c r="V48" s="8"/>
      <c r="W48" s="8"/>
      <c r="X48" s="8"/>
      <c r="Y48" s="8"/>
      <c r="Z48" s="8"/>
      <c r="AA48" s="8"/>
      <c r="AB48" s="8"/>
      <c r="AC48" s="8"/>
    </row>
    <row r="49" spans="1:29" ht="13" x14ac:dyDescent="0.25">
      <c r="A49" s="8"/>
      <c r="B49" s="16"/>
      <c r="C49" s="17" t="str">
        <f ca="1">IFERROR(__xludf.DUMMYFUNCTION("GOOGLEFINANCE(B49,""name"")
"),"#N/A")</f>
        <v>#N/A</v>
      </c>
      <c r="D49" s="26" t="str">
        <f ca="1">IFERROR(__xludf.DUMMYFUNCTION("IF(ISBLANK(B49),"""",IFERROR(SPARKLINE(INDEX(GOOGLEFINANCE(B49,""price"",TODAY()-$D$17,TODAY()),,2),{""charttype"",""column"";""color"",""17a7e0""}),""""))"),"")</f>
        <v/>
      </c>
      <c r="E49" s="27"/>
      <c r="F49" s="18" t="str">
        <f ca="1">IFERROR(__xludf.DUMMYFUNCTION("IFERROR(IF(B49="""","""",GOOGLEFINANCE(B49)),IFERROR(GOOGLEFINANCE(""CURRENCY:""&amp;""USD""&amp;#REF!)*IMPORTXML(""https://coinmarketcap.com/currencies/""&amp;B49,$W$3),IMPORTXML(""https://coinmarketcap.com/currencies/""&amp;B49,$W$3)))"),"")</f>
        <v/>
      </c>
      <c r="G49" s="19" t="str">
        <f ca="1">IFERROR(__xludf.DUMMYFUNCTION("IFERROR(IF(ISBLANK(B49),"""",GOOGLEFINANCE(B49,""changepct"")/100),"""")"),"")</f>
        <v/>
      </c>
      <c r="H49" s="19" t="str">
        <f ca="1">IFERROR(__xludf.DUMMYFUNCTION("IF(ISBLANK(B49),"""",IFERROR((GOOGLEFINANCE(B49,""price"")/INDEX(GOOGLEFINANCE(B49,""price"",DATEVALUE(TODAY()-365) ),2,2)-1),""""))"),"")</f>
        <v/>
      </c>
      <c r="I49" s="20" t="str">
        <f ca="1">IFERROR(__xludf.DUMMYFUNCTION("IFERROR(IF(ISBLANK(B49),"""",GOOGLEFINANCE(B49,""low52"")),"""")"),"")</f>
        <v/>
      </c>
      <c r="J49" s="19" t="str">
        <f t="shared" si="0"/>
        <v/>
      </c>
      <c r="K49" s="20" t="str">
        <f ca="1">IFERROR(__xludf.DUMMYFUNCTION("IFERROR(IF(ISBLANK(B49),"""",GOOGLEFINANCE(B49,""high52"")),"""")"),"")</f>
        <v/>
      </c>
      <c r="L49" s="19" t="str">
        <f t="shared" si="1"/>
        <v/>
      </c>
      <c r="M49" s="20" t="str">
        <f ca="1">IFERROR(__xludf.DUMMYFUNCTION("IF(ISBLANK(B49),"""",IFERROR(INDEX(GOOGLEFINANCE(B49,""price"",WORKDAY(TODAY(),-$M$17)),2,2),""""))"),"")</f>
        <v/>
      </c>
      <c r="N49" s="19" t="str">
        <f ca="1">IFERROR(__xludf.DUMMYFUNCTION("IF(ISBLANK(B49),"""",IFERROR(F49/(INDEX(GOOGLEFINANCE(B49,""price"",WORKDAY(TODAY(),-$N$17)),2,2))-1,""""))"),"")</f>
        <v/>
      </c>
      <c r="O49" s="21" t="str">
        <f ca="1">IFERROR(__xludf.DUMMYFUNCTION("IF(ISBLANK(B49),"""",IFERROR(IFERROR(""$""&amp;Trunc(GOOGLEFINANCE(B49,""Marketcap"")/1000000000)&amp;"" B"",""$""&amp;Trunc(IMPORTXML(""https://coinmarketcap.com/currencies/""&amp;B49,$W$4)/1000000000)&amp;"" B""),""-""))"),"")</f>
        <v/>
      </c>
      <c r="P49" s="8" t="str">
        <f ca="1">IFERROR(__xludf.DUMMYFUNCTION("IF(ISBLANK(B49),"""",IFERROR(GOOGLEFINANCE(B49,""pe""),""-""))"),"")</f>
        <v/>
      </c>
      <c r="Q49" s="22" t="str">
        <f ca="1">IFERROR(__xludf.DUMMYFUNCTION("SPARKLINE(INDEX(GOOGLEFINANCE(B49,""price"",workday(today(),-$Q$17),today()),,2),{""charttype"",""column"";""color"",""green""})
"),"#N/A")</f>
        <v>#N/A</v>
      </c>
      <c r="R49" s="23" t="str">
        <f t="shared" si="2"/>
        <v>Info</v>
      </c>
      <c r="S49" s="24"/>
      <c r="T49" s="25"/>
      <c r="U49" s="8"/>
      <c r="V49" s="8"/>
      <c r="W49" s="8"/>
      <c r="X49" s="8"/>
      <c r="Y49" s="8"/>
      <c r="Z49" s="8"/>
      <c r="AA49" s="8"/>
      <c r="AB49" s="8"/>
      <c r="AC49" s="8"/>
    </row>
    <row r="50" spans="1:29" ht="13" x14ac:dyDescent="0.25">
      <c r="A50" s="8"/>
      <c r="B50" s="16"/>
      <c r="C50" s="17" t="str">
        <f ca="1">IFERROR(__xludf.DUMMYFUNCTION("GOOGLEFINANCE(B50,""name"")
"),"#N/A")</f>
        <v>#N/A</v>
      </c>
      <c r="D50" s="26" t="str">
        <f ca="1">IFERROR(__xludf.DUMMYFUNCTION("IF(ISBLANK(B50),"""",IFERROR(SPARKLINE(INDEX(GOOGLEFINANCE(B50,""price"",TODAY()-$D$17,TODAY()),,2),{""charttype"",""column"";""color"",""17a7e0""}),""""))"),"")</f>
        <v/>
      </c>
      <c r="E50" s="27"/>
      <c r="F50" s="18" t="str">
        <f ca="1">IFERROR(__xludf.DUMMYFUNCTION("IFERROR(IF(B50="""","""",GOOGLEFINANCE(B50)),IFERROR(GOOGLEFINANCE(""CURRENCY:""&amp;""USD""&amp;#REF!)*IMPORTXML(""https://coinmarketcap.com/currencies/""&amp;B50,$W$3),IMPORTXML(""https://coinmarketcap.com/currencies/""&amp;B50,$W$3)))"),"")</f>
        <v/>
      </c>
      <c r="G50" s="19" t="str">
        <f ca="1">IFERROR(__xludf.DUMMYFUNCTION("IFERROR(IF(ISBLANK(B50),"""",GOOGLEFINANCE(B50,""changepct"")/100),"""")"),"")</f>
        <v/>
      </c>
      <c r="H50" s="19" t="str">
        <f ca="1">IFERROR(__xludf.DUMMYFUNCTION("IF(ISBLANK(B50),"""",IFERROR((GOOGLEFINANCE(B50,""price"")/INDEX(GOOGLEFINANCE(B50,""price"",DATEVALUE(TODAY()-365) ),2,2)-1),""""))"),"")</f>
        <v/>
      </c>
      <c r="I50" s="20" t="str">
        <f ca="1">IFERROR(__xludf.DUMMYFUNCTION("IFERROR(IF(ISBLANK(B50),"""",GOOGLEFINANCE(B50,""low52"")),"""")"),"")</f>
        <v/>
      </c>
      <c r="J50" s="19" t="str">
        <f t="shared" si="0"/>
        <v/>
      </c>
      <c r="K50" s="20" t="str">
        <f ca="1">IFERROR(__xludf.DUMMYFUNCTION("IFERROR(IF(ISBLANK(B50),"""",GOOGLEFINANCE(B50,""high52"")),"""")"),"")</f>
        <v/>
      </c>
      <c r="L50" s="19" t="str">
        <f t="shared" si="1"/>
        <v/>
      </c>
      <c r="M50" s="20" t="str">
        <f ca="1">IFERROR(__xludf.DUMMYFUNCTION("IF(ISBLANK(B50),"""",IFERROR(INDEX(GOOGLEFINANCE(B50,""price"",WORKDAY(TODAY(),-$M$17)),2,2),""""))"),"")</f>
        <v/>
      </c>
      <c r="N50" s="19" t="str">
        <f ca="1">IFERROR(__xludf.DUMMYFUNCTION("IF(ISBLANK(B50),"""",IFERROR(F50/(INDEX(GOOGLEFINANCE(B50,""price"",WORKDAY(TODAY(),-$N$17)),2,2))-1,""""))"),"")</f>
        <v/>
      </c>
      <c r="O50" s="21" t="str">
        <f ca="1">IFERROR(__xludf.DUMMYFUNCTION("IF(ISBLANK(B50),"""",IFERROR(IFERROR(""$""&amp;Trunc(GOOGLEFINANCE(B50,""Marketcap"")/1000000000)&amp;"" B"",""$""&amp;Trunc(IMPORTXML(""https://coinmarketcap.com/currencies/""&amp;B50,$W$4)/1000000000)&amp;"" B""),""-""))"),"")</f>
        <v/>
      </c>
      <c r="P50" s="8" t="str">
        <f ca="1">IFERROR(__xludf.DUMMYFUNCTION("IF(ISBLANK(B50),"""",IFERROR(GOOGLEFINANCE(B50,""pe""),""-""))"),"")</f>
        <v/>
      </c>
      <c r="Q50" s="22" t="str">
        <f ca="1">IFERROR(__xludf.DUMMYFUNCTION("SPARKLINE(INDEX(GOOGLEFINANCE(B50,""price"",workday(today(),-$Q$17),today()),,2),{""charttype"",""column"";""color"",""green""})
"),"#N/A")</f>
        <v>#N/A</v>
      </c>
      <c r="R50" s="23" t="str">
        <f t="shared" si="2"/>
        <v>Info</v>
      </c>
      <c r="S50" s="24"/>
      <c r="T50" s="25"/>
      <c r="U50" s="8"/>
      <c r="V50" s="8"/>
      <c r="W50" s="8"/>
      <c r="X50" s="8"/>
      <c r="Y50" s="8"/>
      <c r="Z50" s="8"/>
      <c r="AA50" s="8"/>
      <c r="AB50" s="8"/>
      <c r="AC50" s="8"/>
    </row>
    <row r="51" spans="1:29" ht="13" x14ac:dyDescent="0.25">
      <c r="A51" s="8"/>
      <c r="B51" s="16"/>
      <c r="C51" s="17" t="str">
        <f ca="1">IFERROR(__xludf.DUMMYFUNCTION("GOOGLEFINANCE(B51,""name"")
"),"#N/A")</f>
        <v>#N/A</v>
      </c>
      <c r="D51" s="26" t="str">
        <f ca="1">IFERROR(__xludf.DUMMYFUNCTION("IF(ISBLANK(B51),"""",IFERROR(SPARKLINE(INDEX(GOOGLEFINANCE(B51,""price"",TODAY()-$D$17,TODAY()),,2),{""charttype"",""column"";""color"",""17a7e0""}),""""))"),"")</f>
        <v/>
      </c>
      <c r="E51" s="27"/>
      <c r="F51" s="18" t="str">
        <f ca="1">IFERROR(__xludf.DUMMYFUNCTION("IFERROR(IF(B51="""","""",GOOGLEFINANCE(B51)),IFERROR(GOOGLEFINANCE(""CURRENCY:""&amp;""USD""&amp;#REF!)*IMPORTXML(""https://coinmarketcap.com/currencies/""&amp;B51,$W$3),IMPORTXML(""https://coinmarketcap.com/currencies/""&amp;B51,$W$3)))"),"")</f>
        <v/>
      </c>
      <c r="G51" s="19" t="str">
        <f ca="1">IFERROR(__xludf.DUMMYFUNCTION("IFERROR(IF(ISBLANK(B51),"""",GOOGLEFINANCE(B51,""changepct"")/100),"""")"),"")</f>
        <v/>
      </c>
      <c r="H51" s="19" t="str">
        <f ca="1">IFERROR(__xludf.DUMMYFUNCTION("IF(ISBLANK(B51),"""",IFERROR((GOOGLEFINANCE(B51,""price"")/INDEX(GOOGLEFINANCE(B51,""price"",DATEVALUE(TODAY()-365) ),2,2)-1),""""))"),"")</f>
        <v/>
      </c>
      <c r="I51" s="20" t="str">
        <f ca="1">IFERROR(__xludf.DUMMYFUNCTION("IFERROR(IF(ISBLANK(B51),"""",GOOGLEFINANCE(B51,""low52"")),"""")"),"")</f>
        <v/>
      </c>
      <c r="J51" s="19" t="str">
        <f t="shared" si="0"/>
        <v/>
      </c>
      <c r="K51" s="20" t="str">
        <f ca="1">IFERROR(__xludf.DUMMYFUNCTION("IFERROR(IF(ISBLANK(B51),"""",GOOGLEFINANCE(B51,""high52"")),"""")"),"")</f>
        <v/>
      </c>
      <c r="L51" s="19" t="str">
        <f t="shared" si="1"/>
        <v/>
      </c>
      <c r="M51" s="20" t="str">
        <f ca="1">IFERROR(__xludf.DUMMYFUNCTION("IF(ISBLANK(B51),"""",IFERROR(INDEX(GOOGLEFINANCE(B51,""price"",WORKDAY(TODAY(),-$M$17)),2,2),""""))"),"")</f>
        <v/>
      </c>
      <c r="N51" s="19" t="str">
        <f ca="1">IFERROR(__xludf.DUMMYFUNCTION("IF(ISBLANK(B51),"""",IFERROR(F51/(INDEX(GOOGLEFINANCE(B51,""price"",WORKDAY(TODAY(),-$N$17)),2,2))-1,""""))"),"")</f>
        <v/>
      </c>
      <c r="O51" s="21" t="str">
        <f ca="1">IFERROR(__xludf.DUMMYFUNCTION("IF(ISBLANK(B51),"""",IFERROR(IFERROR(""$""&amp;Trunc(GOOGLEFINANCE(B51,""Marketcap"")/1000000000)&amp;"" B"",""$""&amp;Trunc(IMPORTXML(""https://coinmarketcap.com/currencies/""&amp;B51,$W$4)/1000000000)&amp;"" B""),""-""))"),"")</f>
        <v/>
      </c>
      <c r="P51" s="8" t="str">
        <f ca="1">IFERROR(__xludf.DUMMYFUNCTION("IF(ISBLANK(B51),"""",IFERROR(GOOGLEFINANCE(B51,""pe""),""-""))"),"")</f>
        <v/>
      </c>
      <c r="Q51" s="22" t="str">
        <f ca="1">IFERROR(__xludf.DUMMYFUNCTION("SPARKLINE(INDEX(GOOGLEFINANCE(B51,""price"",workday(today(),-$Q$17),today()),,2),{""charttype"",""column"";""color"",""green""})
"),"#N/A")</f>
        <v>#N/A</v>
      </c>
      <c r="R51" s="23" t="str">
        <f t="shared" si="2"/>
        <v>Info</v>
      </c>
      <c r="S51" s="24"/>
      <c r="T51" s="25"/>
      <c r="U51" s="8"/>
      <c r="V51" s="8"/>
      <c r="W51" s="8"/>
      <c r="X51" s="8"/>
      <c r="Y51" s="8"/>
      <c r="Z51" s="8"/>
      <c r="AA51" s="8"/>
      <c r="AB51" s="8"/>
      <c r="AC51" s="8"/>
    </row>
    <row r="52" spans="1:29" ht="13" x14ac:dyDescent="0.25">
      <c r="A52" s="8"/>
      <c r="B52" s="16"/>
      <c r="C52" s="17" t="str">
        <f ca="1">IFERROR(__xludf.DUMMYFUNCTION("GOOGLEFINANCE(B52,""name"")
"),"#N/A")</f>
        <v>#N/A</v>
      </c>
      <c r="D52" s="26" t="str">
        <f ca="1">IFERROR(__xludf.DUMMYFUNCTION("IF(ISBLANK(B52),"""",IFERROR(SPARKLINE(INDEX(GOOGLEFINANCE(B52,""price"",TODAY()-$D$17,TODAY()),,2),{""charttype"",""column"";""color"",""17a7e0""}),""""))"),"")</f>
        <v/>
      </c>
      <c r="E52" s="27"/>
      <c r="F52" s="18" t="str">
        <f ca="1">IFERROR(__xludf.DUMMYFUNCTION("IFERROR(IF(B52="""","""",GOOGLEFINANCE(B52)),IFERROR(GOOGLEFINANCE(""CURRENCY:""&amp;""USD""&amp;#REF!)*IMPORTXML(""https://coinmarketcap.com/currencies/""&amp;B52,$W$3),IMPORTXML(""https://coinmarketcap.com/currencies/""&amp;B52,$W$3)))"),"")</f>
        <v/>
      </c>
      <c r="G52" s="19" t="str">
        <f ca="1">IFERROR(__xludf.DUMMYFUNCTION("IFERROR(IF(ISBLANK(B52),"""",GOOGLEFINANCE(B52,""changepct"")/100),"""")"),"")</f>
        <v/>
      </c>
      <c r="H52" s="19" t="str">
        <f ca="1">IFERROR(__xludf.DUMMYFUNCTION("IF(ISBLANK(B52),"""",IFERROR((GOOGLEFINANCE(B52,""price"")/INDEX(GOOGLEFINANCE(B52,""price"",DATEVALUE(TODAY()-365) ),2,2)-1),""""))"),"")</f>
        <v/>
      </c>
      <c r="I52" s="20" t="str">
        <f ca="1">IFERROR(__xludf.DUMMYFUNCTION("IFERROR(IF(ISBLANK(B52),"""",GOOGLEFINANCE(B52,""low52"")),"""")"),"")</f>
        <v/>
      </c>
      <c r="J52" s="19" t="str">
        <f t="shared" si="0"/>
        <v/>
      </c>
      <c r="K52" s="20" t="str">
        <f ca="1">IFERROR(__xludf.DUMMYFUNCTION("IFERROR(IF(ISBLANK(B52),"""",GOOGLEFINANCE(B52,""high52"")),"""")"),"")</f>
        <v/>
      </c>
      <c r="L52" s="19" t="str">
        <f t="shared" si="1"/>
        <v/>
      </c>
      <c r="M52" s="20" t="str">
        <f ca="1">IFERROR(__xludf.DUMMYFUNCTION("IF(ISBLANK(B52),"""",IFERROR(INDEX(GOOGLEFINANCE(B52,""price"",WORKDAY(TODAY(),-$M$17)),2,2),""""))"),"")</f>
        <v/>
      </c>
      <c r="N52" s="19" t="str">
        <f ca="1">IFERROR(__xludf.DUMMYFUNCTION("IF(ISBLANK(B52),"""",IFERROR(F52/(INDEX(GOOGLEFINANCE(B52,""price"",WORKDAY(TODAY(),-$N$17)),2,2))-1,""""))"),"")</f>
        <v/>
      </c>
      <c r="O52" s="21" t="str">
        <f ca="1">IFERROR(__xludf.DUMMYFUNCTION("IF(ISBLANK(B52),"""",IFERROR(IFERROR(""$""&amp;Trunc(GOOGLEFINANCE(B52,""Marketcap"")/1000000000)&amp;"" B"",""$""&amp;Trunc(IMPORTXML(""https://coinmarketcap.com/currencies/""&amp;B52,$W$4)/1000000000)&amp;"" B""),""-""))"),"")</f>
        <v/>
      </c>
      <c r="P52" s="8" t="str">
        <f ca="1">IFERROR(__xludf.DUMMYFUNCTION("IF(ISBLANK(B52),"""",IFERROR(GOOGLEFINANCE(B52,""pe""),""-""))"),"")</f>
        <v/>
      </c>
      <c r="Q52" s="22" t="str">
        <f ca="1">IFERROR(__xludf.DUMMYFUNCTION("SPARKLINE(INDEX(GOOGLEFINANCE(B52,""price"",workday(today(),-$Q$17),today()),,2),{""charttype"",""column"";""color"",""green""})
"),"#N/A")</f>
        <v>#N/A</v>
      </c>
      <c r="R52" s="23" t="str">
        <f t="shared" si="2"/>
        <v>Info</v>
      </c>
      <c r="S52" s="24"/>
      <c r="T52" s="25"/>
      <c r="U52" s="8"/>
      <c r="V52" s="8"/>
      <c r="W52" s="8"/>
      <c r="X52" s="8"/>
      <c r="Y52" s="8"/>
      <c r="Z52" s="8"/>
      <c r="AA52" s="8"/>
      <c r="AB52" s="8"/>
      <c r="AC52" s="8"/>
    </row>
    <row r="53" spans="1:29" ht="13" x14ac:dyDescent="0.25">
      <c r="A53" s="8"/>
      <c r="B53" s="16"/>
      <c r="C53" s="17" t="str">
        <f ca="1">IFERROR(__xludf.DUMMYFUNCTION("GOOGLEFINANCE(B53,""name"")
"),"#N/A")</f>
        <v>#N/A</v>
      </c>
      <c r="D53" s="26" t="str">
        <f ca="1">IFERROR(__xludf.DUMMYFUNCTION("IF(ISBLANK(B53),"""",IFERROR(SPARKLINE(INDEX(GOOGLEFINANCE(B53,""price"",TODAY()-$D$17,TODAY()),,2),{""charttype"",""column"";""color"",""17a7e0""}),""""))"),"")</f>
        <v/>
      </c>
      <c r="E53" s="27"/>
      <c r="F53" s="18" t="str">
        <f ca="1">IFERROR(__xludf.DUMMYFUNCTION("IFERROR(IF(B53="""","""",GOOGLEFINANCE(B53)),IFERROR(GOOGLEFINANCE(""CURRENCY:""&amp;""USD""&amp;#REF!)*IMPORTXML(""https://coinmarketcap.com/currencies/""&amp;B53,$W$3),IMPORTXML(""https://coinmarketcap.com/currencies/""&amp;B53,$W$3)))"),"")</f>
        <v/>
      </c>
      <c r="G53" s="19" t="str">
        <f ca="1">IFERROR(__xludf.DUMMYFUNCTION("IFERROR(IF(ISBLANK(B53),"""",GOOGLEFINANCE(B53,""changepct"")/100),"""")"),"")</f>
        <v/>
      </c>
      <c r="H53" s="19" t="str">
        <f ca="1">IFERROR(__xludf.DUMMYFUNCTION("IF(ISBLANK(B53),"""",IFERROR((GOOGLEFINANCE(B53,""price"")/INDEX(GOOGLEFINANCE(B53,""price"",DATEVALUE(TODAY()-365) ),2,2)-1),""""))"),"")</f>
        <v/>
      </c>
      <c r="I53" s="20" t="str">
        <f ca="1">IFERROR(__xludf.DUMMYFUNCTION("IFERROR(IF(ISBLANK(B53),"""",GOOGLEFINANCE(B53,""low52"")),"""")"),"")</f>
        <v/>
      </c>
      <c r="J53" s="19" t="str">
        <f t="shared" si="0"/>
        <v/>
      </c>
      <c r="K53" s="20" t="str">
        <f ca="1">IFERROR(__xludf.DUMMYFUNCTION("IFERROR(IF(ISBLANK(B53),"""",GOOGLEFINANCE(B53,""high52"")),"""")"),"")</f>
        <v/>
      </c>
      <c r="L53" s="19" t="str">
        <f t="shared" si="1"/>
        <v/>
      </c>
      <c r="M53" s="20" t="str">
        <f ca="1">IFERROR(__xludf.DUMMYFUNCTION("IF(ISBLANK(B53),"""",IFERROR(INDEX(GOOGLEFINANCE(B53,""price"",WORKDAY(TODAY(),-$M$17)),2,2),""""))"),"")</f>
        <v/>
      </c>
      <c r="N53" s="19" t="str">
        <f ca="1">IFERROR(__xludf.DUMMYFUNCTION("IF(ISBLANK(B53),"""",IFERROR(F53/(INDEX(GOOGLEFINANCE(B53,""price"",WORKDAY(TODAY(),-$N$17)),2,2))-1,""""))"),"")</f>
        <v/>
      </c>
      <c r="O53" s="21" t="str">
        <f ca="1">IFERROR(__xludf.DUMMYFUNCTION("IF(ISBLANK(B53),"""",IFERROR(IFERROR(""$""&amp;Trunc(GOOGLEFINANCE(B53,""Marketcap"")/1000000000)&amp;"" B"",""$""&amp;Trunc(IMPORTXML(""https://coinmarketcap.com/currencies/""&amp;B53,$W$4)/1000000000)&amp;"" B""),""-""))"),"")</f>
        <v/>
      </c>
      <c r="P53" s="8" t="str">
        <f ca="1">IFERROR(__xludf.DUMMYFUNCTION("IF(ISBLANK(B53),"""",IFERROR(GOOGLEFINANCE(B53,""pe""),""-""))"),"")</f>
        <v/>
      </c>
      <c r="Q53" s="22" t="str">
        <f ca="1">IFERROR(__xludf.DUMMYFUNCTION("SPARKLINE(INDEX(GOOGLEFINANCE(B53,""price"",workday(today(),-$Q$17),today()),,2),{""charttype"",""column"";""color"",""green""})
"),"#N/A")</f>
        <v>#N/A</v>
      </c>
      <c r="R53" s="23" t="str">
        <f t="shared" si="2"/>
        <v>Info</v>
      </c>
      <c r="S53" s="24"/>
      <c r="T53" s="25"/>
      <c r="U53" s="8"/>
      <c r="V53" s="8"/>
      <c r="W53" s="8"/>
      <c r="X53" s="8"/>
      <c r="Y53" s="8"/>
      <c r="Z53" s="8"/>
      <c r="AA53" s="8"/>
      <c r="AB53" s="8"/>
      <c r="AC53" s="8"/>
    </row>
    <row r="54" spans="1:29" ht="13" x14ac:dyDescent="0.25">
      <c r="A54" s="8"/>
      <c r="B54" s="16"/>
      <c r="C54" s="17" t="str">
        <f ca="1">IFERROR(__xludf.DUMMYFUNCTION("GOOGLEFINANCE(B54,""name"")
"),"#N/A")</f>
        <v>#N/A</v>
      </c>
      <c r="D54" s="26" t="str">
        <f ca="1">IFERROR(__xludf.DUMMYFUNCTION("IF(ISBLANK(B54),"""",IFERROR(SPARKLINE(INDEX(GOOGLEFINANCE(B54,""price"",TODAY()-$D$17,TODAY()),,2),{""charttype"",""column"";""color"",""17a7e0""}),""""))"),"")</f>
        <v/>
      </c>
      <c r="E54" s="27"/>
      <c r="F54" s="18" t="str">
        <f ca="1">IFERROR(__xludf.DUMMYFUNCTION("IFERROR(IF(B54="""","""",GOOGLEFINANCE(B54)),IFERROR(GOOGLEFINANCE(""CURRENCY:""&amp;""USD""&amp;#REF!)*IMPORTXML(""https://coinmarketcap.com/currencies/""&amp;B54,$W$3),IMPORTXML(""https://coinmarketcap.com/currencies/""&amp;B54,$W$3)))"),"")</f>
        <v/>
      </c>
      <c r="G54" s="19" t="str">
        <f ca="1">IFERROR(__xludf.DUMMYFUNCTION("IFERROR(IF(ISBLANK(B54),"""",GOOGLEFINANCE(B54,""changepct"")/100),"""")"),"")</f>
        <v/>
      </c>
      <c r="H54" s="19" t="str">
        <f ca="1">IFERROR(__xludf.DUMMYFUNCTION("IF(ISBLANK(B54),"""",IFERROR((GOOGLEFINANCE(B54,""price"")/INDEX(GOOGLEFINANCE(B54,""price"",DATEVALUE(TODAY()-365) ),2,2)-1),""""))"),"")</f>
        <v/>
      </c>
      <c r="I54" s="20" t="str">
        <f ca="1">IFERROR(__xludf.DUMMYFUNCTION("IFERROR(IF(ISBLANK(B54),"""",GOOGLEFINANCE(B54,""low52"")),"""")"),"")</f>
        <v/>
      </c>
      <c r="J54" s="19" t="str">
        <f t="shared" si="0"/>
        <v/>
      </c>
      <c r="K54" s="20" t="str">
        <f ca="1">IFERROR(__xludf.DUMMYFUNCTION("IFERROR(IF(ISBLANK(B54),"""",GOOGLEFINANCE(B54,""high52"")),"""")"),"")</f>
        <v/>
      </c>
      <c r="L54" s="19" t="str">
        <f t="shared" si="1"/>
        <v/>
      </c>
      <c r="M54" s="20" t="str">
        <f ca="1">IFERROR(__xludf.DUMMYFUNCTION("IF(ISBLANK(B54),"""",IFERROR(INDEX(GOOGLEFINANCE(B54,""price"",WORKDAY(TODAY(),-$M$17)),2,2),""""))"),"")</f>
        <v/>
      </c>
      <c r="N54" s="19" t="str">
        <f ca="1">IFERROR(__xludf.DUMMYFUNCTION("IF(ISBLANK(B54),"""",IFERROR(F54/(INDEX(GOOGLEFINANCE(B54,""price"",WORKDAY(TODAY(),-$N$17)),2,2))-1,""""))"),"")</f>
        <v/>
      </c>
      <c r="O54" s="21" t="str">
        <f ca="1">IFERROR(__xludf.DUMMYFUNCTION("IF(ISBLANK(B54),"""",IFERROR(IFERROR(""$""&amp;Trunc(GOOGLEFINANCE(B54,""Marketcap"")/1000000000)&amp;"" B"",""$""&amp;Trunc(IMPORTXML(""https://coinmarketcap.com/currencies/""&amp;B54,$W$4)/1000000000)&amp;"" B""),""-""))"),"")</f>
        <v/>
      </c>
      <c r="P54" s="8" t="str">
        <f ca="1">IFERROR(__xludf.DUMMYFUNCTION("IF(ISBLANK(B54),"""",IFERROR(GOOGLEFINANCE(B54,""pe""),""-""))"),"")</f>
        <v/>
      </c>
      <c r="Q54" s="22" t="str">
        <f ca="1">IFERROR(__xludf.DUMMYFUNCTION("SPARKLINE(INDEX(GOOGLEFINANCE(B54,""price"",workday(today(),-$Q$17),today()),,2),{""charttype"",""column"";""color"",""green""})
"),"#N/A")</f>
        <v>#N/A</v>
      </c>
      <c r="R54" s="23" t="str">
        <f t="shared" si="2"/>
        <v>Info</v>
      </c>
      <c r="S54" s="24"/>
      <c r="T54" s="25"/>
      <c r="U54" s="8"/>
      <c r="V54" s="8"/>
      <c r="W54" s="8"/>
      <c r="X54" s="8"/>
      <c r="Y54" s="8"/>
      <c r="Z54" s="8"/>
      <c r="AA54" s="8"/>
      <c r="AB54" s="8"/>
      <c r="AC54" s="8"/>
    </row>
    <row r="55" spans="1:29" ht="13" x14ac:dyDescent="0.25">
      <c r="A55" s="8"/>
      <c r="B55" s="16"/>
      <c r="C55" s="17" t="str">
        <f ca="1">IFERROR(__xludf.DUMMYFUNCTION("GOOGLEFINANCE(B55,""name"")
"),"#N/A")</f>
        <v>#N/A</v>
      </c>
      <c r="D55" s="26" t="str">
        <f ca="1">IFERROR(__xludf.DUMMYFUNCTION("IF(ISBLANK(B55),"""",IFERROR(SPARKLINE(INDEX(GOOGLEFINANCE(B55,""price"",TODAY()-$D$17,TODAY()),,2),{""charttype"",""column"";""color"",""17a7e0""}),""""))"),"")</f>
        <v/>
      </c>
      <c r="E55" s="27"/>
      <c r="F55" s="18" t="str">
        <f ca="1">IFERROR(__xludf.DUMMYFUNCTION("IFERROR(IF(B55="""","""",GOOGLEFINANCE(B55)),IFERROR(GOOGLEFINANCE(""CURRENCY:""&amp;""USD""&amp;#REF!)*IMPORTXML(""https://coinmarketcap.com/currencies/""&amp;B55,$W$3),IMPORTXML(""https://coinmarketcap.com/currencies/""&amp;B55,$W$3)))"),"")</f>
        <v/>
      </c>
      <c r="G55" s="19" t="str">
        <f ca="1">IFERROR(__xludf.DUMMYFUNCTION("IFERROR(IF(ISBLANK(B55),"""",GOOGLEFINANCE(B55,""changepct"")/100),"""")"),"")</f>
        <v/>
      </c>
      <c r="H55" s="19" t="str">
        <f ca="1">IFERROR(__xludf.DUMMYFUNCTION("IF(ISBLANK(B55),"""",IFERROR((GOOGLEFINANCE(B55,""price"")/INDEX(GOOGLEFINANCE(B55,""price"",DATEVALUE(TODAY()-365) ),2,2)-1),""""))"),"")</f>
        <v/>
      </c>
      <c r="I55" s="20" t="str">
        <f ca="1">IFERROR(__xludf.DUMMYFUNCTION("IFERROR(IF(ISBLANK(B55),"""",GOOGLEFINANCE(B55,""low52"")),"""")"),"")</f>
        <v/>
      </c>
      <c r="J55" s="19" t="str">
        <f t="shared" si="0"/>
        <v/>
      </c>
      <c r="K55" s="20" t="str">
        <f ca="1">IFERROR(__xludf.DUMMYFUNCTION("IFERROR(IF(ISBLANK(B55),"""",GOOGLEFINANCE(B55,""high52"")),"""")"),"")</f>
        <v/>
      </c>
      <c r="L55" s="19" t="str">
        <f t="shared" si="1"/>
        <v/>
      </c>
      <c r="M55" s="20" t="str">
        <f ca="1">IFERROR(__xludf.DUMMYFUNCTION("IF(ISBLANK(B55),"""",IFERROR(INDEX(GOOGLEFINANCE(B55,""price"",WORKDAY(TODAY(),-$M$17)),2,2),""""))"),"")</f>
        <v/>
      </c>
      <c r="N55" s="19" t="str">
        <f ca="1">IFERROR(__xludf.DUMMYFUNCTION("IF(ISBLANK(B55),"""",IFERROR(F55/(INDEX(GOOGLEFINANCE(B55,""price"",WORKDAY(TODAY(),-$N$17)),2,2))-1,""""))"),"")</f>
        <v/>
      </c>
      <c r="O55" s="21" t="str">
        <f ca="1">IFERROR(__xludf.DUMMYFUNCTION("IF(ISBLANK(B55),"""",IFERROR(IFERROR(""$""&amp;Trunc(GOOGLEFINANCE(B55,""Marketcap"")/1000000000)&amp;"" B"",""$""&amp;Trunc(IMPORTXML(""https://coinmarketcap.com/currencies/""&amp;B55,$W$4)/1000000000)&amp;"" B""),""-""))"),"")</f>
        <v/>
      </c>
      <c r="P55" s="8" t="str">
        <f ca="1">IFERROR(__xludf.DUMMYFUNCTION("IF(ISBLANK(B55),"""",IFERROR(GOOGLEFINANCE(B55,""pe""),""-""))"),"")</f>
        <v/>
      </c>
      <c r="Q55" s="22" t="str">
        <f ca="1">IFERROR(__xludf.DUMMYFUNCTION("SPARKLINE(INDEX(GOOGLEFINANCE(B55,""price"",workday(today(),-$Q$17),today()),,2),{""charttype"",""column"";""color"",""green""})
"),"#N/A")</f>
        <v>#N/A</v>
      </c>
      <c r="R55" s="23" t="str">
        <f t="shared" si="2"/>
        <v>Info</v>
      </c>
      <c r="S55" s="24"/>
      <c r="T55" s="25"/>
      <c r="U55" s="8"/>
      <c r="V55" s="8"/>
      <c r="W55" s="8"/>
      <c r="X55" s="8"/>
      <c r="Y55" s="8"/>
      <c r="Z55" s="8"/>
      <c r="AA55" s="8"/>
      <c r="AB55" s="8"/>
      <c r="AC55" s="8"/>
    </row>
    <row r="56" spans="1:29" ht="13" x14ac:dyDescent="0.25">
      <c r="A56" s="8"/>
      <c r="B56" s="16"/>
      <c r="C56" s="17" t="str">
        <f ca="1">IFERROR(__xludf.DUMMYFUNCTION("GOOGLEFINANCE(B56,""name"")
"),"#N/A")</f>
        <v>#N/A</v>
      </c>
      <c r="D56" s="26" t="str">
        <f ca="1">IFERROR(__xludf.DUMMYFUNCTION("IF(ISBLANK(B56),"""",IFERROR(SPARKLINE(INDEX(GOOGLEFINANCE(B56,""price"",TODAY()-$D$17,TODAY()),,2),{""charttype"",""column"";""color"",""17a7e0""}),""""))"),"")</f>
        <v/>
      </c>
      <c r="E56" s="27"/>
      <c r="F56" s="18" t="str">
        <f ca="1">IFERROR(__xludf.DUMMYFUNCTION("IFERROR(IF(B56="""","""",GOOGLEFINANCE(B56)),IFERROR(GOOGLEFINANCE(""CURRENCY:""&amp;""USD""&amp;#REF!)*IMPORTXML(""https://coinmarketcap.com/currencies/""&amp;B56,$W$3),IMPORTXML(""https://coinmarketcap.com/currencies/""&amp;B56,$W$3)))"),"")</f>
        <v/>
      </c>
      <c r="G56" s="19" t="str">
        <f ca="1">IFERROR(__xludf.DUMMYFUNCTION("IFERROR(IF(ISBLANK(B56),"""",GOOGLEFINANCE(B56,""changepct"")/100),"""")"),"")</f>
        <v/>
      </c>
      <c r="H56" s="19" t="str">
        <f ca="1">IFERROR(__xludf.DUMMYFUNCTION("IF(ISBLANK(B56),"""",IFERROR((GOOGLEFINANCE(B56,""price"")/INDEX(GOOGLEFINANCE(B56,""price"",DATEVALUE(TODAY()-365) ),2,2)-1),""""))"),"")</f>
        <v/>
      </c>
      <c r="I56" s="20" t="str">
        <f ca="1">IFERROR(__xludf.DUMMYFUNCTION("IFERROR(IF(ISBLANK(B56),"""",GOOGLEFINANCE(B56,""low52"")),"""")"),"")</f>
        <v/>
      </c>
      <c r="J56" s="19" t="str">
        <f t="shared" si="0"/>
        <v/>
      </c>
      <c r="K56" s="20" t="str">
        <f ca="1">IFERROR(__xludf.DUMMYFUNCTION("IFERROR(IF(ISBLANK(B56),"""",GOOGLEFINANCE(B56,""high52"")),"""")"),"")</f>
        <v/>
      </c>
      <c r="L56" s="19" t="str">
        <f t="shared" si="1"/>
        <v/>
      </c>
      <c r="M56" s="20" t="str">
        <f ca="1">IFERROR(__xludf.DUMMYFUNCTION("IF(ISBLANK(B56),"""",IFERROR(INDEX(GOOGLEFINANCE(B56,""price"",WORKDAY(TODAY(),-$M$17)),2,2),""""))"),"")</f>
        <v/>
      </c>
      <c r="N56" s="19" t="str">
        <f ca="1">IFERROR(__xludf.DUMMYFUNCTION("IF(ISBLANK(B56),"""",IFERROR(F56/(INDEX(GOOGLEFINANCE(B56,""price"",WORKDAY(TODAY(),-$N$17)),2,2))-1,""""))"),"")</f>
        <v/>
      </c>
      <c r="O56" s="21" t="str">
        <f ca="1">IFERROR(__xludf.DUMMYFUNCTION("IF(ISBLANK(B56),"""",IFERROR(IFERROR(""$""&amp;Trunc(GOOGLEFINANCE(B56,""Marketcap"")/1000000000)&amp;"" B"",""$""&amp;Trunc(IMPORTXML(""https://coinmarketcap.com/currencies/""&amp;B56,$W$4)/1000000000)&amp;"" B""),""-""))"),"")</f>
        <v/>
      </c>
      <c r="P56" s="8" t="str">
        <f ca="1">IFERROR(__xludf.DUMMYFUNCTION("IF(ISBLANK(B56),"""",IFERROR(GOOGLEFINANCE(B56,""pe""),""-""))"),"")</f>
        <v/>
      </c>
      <c r="Q56" s="22" t="str">
        <f ca="1">IFERROR(__xludf.DUMMYFUNCTION("SPARKLINE(INDEX(GOOGLEFINANCE(B56,""price"",workday(today(),-$Q$17),today()),,2),{""charttype"",""column"";""color"",""green""})
"),"#N/A")</f>
        <v>#N/A</v>
      </c>
      <c r="R56" s="23" t="str">
        <f t="shared" si="2"/>
        <v>Info</v>
      </c>
      <c r="S56" s="24"/>
      <c r="T56" s="25"/>
      <c r="U56" s="8"/>
      <c r="V56" s="8"/>
      <c r="W56" s="8"/>
      <c r="X56" s="8"/>
      <c r="Y56" s="8"/>
      <c r="Z56" s="8"/>
      <c r="AA56" s="8"/>
      <c r="AB56" s="8"/>
      <c r="AC56" s="8"/>
    </row>
    <row r="57" spans="1:29" ht="13" x14ac:dyDescent="0.25">
      <c r="A57" s="8"/>
      <c r="B57" s="16"/>
      <c r="C57" s="17" t="str">
        <f ca="1">IFERROR(__xludf.DUMMYFUNCTION("GOOGLEFINANCE(B57,""name"")
"),"#N/A")</f>
        <v>#N/A</v>
      </c>
      <c r="D57" s="26" t="str">
        <f ca="1">IFERROR(__xludf.DUMMYFUNCTION("IF(ISBLANK(B57),"""",IFERROR(SPARKLINE(INDEX(GOOGLEFINANCE(B57,""price"",TODAY()-$D$17,TODAY()),,2),{""charttype"",""column"";""color"",""17a7e0""}),""""))"),"")</f>
        <v/>
      </c>
      <c r="E57" s="27"/>
      <c r="F57" s="18" t="str">
        <f ca="1">IFERROR(__xludf.DUMMYFUNCTION("IFERROR(IF(B57="""","""",GOOGLEFINANCE(B57)),IFERROR(GOOGLEFINANCE(""CURRENCY:""&amp;""USD""&amp;#REF!)*IMPORTXML(""https://coinmarketcap.com/currencies/""&amp;B57,$W$3),IMPORTXML(""https://coinmarketcap.com/currencies/""&amp;B57,$W$3)))"),"")</f>
        <v/>
      </c>
      <c r="G57" s="19" t="str">
        <f ca="1">IFERROR(__xludf.DUMMYFUNCTION("IFERROR(IF(ISBLANK(B57),"""",GOOGLEFINANCE(B57,""changepct"")/100),"""")"),"")</f>
        <v/>
      </c>
      <c r="H57" s="19" t="str">
        <f ca="1">IFERROR(__xludf.DUMMYFUNCTION("IF(ISBLANK(B57),"""",IFERROR((GOOGLEFINANCE(B57,""price"")/INDEX(GOOGLEFINANCE(B57,""price"",DATEVALUE(TODAY()-365) ),2,2)-1),""""))"),"")</f>
        <v/>
      </c>
      <c r="I57" s="20" t="str">
        <f ca="1">IFERROR(__xludf.DUMMYFUNCTION("IFERROR(IF(ISBLANK(B57),"""",GOOGLEFINANCE(B57,""low52"")),"""")"),"")</f>
        <v/>
      </c>
      <c r="J57" s="19" t="str">
        <f t="shared" si="0"/>
        <v/>
      </c>
      <c r="K57" s="20" t="str">
        <f ca="1">IFERROR(__xludf.DUMMYFUNCTION("IFERROR(IF(ISBLANK(B57),"""",GOOGLEFINANCE(B57,""high52"")),"""")"),"")</f>
        <v/>
      </c>
      <c r="L57" s="19" t="str">
        <f t="shared" si="1"/>
        <v/>
      </c>
      <c r="M57" s="20" t="str">
        <f ca="1">IFERROR(__xludf.DUMMYFUNCTION("IF(ISBLANK(B57),"""",IFERROR(INDEX(GOOGLEFINANCE(B57,""price"",WORKDAY(TODAY(),-$M$17)),2,2),""""))"),"")</f>
        <v/>
      </c>
      <c r="N57" s="19" t="str">
        <f ca="1">IFERROR(__xludf.DUMMYFUNCTION("IF(ISBLANK(B57),"""",IFERROR(F57/(INDEX(GOOGLEFINANCE(B57,""price"",WORKDAY(TODAY(),-$N$17)),2,2))-1,""""))"),"")</f>
        <v/>
      </c>
      <c r="O57" s="21" t="str">
        <f ca="1">IFERROR(__xludf.DUMMYFUNCTION("IF(ISBLANK(B57),"""",IFERROR(IFERROR(""$""&amp;Trunc(GOOGLEFINANCE(B57,""Marketcap"")/1000000000)&amp;"" B"",""$""&amp;Trunc(IMPORTXML(""https://coinmarketcap.com/currencies/""&amp;B57,$W$4)/1000000000)&amp;"" B""),""-""))"),"")</f>
        <v/>
      </c>
      <c r="P57" s="8" t="str">
        <f ca="1">IFERROR(__xludf.DUMMYFUNCTION("IF(ISBLANK(B57),"""",IFERROR(GOOGLEFINANCE(B57,""pe""),""-""))"),"")</f>
        <v/>
      </c>
      <c r="Q57" s="22" t="str">
        <f ca="1">IFERROR(__xludf.DUMMYFUNCTION("SPARKLINE(INDEX(GOOGLEFINANCE(B57,""price"",workday(today(),-$Q$17),today()),,2),{""charttype"",""column"";""color"",""green""})
"),"#N/A")</f>
        <v>#N/A</v>
      </c>
      <c r="R57" s="23" t="str">
        <f t="shared" si="2"/>
        <v>Info</v>
      </c>
      <c r="S57" s="24"/>
      <c r="T57" s="25"/>
      <c r="U57" s="8"/>
      <c r="V57" s="8"/>
      <c r="W57" s="8"/>
      <c r="X57" s="8"/>
      <c r="Y57" s="8"/>
      <c r="Z57" s="8"/>
      <c r="AA57" s="8"/>
      <c r="AB57" s="8"/>
      <c r="AC57" s="8"/>
    </row>
    <row r="58" spans="1:29" ht="13" x14ac:dyDescent="0.25">
      <c r="A58" s="8"/>
      <c r="B58" s="16"/>
      <c r="C58" s="17" t="str">
        <f ca="1">IFERROR(__xludf.DUMMYFUNCTION("GOOGLEFINANCE(B58,""name"")
"),"#N/A")</f>
        <v>#N/A</v>
      </c>
      <c r="D58" s="26" t="str">
        <f ca="1">IFERROR(__xludf.DUMMYFUNCTION("IF(ISBLANK(B58),"""",IFERROR(SPARKLINE(INDEX(GOOGLEFINANCE(B58,""price"",TODAY()-$D$17,TODAY()),,2),{""charttype"",""column"";""color"",""17a7e0""}),""""))"),"")</f>
        <v/>
      </c>
      <c r="E58" s="27"/>
      <c r="F58" s="18" t="str">
        <f ca="1">IFERROR(__xludf.DUMMYFUNCTION("IFERROR(IF(B58="""","""",GOOGLEFINANCE(B58)),IFERROR(GOOGLEFINANCE(""CURRENCY:""&amp;""USD""&amp;#REF!)*IMPORTXML(""https://coinmarketcap.com/currencies/""&amp;B58,$W$3),IMPORTXML(""https://coinmarketcap.com/currencies/""&amp;B58,$W$3)))"),"")</f>
        <v/>
      </c>
      <c r="G58" s="19" t="str">
        <f ca="1">IFERROR(__xludf.DUMMYFUNCTION("IFERROR(IF(ISBLANK(B58),"""",GOOGLEFINANCE(B58,""changepct"")/100),"""")"),"")</f>
        <v/>
      </c>
      <c r="H58" s="19" t="str">
        <f ca="1">IFERROR(__xludf.DUMMYFUNCTION("IF(ISBLANK(B58),"""",IFERROR((GOOGLEFINANCE(B58,""price"")/INDEX(GOOGLEFINANCE(B58,""price"",DATEVALUE(TODAY()-365) ),2,2)-1),""""))"),"")</f>
        <v/>
      </c>
      <c r="I58" s="20" t="str">
        <f ca="1">IFERROR(__xludf.DUMMYFUNCTION("IFERROR(IF(ISBLANK(B58),"""",GOOGLEFINANCE(B58,""low52"")),"""")"),"")</f>
        <v/>
      </c>
      <c r="J58" s="19" t="str">
        <f t="shared" si="0"/>
        <v/>
      </c>
      <c r="K58" s="20" t="str">
        <f ca="1">IFERROR(__xludf.DUMMYFUNCTION("IFERROR(IF(ISBLANK(B58),"""",GOOGLEFINANCE(B58,""high52"")),"""")"),"")</f>
        <v/>
      </c>
      <c r="L58" s="19" t="str">
        <f t="shared" si="1"/>
        <v/>
      </c>
      <c r="M58" s="20" t="str">
        <f ca="1">IFERROR(__xludf.DUMMYFUNCTION("IF(ISBLANK(B58),"""",IFERROR(INDEX(GOOGLEFINANCE(B58,""price"",WORKDAY(TODAY(),-$M$17)),2,2),""""))"),"")</f>
        <v/>
      </c>
      <c r="N58" s="19" t="str">
        <f ca="1">IFERROR(__xludf.DUMMYFUNCTION("IF(ISBLANK(B58),"""",IFERROR(F58/(INDEX(GOOGLEFINANCE(B58,""price"",WORKDAY(TODAY(),-$N$17)),2,2))-1,""""))"),"")</f>
        <v/>
      </c>
      <c r="O58" s="21" t="str">
        <f ca="1">IFERROR(__xludf.DUMMYFUNCTION("IF(ISBLANK(B58),"""",IFERROR(IFERROR(""$""&amp;Trunc(GOOGLEFINANCE(B58,""Marketcap"")/1000000000)&amp;"" B"",""$""&amp;Trunc(IMPORTXML(""https://coinmarketcap.com/currencies/""&amp;B58,$W$4)/1000000000)&amp;"" B""),""-""))"),"")</f>
        <v/>
      </c>
      <c r="P58" s="8" t="str">
        <f ca="1">IFERROR(__xludf.DUMMYFUNCTION("IF(ISBLANK(B58),"""",IFERROR(GOOGLEFINANCE(B58,""pe""),""-""))"),"")</f>
        <v/>
      </c>
      <c r="Q58" s="22" t="str">
        <f ca="1">IFERROR(__xludf.DUMMYFUNCTION("SPARKLINE(INDEX(GOOGLEFINANCE(B58,""price"",workday(today(),-$Q$17),today()),,2),{""charttype"",""column"";""color"",""green""})
"),"#N/A")</f>
        <v>#N/A</v>
      </c>
      <c r="R58" s="23" t="str">
        <f t="shared" si="2"/>
        <v>Info</v>
      </c>
      <c r="S58" s="24"/>
      <c r="T58" s="25"/>
      <c r="U58" s="8"/>
      <c r="V58" s="8"/>
      <c r="W58" s="8"/>
      <c r="X58" s="8"/>
      <c r="Y58" s="8"/>
      <c r="Z58" s="8"/>
      <c r="AA58" s="8"/>
      <c r="AB58" s="8"/>
      <c r="AC58" s="8"/>
    </row>
    <row r="59" spans="1:29" ht="13" x14ac:dyDescent="0.25">
      <c r="A59" s="8"/>
      <c r="B59" s="16"/>
      <c r="C59" s="17" t="str">
        <f ca="1">IFERROR(__xludf.DUMMYFUNCTION("GOOGLEFINANCE(B59,""name"")
"),"#N/A")</f>
        <v>#N/A</v>
      </c>
      <c r="D59" s="26" t="str">
        <f ca="1">IFERROR(__xludf.DUMMYFUNCTION("IF(ISBLANK(B59),"""",IFERROR(SPARKLINE(INDEX(GOOGLEFINANCE(B59,""price"",TODAY()-$D$17,TODAY()),,2),{""charttype"",""column"";""color"",""17a7e0""}),""""))"),"")</f>
        <v/>
      </c>
      <c r="E59" s="27"/>
      <c r="F59" s="18" t="str">
        <f ca="1">IFERROR(__xludf.DUMMYFUNCTION("IFERROR(IF(B59="""","""",GOOGLEFINANCE(B59)),IFERROR(GOOGLEFINANCE(""CURRENCY:""&amp;""USD""&amp;#REF!)*IMPORTXML(""https://coinmarketcap.com/currencies/""&amp;B59,$W$3),IMPORTXML(""https://coinmarketcap.com/currencies/""&amp;B59,$W$3)))"),"")</f>
        <v/>
      </c>
      <c r="G59" s="19" t="str">
        <f ca="1">IFERROR(__xludf.DUMMYFUNCTION("IFERROR(IF(ISBLANK(B59),"""",GOOGLEFINANCE(B59,""changepct"")/100),"""")"),"")</f>
        <v/>
      </c>
      <c r="H59" s="19" t="str">
        <f ca="1">IFERROR(__xludf.DUMMYFUNCTION("IF(ISBLANK(B59),"""",IFERROR((GOOGLEFINANCE(B59,""price"")/INDEX(GOOGLEFINANCE(B59,""price"",DATEVALUE(TODAY()-365) ),2,2)-1),""""))"),"")</f>
        <v/>
      </c>
      <c r="I59" s="20" t="str">
        <f ca="1">IFERROR(__xludf.DUMMYFUNCTION("IFERROR(IF(ISBLANK(B59),"""",GOOGLEFINANCE(B59,""low52"")),"""")"),"")</f>
        <v/>
      </c>
      <c r="J59" s="19" t="str">
        <f t="shared" si="0"/>
        <v/>
      </c>
      <c r="K59" s="20" t="str">
        <f ca="1">IFERROR(__xludf.DUMMYFUNCTION("IFERROR(IF(ISBLANK(B59),"""",GOOGLEFINANCE(B59,""high52"")),"""")"),"")</f>
        <v/>
      </c>
      <c r="L59" s="19" t="str">
        <f t="shared" si="1"/>
        <v/>
      </c>
      <c r="M59" s="20" t="str">
        <f ca="1">IFERROR(__xludf.DUMMYFUNCTION("IF(ISBLANK(B59),"""",IFERROR(INDEX(GOOGLEFINANCE(B59,""price"",WORKDAY(TODAY(),-$M$17)),2,2),""""))"),"")</f>
        <v/>
      </c>
      <c r="N59" s="19" t="str">
        <f ca="1">IFERROR(__xludf.DUMMYFUNCTION("IF(ISBLANK(B59),"""",IFERROR(F59/(INDEX(GOOGLEFINANCE(B59,""price"",WORKDAY(TODAY(),-$N$17)),2,2))-1,""""))"),"")</f>
        <v/>
      </c>
      <c r="O59" s="21" t="str">
        <f ca="1">IFERROR(__xludf.DUMMYFUNCTION("IF(ISBLANK(B59),"""",IFERROR(IFERROR(""$""&amp;Trunc(GOOGLEFINANCE(B59,""Marketcap"")/1000000000)&amp;"" B"",""$""&amp;Trunc(IMPORTXML(""https://coinmarketcap.com/currencies/""&amp;B59,$W$4)/1000000000)&amp;"" B""),""-""))"),"")</f>
        <v/>
      </c>
      <c r="P59" s="8" t="str">
        <f ca="1">IFERROR(__xludf.DUMMYFUNCTION("IF(ISBLANK(B59),"""",IFERROR(GOOGLEFINANCE(B59,""pe""),""-""))"),"")</f>
        <v/>
      </c>
      <c r="Q59" s="22" t="str">
        <f ca="1">IFERROR(__xludf.DUMMYFUNCTION("SPARKLINE(INDEX(GOOGLEFINANCE(B59,""price"",workday(today(),-$Q$17),today()),,2),{""charttype"",""column"";""color"",""green""})
"),"#N/A")</f>
        <v>#N/A</v>
      </c>
      <c r="R59" s="23" t="str">
        <f t="shared" si="2"/>
        <v>Info</v>
      </c>
      <c r="S59" s="24"/>
      <c r="T59" s="25"/>
      <c r="U59" s="8"/>
      <c r="V59" s="8"/>
      <c r="W59" s="8"/>
      <c r="X59" s="8"/>
      <c r="Y59" s="8"/>
      <c r="Z59" s="8"/>
      <c r="AA59" s="8"/>
      <c r="AB59" s="8"/>
      <c r="AC59" s="8"/>
    </row>
    <row r="60" spans="1:29" ht="13" x14ac:dyDescent="0.25">
      <c r="A60" s="8"/>
      <c r="B60" s="16"/>
      <c r="C60" s="17" t="str">
        <f ca="1">IFERROR(__xludf.DUMMYFUNCTION("GOOGLEFINANCE(B60,""name"")
"),"#N/A")</f>
        <v>#N/A</v>
      </c>
      <c r="D60" s="26" t="str">
        <f ca="1">IFERROR(__xludf.DUMMYFUNCTION("IF(ISBLANK(B60),"""",IFERROR(SPARKLINE(INDEX(GOOGLEFINANCE(B60,""price"",TODAY()-$D$17,TODAY()),,2),{""charttype"",""column"";""color"",""17a7e0""}),""""))"),"")</f>
        <v/>
      </c>
      <c r="E60" s="27"/>
      <c r="F60" s="18" t="str">
        <f ca="1">IFERROR(__xludf.DUMMYFUNCTION("IFERROR(IF(B60="""","""",GOOGLEFINANCE(B60)),IFERROR(GOOGLEFINANCE(""CURRENCY:""&amp;""USD""&amp;#REF!)*IMPORTXML(""https://coinmarketcap.com/currencies/""&amp;B60,$W$3),IMPORTXML(""https://coinmarketcap.com/currencies/""&amp;B60,$W$3)))"),"")</f>
        <v/>
      </c>
      <c r="G60" s="19" t="str">
        <f ca="1">IFERROR(__xludf.DUMMYFUNCTION("IFERROR(IF(ISBLANK(B60),"""",GOOGLEFINANCE(B60,""changepct"")/100),"""")"),"")</f>
        <v/>
      </c>
      <c r="H60" s="19" t="str">
        <f ca="1">IFERROR(__xludf.DUMMYFUNCTION("IF(ISBLANK(B60),"""",IFERROR((GOOGLEFINANCE(B60,""price"")/INDEX(GOOGLEFINANCE(B60,""price"",DATEVALUE(TODAY()-365) ),2,2)-1),""""))"),"")</f>
        <v/>
      </c>
      <c r="I60" s="20" t="str">
        <f ca="1">IFERROR(__xludf.DUMMYFUNCTION("IFERROR(IF(ISBLANK(B60),"""",GOOGLEFINANCE(B60,""low52"")),"""")"),"")</f>
        <v/>
      </c>
      <c r="J60" s="19" t="str">
        <f t="shared" si="0"/>
        <v/>
      </c>
      <c r="K60" s="20" t="str">
        <f ca="1">IFERROR(__xludf.DUMMYFUNCTION("IFERROR(IF(ISBLANK(B60),"""",GOOGLEFINANCE(B60,""high52"")),"""")"),"")</f>
        <v/>
      </c>
      <c r="L60" s="19" t="str">
        <f t="shared" si="1"/>
        <v/>
      </c>
      <c r="M60" s="20" t="str">
        <f ca="1">IFERROR(__xludf.DUMMYFUNCTION("IF(ISBLANK(B60),"""",IFERROR(INDEX(GOOGLEFINANCE(B60,""price"",WORKDAY(TODAY(),-$M$17)),2,2),""""))"),"")</f>
        <v/>
      </c>
      <c r="N60" s="19" t="str">
        <f ca="1">IFERROR(__xludf.DUMMYFUNCTION("IF(ISBLANK(B60),"""",IFERROR(F60/(INDEX(GOOGLEFINANCE(B60,""price"",WORKDAY(TODAY(),-$N$17)),2,2))-1,""""))"),"")</f>
        <v/>
      </c>
      <c r="O60" s="21" t="str">
        <f ca="1">IFERROR(__xludf.DUMMYFUNCTION("IF(ISBLANK(B60),"""",IFERROR(IFERROR(""$""&amp;Trunc(GOOGLEFINANCE(B60,""Marketcap"")/1000000000)&amp;"" B"",""$""&amp;Trunc(IMPORTXML(""https://coinmarketcap.com/currencies/""&amp;B60,$W$4)/1000000000)&amp;"" B""),""-""))"),"")</f>
        <v/>
      </c>
      <c r="P60" s="8" t="str">
        <f ca="1">IFERROR(__xludf.DUMMYFUNCTION("IF(ISBLANK(B60),"""",IFERROR(GOOGLEFINANCE(B60,""pe""),""-""))"),"")</f>
        <v/>
      </c>
      <c r="Q60" s="22" t="str">
        <f ca="1">IFERROR(__xludf.DUMMYFUNCTION("SPARKLINE(INDEX(GOOGLEFINANCE(B60,""price"",workday(today(),-$Q$17),today()),,2),{""charttype"",""column"";""color"",""green""})
"),"#N/A")</f>
        <v>#N/A</v>
      </c>
      <c r="R60" s="23" t="str">
        <f t="shared" si="2"/>
        <v>Info</v>
      </c>
      <c r="S60" s="24"/>
      <c r="T60" s="25"/>
      <c r="U60" s="8"/>
      <c r="V60" s="8"/>
      <c r="W60" s="8"/>
      <c r="X60" s="8"/>
      <c r="Y60" s="8"/>
      <c r="Z60" s="8"/>
      <c r="AA60" s="8"/>
      <c r="AB60" s="8"/>
      <c r="AC60" s="8"/>
    </row>
    <row r="61" spans="1:29" ht="13" x14ac:dyDescent="0.25">
      <c r="A61" s="8"/>
      <c r="B61" s="16"/>
      <c r="C61" s="17" t="str">
        <f ca="1">IFERROR(__xludf.DUMMYFUNCTION("GOOGLEFINANCE(B61,""name"")
"),"#N/A")</f>
        <v>#N/A</v>
      </c>
      <c r="D61" s="26" t="str">
        <f ca="1">IFERROR(__xludf.DUMMYFUNCTION("IF(ISBLANK(B61),"""",IFERROR(SPARKLINE(INDEX(GOOGLEFINANCE(B61,""price"",TODAY()-$D$17,TODAY()),,2),{""charttype"",""column"";""color"",""17a7e0""}),""""))"),"")</f>
        <v/>
      </c>
      <c r="E61" s="27"/>
      <c r="F61" s="18" t="str">
        <f ca="1">IFERROR(__xludf.DUMMYFUNCTION("IFERROR(IF(B61="""","""",GOOGLEFINANCE(B61)),IFERROR(GOOGLEFINANCE(""CURRENCY:""&amp;""USD""&amp;#REF!)*IMPORTXML(""https://coinmarketcap.com/currencies/""&amp;B61,$W$3),IMPORTXML(""https://coinmarketcap.com/currencies/""&amp;B61,$W$3)))"),"")</f>
        <v/>
      </c>
      <c r="G61" s="19" t="str">
        <f ca="1">IFERROR(__xludf.DUMMYFUNCTION("IFERROR(IF(ISBLANK(B61),"""",GOOGLEFINANCE(B61,""changepct"")/100),"""")"),"")</f>
        <v/>
      </c>
      <c r="H61" s="19" t="str">
        <f ca="1">IFERROR(__xludf.DUMMYFUNCTION("IF(ISBLANK(B61),"""",IFERROR((GOOGLEFINANCE(B61,""price"")/INDEX(GOOGLEFINANCE(B61,""price"",DATEVALUE(TODAY()-365) ),2,2)-1),""""))"),"")</f>
        <v/>
      </c>
      <c r="I61" s="20" t="str">
        <f ca="1">IFERROR(__xludf.DUMMYFUNCTION("IFERROR(IF(ISBLANK(B61),"""",GOOGLEFINANCE(B61,""low52"")),"""")"),"")</f>
        <v/>
      </c>
      <c r="J61" s="19" t="str">
        <f t="shared" si="0"/>
        <v/>
      </c>
      <c r="K61" s="20" t="str">
        <f ca="1">IFERROR(__xludf.DUMMYFUNCTION("IFERROR(IF(ISBLANK(B61),"""",GOOGLEFINANCE(B61,""high52"")),"""")"),"")</f>
        <v/>
      </c>
      <c r="L61" s="19" t="str">
        <f t="shared" si="1"/>
        <v/>
      </c>
      <c r="M61" s="20" t="str">
        <f ca="1">IFERROR(__xludf.DUMMYFUNCTION("IF(ISBLANK(B61),"""",IFERROR(INDEX(GOOGLEFINANCE(B61,""price"",WORKDAY(TODAY(),-$M$17)),2,2),""""))"),"")</f>
        <v/>
      </c>
      <c r="N61" s="19" t="str">
        <f ca="1">IFERROR(__xludf.DUMMYFUNCTION("IF(ISBLANK(B61),"""",IFERROR(F61/(INDEX(GOOGLEFINANCE(B61,""price"",WORKDAY(TODAY(),-$N$17)),2,2))-1,""""))"),"")</f>
        <v/>
      </c>
      <c r="O61" s="21" t="str">
        <f ca="1">IFERROR(__xludf.DUMMYFUNCTION("IF(ISBLANK(B61),"""",IFERROR(IFERROR(""$""&amp;Trunc(GOOGLEFINANCE(B61,""Marketcap"")/1000000000)&amp;"" B"",""$""&amp;Trunc(IMPORTXML(""https://coinmarketcap.com/currencies/""&amp;B61,$W$4)/1000000000)&amp;"" B""),""-""))"),"")</f>
        <v/>
      </c>
      <c r="P61" s="8" t="str">
        <f ca="1">IFERROR(__xludf.DUMMYFUNCTION("IF(ISBLANK(B61),"""",IFERROR(GOOGLEFINANCE(B61,""pe""),""-""))"),"")</f>
        <v/>
      </c>
      <c r="Q61" s="22" t="str">
        <f ca="1">IFERROR(__xludf.DUMMYFUNCTION("SPARKLINE(INDEX(GOOGLEFINANCE(B61,""price"",workday(today(),-$Q$17),today()),,2),{""charttype"",""column"";""color"",""green""})
"),"#N/A")</f>
        <v>#N/A</v>
      </c>
      <c r="R61" s="23" t="str">
        <f t="shared" si="2"/>
        <v>Info</v>
      </c>
      <c r="S61" s="24"/>
      <c r="T61" s="25"/>
      <c r="U61" s="8"/>
      <c r="V61" s="8"/>
      <c r="W61" s="8"/>
      <c r="X61" s="8"/>
      <c r="Y61" s="8"/>
      <c r="Z61" s="8"/>
      <c r="AA61" s="8"/>
      <c r="AB61" s="8"/>
      <c r="AC61" s="8"/>
    </row>
    <row r="62" spans="1:29" ht="13" x14ac:dyDescent="0.25">
      <c r="A62" s="8"/>
      <c r="B62" s="16"/>
      <c r="C62" s="17" t="str">
        <f ca="1">IFERROR(__xludf.DUMMYFUNCTION("GOOGLEFINANCE(B62,""name"")
"),"#N/A")</f>
        <v>#N/A</v>
      </c>
      <c r="D62" s="26" t="str">
        <f ca="1">IFERROR(__xludf.DUMMYFUNCTION("IF(ISBLANK(B62),"""",IFERROR(SPARKLINE(INDEX(GOOGLEFINANCE(B62,""price"",TODAY()-$D$17,TODAY()),,2),{""charttype"",""column"";""color"",""17a7e0""}),""""))"),"")</f>
        <v/>
      </c>
      <c r="E62" s="27"/>
      <c r="F62" s="18" t="str">
        <f ca="1">IFERROR(__xludf.DUMMYFUNCTION("IFERROR(IF(B62="""","""",GOOGLEFINANCE(B62)),IFERROR(GOOGLEFINANCE(""CURRENCY:""&amp;""USD""&amp;#REF!)*IMPORTXML(""https://coinmarketcap.com/currencies/""&amp;B62,$W$3),IMPORTXML(""https://coinmarketcap.com/currencies/""&amp;B62,$W$3)))"),"")</f>
        <v/>
      </c>
      <c r="G62" s="19" t="str">
        <f ca="1">IFERROR(__xludf.DUMMYFUNCTION("IFERROR(IF(ISBLANK(B62),"""",GOOGLEFINANCE(B62,""changepct"")/100),"""")"),"")</f>
        <v/>
      </c>
      <c r="H62" s="19" t="str">
        <f ca="1">IFERROR(__xludf.DUMMYFUNCTION("IF(ISBLANK(B62),"""",IFERROR((GOOGLEFINANCE(B62,""price"")/INDEX(GOOGLEFINANCE(B62,""price"",DATEVALUE(TODAY()-365) ),2,2)-1),""""))"),"")</f>
        <v/>
      </c>
      <c r="I62" s="20" t="str">
        <f ca="1">IFERROR(__xludf.DUMMYFUNCTION("IFERROR(IF(ISBLANK(B62),"""",GOOGLEFINANCE(B62,""low52"")),"""")"),"")</f>
        <v/>
      </c>
      <c r="J62" s="19" t="str">
        <f t="shared" si="0"/>
        <v/>
      </c>
      <c r="K62" s="20" t="str">
        <f ca="1">IFERROR(__xludf.DUMMYFUNCTION("IFERROR(IF(ISBLANK(B62),"""",GOOGLEFINANCE(B62,""high52"")),"""")"),"")</f>
        <v/>
      </c>
      <c r="L62" s="19" t="str">
        <f t="shared" si="1"/>
        <v/>
      </c>
      <c r="M62" s="20" t="str">
        <f ca="1">IFERROR(__xludf.DUMMYFUNCTION("IF(ISBLANK(B62),"""",IFERROR(INDEX(GOOGLEFINANCE(B62,""price"",WORKDAY(TODAY(),-$M$17)),2,2),""""))"),"")</f>
        <v/>
      </c>
      <c r="N62" s="19" t="str">
        <f ca="1">IFERROR(__xludf.DUMMYFUNCTION("IF(ISBLANK(B62),"""",IFERROR(F62/(INDEX(GOOGLEFINANCE(B62,""price"",WORKDAY(TODAY(),-$N$17)),2,2))-1,""""))"),"")</f>
        <v/>
      </c>
      <c r="O62" s="21" t="str">
        <f ca="1">IFERROR(__xludf.DUMMYFUNCTION("IF(ISBLANK(B62),"""",IFERROR(IFERROR(""$""&amp;Trunc(GOOGLEFINANCE(B62,""Marketcap"")/1000000000)&amp;"" B"",""$""&amp;Trunc(IMPORTXML(""https://coinmarketcap.com/currencies/""&amp;B62,$W$4)/1000000000)&amp;"" B""),""-""))"),"")</f>
        <v/>
      </c>
      <c r="P62" s="8" t="str">
        <f ca="1">IFERROR(__xludf.DUMMYFUNCTION("IF(ISBLANK(B62),"""",IFERROR(GOOGLEFINANCE(B62,""pe""),""-""))"),"")</f>
        <v/>
      </c>
      <c r="Q62" s="22" t="str">
        <f ca="1">IFERROR(__xludf.DUMMYFUNCTION("SPARKLINE(INDEX(GOOGLEFINANCE(B62,""price"",workday(today(),-$Q$17),today()),,2),{""charttype"",""column"";""color"",""green""})
"),"#N/A")</f>
        <v>#N/A</v>
      </c>
      <c r="R62" s="23" t="str">
        <f t="shared" si="2"/>
        <v>Info</v>
      </c>
      <c r="S62" s="24"/>
      <c r="T62" s="25"/>
      <c r="U62" s="8"/>
      <c r="V62" s="8"/>
      <c r="W62" s="8"/>
      <c r="X62" s="8"/>
      <c r="Y62" s="8"/>
      <c r="Z62" s="8"/>
      <c r="AA62" s="8"/>
      <c r="AB62" s="8"/>
      <c r="AC62" s="8"/>
    </row>
    <row r="63" spans="1:29" ht="13" x14ac:dyDescent="0.25">
      <c r="A63" s="8"/>
      <c r="B63" s="16"/>
      <c r="C63" s="17" t="str">
        <f ca="1">IFERROR(__xludf.DUMMYFUNCTION("GOOGLEFINANCE(B63,""name"")
"),"#N/A")</f>
        <v>#N/A</v>
      </c>
      <c r="D63" s="26" t="str">
        <f ca="1">IFERROR(__xludf.DUMMYFUNCTION("IF(ISBLANK(B63),"""",IFERROR(SPARKLINE(INDEX(GOOGLEFINANCE(B63,""price"",TODAY()-$D$17,TODAY()),,2),{""charttype"",""column"";""color"",""17a7e0""}),""""))"),"")</f>
        <v/>
      </c>
      <c r="E63" s="27"/>
      <c r="F63" s="18" t="str">
        <f ca="1">IFERROR(__xludf.DUMMYFUNCTION("IFERROR(IF(B63="""","""",GOOGLEFINANCE(B63)),IFERROR(GOOGLEFINANCE(""CURRENCY:""&amp;""USD""&amp;#REF!)*IMPORTXML(""https://coinmarketcap.com/currencies/""&amp;B63,$W$3),IMPORTXML(""https://coinmarketcap.com/currencies/""&amp;B63,$W$3)))"),"")</f>
        <v/>
      </c>
      <c r="G63" s="19" t="str">
        <f ca="1">IFERROR(__xludf.DUMMYFUNCTION("IFERROR(IF(ISBLANK(B63),"""",GOOGLEFINANCE(B63,""changepct"")/100),"""")"),"")</f>
        <v/>
      </c>
      <c r="H63" s="19" t="str">
        <f ca="1">IFERROR(__xludf.DUMMYFUNCTION("IF(ISBLANK(B63),"""",IFERROR((GOOGLEFINANCE(B63,""price"")/INDEX(GOOGLEFINANCE(B63,""price"",DATEVALUE(TODAY()-365) ),2,2)-1),""""))"),"")</f>
        <v/>
      </c>
      <c r="I63" s="20" t="str">
        <f ca="1">IFERROR(__xludf.DUMMYFUNCTION("IFERROR(IF(ISBLANK(B63),"""",GOOGLEFINANCE(B63,""low52"")),"""")"),"")</f>
        <v/>
      </c>
      <c r="J63" s="19" t="str">
        <f t="shared" si="0"/>
        <v/>
      </c>
      <c r="K63" s="20" t="str">
        <f ca="1">IFERROR(__xludf.DUMMYFUNCTION("IFERROR(IF(ISBLANK(B63),"""",GOOGLEFINANCE(B63,""high52"")),"""")"),"")</f>
        <v/>
      </c>
      <c r="L63" s="19" t="str">
        <f t="shared" si="1"/>
        <v/>
      </c>
      <c r="M63" s="20" t="str">
        <f ca="1">IFERROR(__xludf.DUMMYFUNCTION("IF(ISBLANK(B63),"""",IFERROR(INDEX(GOOGLEFINANCE(B63,""price"",WORKDAY(TODAY(),-$M$17)),2,2),""""))"),"")</f>
        <v/>
      </c>
      <c r="N63" s="19" t="str">
        <f ca="1">IFERROR(__xludf.DUMMYFUNCTION("IF(ISBLANK(B63),"""",IFERROR(F63/(INDEX(GOOGLEFINANCE(B63,""price"",WORKDAY(TODAY(),-$N$17)),2,2))-1,""""))"),"")</f>
        <v/>
      </c>
      <c r="O63" s="21" t="str">
        <f ca="1">IFERROR(__xludf.DUMMYFUNCTION("IF(ISBLANK(B63),"""",IFERROR(IFERROR(""$""&amp;Trunc(GOOGLEFINANCE(B63,""Marketcap"")/1000000000)&amp;"" B"",""$""&amp;Trunc(IMPORTXML(""https://coinmarketcap.com/currencies/""&amp;B63,$W$4)/1000000000)&amp;"" B""),""-""))"),"")</f>
        <v/>
      </c>
      <c r="P63" s="8" t="str">
        <f ca="1">IFERROR(__xludf.DUMMYFUNCTION("IF(ISBLANK(B63),"""",IFERROR(GOOGLEFINANCE(B63,""pe""),""-""))"),"")</f>
        <v/>
      </c>
      <c r="Q63" s="22" t="str">
        <f ca="1">IFERROR(__xludf.DUMMYFUNCTION("SPARKLINE(INDEX(GOOGLEFINANCE(B63,""price"",workday(today(),-$Q$17),today()),,2),{""charttype"",""column"";""color"",""green""})
"),"#N/A")</f>
        <v>#N/A</v>
      </c>
      <c r="R63" s="23" t="str">
        <f t="shared" si="2"/>
        <v>Info</v>
      </c>
      <c r="S63" s="24"/>
      <c r="T63" s="25"/>
      <c r="U63" s="8"/>
      <c r="V63" s="8"/>
      <c r="W63" s="8"/>
      <c r="X63" s="8"/>
      <c r="Y63" s="8"/>
      <c r="Z63" s="8"/>
      <c r="AA63" s="8"/>
      <c r="AB63" s="8"/>
      <c r="AC63" s="8"/>
    </row>
    <row r="64" spans="1:29" ht="13" x14ac:dyDescent="0.25">
      <c r="A64" s="8"/>
      <c r="B64" s="16"/>
      <c r="C64" s="17" t="str">
        <f ca="1">IFERROR(__xludf.DUMMYFUNCTION("GOOGLEFINANCE(B64,""name"")
"),"#N/A")</f>
        <v>#N/A</v>
      </c>
      <c r="D64" s="26" t="str">
        <f ca="1">IFERROR(__xludf.DUMMYFUNCTION("IF(ISBLANK(B64),"""",IFERROR(SPARKLINE(INDEX(GOOGLEFINANCE(B64,""price"",TODAY()-$D$17,TODAY()),,2),{""charttype"",""column"";""color"",""17a7e0""}),""""))"),"")</f>
        <v/>
      </c>
      <c r="E64" s="27"/>
      <c r="F64" s="18" t="str">
        <f ca="1">IFERROR(__xludf.DUMMYFUNCTION("IFERROR(IF(B64="""","""",GOOGLEFINANCE(B64)),IFERROR(GOOGLEFINANCE(""CURRENCY:""&amp;""USD""&amp;#REF!)*IMPORTXML(""https://coinmarketcap.com/currencies/""&amp;B64,$W$3),IMPORTXML(""https://coinmarketcap.com/currencies/""&amp;B64,$W$3)))"),"")</f>
        <v/>
      </c>
      <c r="G64" s="19" t="str">
        <f ca="1">IFERROR(__xludf.DUMMYFUNCTION("IFERROR(IF(ISBLANK(B64),"""",GOOGLEFINANCE(B64,""changepct"")/100),"""")"),"")</f>
        <v/>
      </c>
      <c r="H64" s="19" t="str">
        <f ca="1">IFERROR(__xludf.DUMMYFUNCTION("IF(ISBLANK(B64),"""",IFERROR((GOOGLEFINANCE(B64,""price"")/INDEX(GOOGLEFINANCE(B64,""price"",DATEVALUE(TODAY()-365) ),2,2)-1),""""))"),"")</f>
        <v/>
      </c>
      <c r="I64" s="20" t="str">
        <f ca="1">IFERROR(__xludf.DUMMYFUNCTION("IFERROR(IF(ISBLANK(B64),"""",GOOGLEFINANCE(B64,""low52"")),"""")"),"")</f>
        <v/>
      </c>
      <c r="J64" s="19" t="str">
        <f t="shared" si="0"/>
        <v/>
      </c>
      <c r="K64" s="20" t="str">
        <f ca="1">IFERROR(__xludf.DUMMYFUNCTION("IFERROR(IF(ISBLANK(B64),"""",GOOGLEFINANCE(B64,""high52"")),"""")"),"")</f>
        <v/>
      </c>
      <c r="L64" s="19" t="str">
        <f t="shared" si="1"/>
        <v/>
      </c>
      <c r="M64" s="20" t="str">
        <f ca="1">IFERROR(__xludf.DUMMYFUNCTION("IF(ISBLANK(B64),"""",IFERROR(INDEX(GOOGLEFINANCE(B64,""price"",WORKDAY(TODAY(),-$M$17)),2,2),""""))"),"")</f>
        <v/>
      </c>
      <c r="N64" s="19" t="str">
        <f ca="1">IFERROR(__xludf.DUMMYFUNCTION("IF(ISBLANK(B64),"""",IFERROR(F64/(INDEX(GOOGLEFINANCE(B64,""price"",WORKDAY(TODAY(),-$N$17)),2,2))-1,""""))"),"")</f>
        <v/>
      </c>
      <c r="O64" s="21" t="str">
        <f ca="1">IFERROR(__xludf.DUMMYFUNCTION("IF(ISBLANK(B64),"""",IFERROR(IFERROR(""$""&amp;Trunc(GOOGLEFINANCE(B64,""Marketcap"")/1000000000)&amp;"" B"",""$""&amp;Trunc(IMPORTXML(""https://coinmarketcap.com/currencies/""&amp;B64,$W$4)/1000000000)&amp;"" B""),""-""))"),"")</f>
        <v/>
      </c>
      <c r="P64" s="8" t="str">
        <f ca="1">IFERROR(__xludf.DUMMYFUNCTION("IF(ISBLANK(B64),"""",IFERROR(GOOGLEFINANCE(B64,""pe""),""-""))"),"")</f>
        <v/>
      </c>
      <c r="Q64" s="22" t="str">
        <f ca="1">IFERROR(__xludf.DUMMYFUNCTION("SPARKLINE(INDEX(GOOGLEFINANCE(B64,""price"",workday(today(),-$Q$17),today()),,2),{""charttype"",""column"";""color"",""green""})
"),"#N/A")</f>
        <v>#N/A</v>
      </c>
      <c r="R64" s="23" t="str">
        <f t="shared" si="2"/>
        <v>Info</v>
      </c>
      <c r="S64" s="24"/>
      <c r="T64" s="25"/>
      <c r="U64" s="8"/>
      <c r="V64" s="8"/>
      <c r="W64" s="8"/>
      <c r="X64" s="8"/>
      <c r="Y64" s="8"/>
      <c r="Z64" s="8"/>
      <c r="AA64" s="8"/>
      <c r="AB64" s="8"/>
      <c r="AC64" s="8"/>
    </row>
    <row r="65" spans="1:29" ht="13" x14ac:dyDescent="0.25">
      <c r="A65" s="8"/>
      <c r="B65" s="16"/>
      <c r="C65" s="17" t="str">
        <f ca="1">IFERROR(__xludf.DUMMYFUNCTION("GOOGLEFINANCE(B65,""name"")
"),"#N/A")</f>
        <v>#N/A</v>
      </c>
      <c r="D65" s="26" t="str">
        <f ca="1">IFERROR(__xludf.DUMMYFUNCTION("IF(ISBLANK(B65),"""",IFERROR(SPARKLINE(INDEX(GOOGLEFINANCE(B65,""price"",TODAY()-$D$17,TODAY()),,2),{""charttype"",""column"";""color"",""17a7e0""}),""""))"),"")</f>
        <v/>
      </c>
      <c r="E65" s="27"/>
      <c r="F65" s="18" t="str">
        <f ca="1">IFERROR(__xludf.DUMMYFUNCTION("IFERROR(IF(B65="""","""",GOOGLEFINANCE(B65)),IFERROR(GOOGLEFINANCE(""CURRENCY:""&amp;""USD""&amp;#REF!)*IMPORTXML(""https://coinmarketcap.com/currencies/""&amp;B65,$W$3),IMPORTXML(""https://coinmarketcap.com/currencies/""&amp;B65,$W$3)))"),"")</f>
        <v/>
      </c>
      <c r="G65" s="19" t="str">
        <f ca="1">IFERROR(__xludf.DUMMYFUNCTION("IFERROR(IF(ISBLANK(B65),"""",GOOGLEFINANCE(B65,""changepct"")/100),"""")"),"")</f>
        <v/>
      </c>
      <c r="H65" s="19" t="str">
        <f ca="1">IFERROR(__xludf.DUMMYFUNCTION("IF(ISBLANK(B65),"""",IFERROR((GOOGLEFINANCE(B65,""price"")/INDEX(GOOGLEFINANCE(B65,""price"",DATEVALUE(TODAY()-365) ),2,2)-1),""""))"),"")</f>
        <v/>
      </c>
      <c r="I65" s="20" t="str">
        <f ca="1">IFERROR(__xludf.DUMMYFUNCTION("IFERROR(IF(ISBLANK(B65),"""",GOOGLEFINANCE(B65,""low52"")),"""")"),"")</f>
        <v/>
      </c>
      <c r="J65" s="19" t="str">
        <f t="shared" si="0"/>
        <v/>
      </c>
      <c r="K65" s="20" t="str">
        <f ca="1">IFERROR(__xludf.DUMMYFUNCTION("IFERROR(IF(ISBLANK(B65),"""",GOOGLEFINANCE(B65,""high52"")),"""")"),"")</f>
        <v/>
      </c>
      <c r="L65" s="19" t="str">
        <f t="shared" si="1"/>
        <v/>
      </c>
      <c r="M65" s="20" t="str">
        <f ca="1">IFERROR(__xludf.DUMMYFUNCTION("IF(ISBLANK(B65),"""",IFERROR(INDEX(GOOGLEFINANCE(B65,""price"",WORKDAY(TODAY(),-$M$17)),2,2),""""))"),"")</f>
        <v/>
      </c>
      <c r="N65" s="19" t="str">
        <f ca="1">IFERROR(__xludf.DUMMYFUNCTION("IF(ISBLANK(B65),"""",IFERROR(F65/(INDEX(GOOGLEFINANCE(B65,""price"",WORKDAY(TODAY(),-$N$17)),2,2))-1,""""))"),"")</f>
        <v/>
      </c>
      <c r="O65" s="21" t="str">
        <f ca="1">IFERROR(__xludf.DUMMYFUNCTION("IF(ISBLANK(B65),"""",IFERROR(IFERROR(""$""&amp;Trunc(GOOGLEFINANCE(B65,""Marketcap"")/1000000000)&amp;"" B"",""$""&amp;Trunc(IMPORTXML(""https://coinmarketcap.com/currencies/""&amp;B65,$W$4)/1000000000)&amp;"" B""),""-""))"),"")</f>
        <v/>
      </c>
      <c r="P65" s="8" t="str">
        <f ca="1">IFERROR(__xludf.DUMMYFUNCTION("IF(ISBLANK(B65),"""",IFERROR(GOOGLEFINANCE(B65,""pe""),""-""))"),"")</f>
        <v/>
      </c>
      <c r="Q65" s="22" t="str">
        <f ca="1">IFERROR(__xludf.DUMMYFUNCTION("SPARKLINE(INDEX(GOOGLEFINANCE(B65,""price"",workday(today(),-$Q$17),today()),,2),{""charttype"",""column"";""color"",""green""})
"),"#N/A")</f>
        <v>#N/A</v>
      </c>
      <c r="R65" s="23" t="str">
        <f t="shared" si="2"/>
        <v>Info</v>
      </c>
      <c r="S65" s="24"/>
      <c r="T65" s="25"/>
      <c r="U65" s="8"/>
      <c r="V65" s="8"/>
      <c r="W65" s="8"/>
      <c r="X65" s="8"/>
      <c r="Y65" s="8"/>
      <c r="Z65" s="8"/>
      <c r="AA65" s="8"/>
      <c r="AB65" s="8"/>
      <c r="AC65" s="8"/>
    </row>
    <row r="66" spans="1:29" ht="13" x14ac:dyDescent="0.25">
      <c r="A66" s="8"/>
      <c r="B66" s="16"/>
      <c r="C66" s="17" t="str">
        <f ca="1">IFERROR(__xludf.DUMMYFUNCTION("GOOGLEFINANCE(B66,""name"")
"),"#N/A")</f>
        <v>#N/A</v>
      </c>
      <c r="D66" s="26" t="str">
        <f ca="1">IFERROR(__xludf.DUMMYFUNCTION("IF(ISBLANK(B66),"""",IFERROR(SPARKLINE(INDEX(GOOGLEFINANCE(B66,""price"",TODAY()-$D$17,TODAY()),,2),{""charttype"",""column"";""color"",""17a7e0""}),""""))"),"")</f>
        <v/>
      </c>
      <c r="E66" s="27"/>
      <c r="F66" s="18" t="str">
        <f ca="1">IFERROR(__xludf.DUMMYFUNCTION("IFERROR(IF(B66="""","""",GOOGLEFINANCE(B66)),IFERROR(GOOGLEFINANCE(""CURRENCY:""&amp;""USD""&amp;#REF!)*IMPORTXML(""https://coinmarketcap.com/currencies/""&amp;B66,$W$3),IMPORTXML(""https://coinmarketcap.com/currencies/""&amp;B66,$W$3)))"),"")</f>
        <v/>
      </c>
      <c r="G66" s="19" t="str">
        <f ca="1">IFERROR(__xludf.DUMMYFUNCTION("IFERROR(IF(ISBLANK(B66),"""",GOOGLEFINANCE(B66,""changepct"")/100),"""")"),"")</f>
        <v/>
      </c>
      <c r="H66" s="19" t="str">
        <f ca="1">IFERROR(__xludf.DUMMYFUNCTION("IF(ISBLANK(B66),"""",IFERROR((GOOGLEFINANCE(B66,""price"")/INDEX(GOOGLEFINANCE(B66,""price"",DATEVALUE(TODAY()-365) ),2,2)-1),""""))"),"")</f>
        <v/>
      </c>
      <c r="I66" s="20" t="str">
        <f ca="1">IFERROR(__xludf.DUMMYFUNCTION("IFERROR(IF(ISBLANK(B66),"""",GOOGLEFINANCE(B66,""low52"")),"""")"),"")</f>
        <v/>
      </c>
      <c r="J66" s="19" t="str">
        <f t="shared" si="0"/>
        <v/>
      </c>
      <c r="K66" s="20" t="str">
        <f ca="1">IFERROR(__xludf.DUMMYFUNCTION("IFERROR(IF(ISBLANK(B66),"""",GOOGLEFINANCE(B66,""high52"")),"""")"),"")</f>
        <v/>
      </c>
      <c r="L66" s="19" t="str">
        <f t="shared" si="1"/>
        <v/>
      </c>
      <c r="M66" s="20" t="str">
        <f ca="1">IFERROR(__xludf.DUMMYFUNCTION("IF(ISBLANK(B66),"""",IFERROR(INDEX(GOOGLEFINANCE(B66,""price"",WORKDAY(TODAY(),-$M$17)),2,2),""""))"),"")</f>
        <v/>
      </c>
      <c r="N66" s="19" t="str">
        <f ca="1">IFERROR(__xludf.DUMMYFUNCTION("IF(ISBLANK(B66),"""",IFERROR(F66/(INDEX(GOOGLEFINANCE(B66,""price"",WORKDAY(TODAY(),-$N$17)),2,2))-1,""""))"),"")</f>
        <v/>
      </c>
      <c r="O66" s="21" t="str">
        <f ca="1">IFERROR(__xludf.DUMMYFUNCTION("IF(ISBLANK(B66),"""",IFERROR(IFERROR(""$""&amp;Trunc(GOOGLEFINANCE(B66,""Marketcap"")/1000000000)&amp;"" B"",""$""&amp;Trunc(IMPORTXML(""https://coinmarketcap.com/currencies/""&amp;B66,$W$4)/1000000000)&amp;"" B""),""-""))"),"")</f>
        <v/>
      </c>
      <c r="P66" s="8" t="str">
        <f ca="1">IFERROR(__xludf.DUMMYFUNCTION("IF(ISBLANK(B66),"""",IFERROR(GOOGLEFINANCE(B66,""pe""),""-""))"),"")</f>
        <v/>
      </c>
      <c r="Q66" s="22" t="str">
        <f ca="1">IFERROR(__xludf.DUMMYFUNCTION("SPARKLINE(INDEX(GOOGLEFINANCE(B66,""price"",workday(today(),-$Q$17),today()),,2),{""charttype"",""column"";""color"",""green""})
"),"#N/A")</f>
        <v>#N/A</v>
      </c>
      <c r="R66" s="23" t="str">
        <f t="shared" si="2"/>
        <v>Info</v>
      </c>
      <c r="S66" s="24"/>
      <c r="T66" s="25"/>
      <c r="U66" s="8"/>
      <c r="V66" s="8"/>
      <c r="W66" s="8"/>
      <c r="X66" s="8"/>
      <c r="Y66" s="8"/>
      <c r="Z66" s="8"/>
      <c r="AA66" s="8"/>
      <c r="AB66" s="8"/>
      <c r="AC66" s="8"/>
    </row>
    <row r="67" spans="1:29" ht="13" x14ac:dyDescent="0.25">
      <c r="A67" s="8"/>
      <c r="B67" s="16"/>
      <c r="C67" s="17" t="str">
        <f ca="1">IFERROR(__xludf.DUMMYFUNCTION("GOOGLEFINANCE(B67,""name"")
"),"#N/A")</f>
        <v>#N/A</v>
      </c>
      <c r="D67" s="26" t="str">
        <f ca="1">IFERROR(__xludf.DUMMYFUNCTION("IF(ISBLANK(B67),"""",IFERROR(SPARKLINE(INDEX(GOOGLEFINANCE(B67,""price"",TODAY()-$D$17,TODAY()),,2),{""charttype"",""column"";""color"",""17a7e0""}),""""))"),"")</f>
        <v/>
      </c>
      <c r="E67" s="27"/>
      <c r="F67" s="18" t="str">
        <f ca="1">IFERROR(__xludf.DUMMYFUNCTION("IFERROR(IF(B67="""","""",GOOGLEFINANCE(B67)),IFERROR(GOOGLEFINANCE(""CURRENCY:""&amp;""USD""&amp;#REF!)*IMPORTXML(""https://coinmarketcap.com/currencies/""&amp;B67,$W$3),IMPORTXML(""https://coinmarketcap.com/currencies/""&amp;B67,$W$3)))"),"")</f>
        <v/>
      </c>
      <c r="G67" s="19" t="str">
        <f ca="1">IFERROR(__xludf.DUMMYFUNCTION("IFERROR(IF(ISBLANK(B67),"""",GOOGLEFINANCE(B67,""changepct"")/100),"""")"),"")</f>
        <v/>
      </c>
      <c r="H67" s="19" t="str">
        <f ca="1">IFERROR(__xludf.DUMMYFUNCTION("IF(ISBLANK(B67),"""",IFERROR((GOOGLEFINANCE(B67,""price"")/INDEX(GOOGLEFINANCE(B67,""price"",DATEVALUE(TODAY()-365) ),2,2)-1),""""))"),"")</f>
        <v/>
      </c>
      <c r="I67" s="20" t="str">
        <f ca="1">IFERROR(__xludf.DUMMYFUNCTION("IFERROR(IF(ISBLANK(B67),"""",GOOGLEFINANCE(B67,""low52"")),"""")"),"")</f>
        <v/>
      </c>
      <c r="J67" s="19" t="str">
        <f t="shared" si="0"/>
        <v/>
      </c>
      <c r="K67" s="20" t="str">
        <f ca="1">IFERROR(__xludf.DUMMYFUNCTION("IFERROR(IF(ISBLANK(B67),"""",GOOGLEFINANCE(B67,""high52"")),"""")"),"")</f>
        <v/>
      </c>
      <c r="L67" s="19" t="str">
        <f t="shared" si="1"/>
        <v/>
      </c>
      <c r="M67" s="20" t="str">
        <f ca="1">IFERROR(__xludf.DUMMYFUNCTION("IF(ISBLANK(B67),"""",IFERROR(INDEX(GOOGLEFINANCE(B67,""price"",WORKDAY(TODAY(),-$M$17)),2,2),""""))"),"")</f>
        <v/>
      </c>
      <c r="N67" s="19" t="str">
        <f ca="1">IFERROR(__xludf.DUMMYFUNCTION("IF(ISBLANK(B67),"""",IFERROR(F67/(INDEX(GOOGLEFINANCE(B67,""price"",WORKDAY(TODAY(),-$N$17)),2,2))-1,""""))"),"")</f>
        <v/>
      </c>
      <c r="O67" s="21" t="str">
        <f ca="1">IFERROR(__xludf.DUMMYFUNCTION("IF(ISBLANK(B67),"""",IFERROR(IFERROR(""$""&amp;Trunc(GOOGLEFINANCE(B67,""Marketcap"")/1000000000)&amp;"" B"",""$""&amp;Trunc(IMPORTXML(""https://coinmarketcap.com/currencies/""&amp;B67,$W$4)/1000000000)&amp;"" B""),""-""))"),"")</f>
        <v/>
      </c>
      <c r="P67" s="8" t="str">
        <f ca="1">IFERROR(__xludf.DUMMYFUNCTION("IF(ISBLANK(B67),"""",IFERROR(GOOGLEFINANCE(B67,""pe""),""-""))"),"")</f>
        <v/>
      </c>
      <c r="Q67" s="22" t="str">
        <f ca="1">IFERROR(__xludf.DUMMYFUNCTION("SPARKLINE(INDEX(GOOGLEFINANCE(B67,""price"",workday(today(),-$Q$17),today()),,2),{""charttype"",""column"";""color"",""green""})
"),"#N/A")</f>
        <v>#N/A</v>
      </c>
      <c r="R67" s="23" t="str">
        <f t="shared" si="2"/>
        <v>Info</v>
      </c>
      <c r="S67" s="24"/>
      <c r="T67" s="25"/>
      <c r="U67" s="8"/>
      <c r="V67" s="8"/>
      <c r="W67" s="8"/>
      <c r="X67" s="8"/>
      <c r="Y67" s="8"/>
      <c r="Z67" s="8"/>
      <c r="AA67" s="8"/>
      <c r="AB67" s="8"/>
      <c r="AC67" s="8"/>
    </row>
    <row r="68" spans="1:29" ht="13" x14ac:dyDescent="0.25">
      <c r="A68" s="8"/>
      <c r="B68" s="16"/>
      <c r="C68" s="17" t="str">
        <f ca="1">IFERROR(__xludf.DUMMYFUNCTION("GOOGLEFINANCE(B68,""name"")
"),"#N/A")</f>
        <v>#N/A</v>
      </c>
      <c r="D68" s="26" t="str">
        <f ca="1">IFERROR(__xludf.DUMMYFUNCTION("IF(ISBLANK(B68),"""",IFERROR(SPARKLINE(INDEX(GOOGLEFINANCE(B68,""price"",TODAY()-$D$17,TODAY()),,2),{""charttype"",""column"";""color"",""17a7e0""}),""""))"),"")</f>
        <v/>
      </c>
      <c r="E68" s="27"/>
      <c r="F68" s="18" t="str">
        <f ca="1">IFERROR(__xludf.DUMMYFUNCTION("IFERROR(IF(B68="""","""",GOOGLEFINANCE(B68)),IFERROR(GOOGLEFINANCE(""CURRENCY:""&amp;""USD""&amp;#REF!)*IMPORTXML(""https://coinmarketcap.com/currencies/""&amp;B68,$W$3),IMPORTXML(""https://coinmarketcap.com/currencies/""&amp;B68,$W$3)))"),"")</f>
        <v/>
      </c>
      <c r="G68" s="19" t="str">
        <f ca="1">IFERROR(__xludf.DUMMYFUNCTION("IFERROR(IF(ISBLANK(B68),"""",GOOGLEFINANCE(B68,""changepct"")/100),"""")"),"")</f>
        <v/>
      </c>
      <c r="H68" s="19" t="str">
        <f ca="1">IFERROR(__xludf.DUMMYFUNCTION("IF(ISBLANK(B68),"""",IFERROR((GOOGLEFINANCE(B68,""price"")/INDEX(GOOGLEFINANCE(B68,""price"",DATEVALUE(TODAY()-365) ),2,2)-1),""""))"),"")</f>
        <v/>
      </c>
      <c r="I68" s="20" t="str">
        <f ca="1">IFERROR(__xludf.DUMMYFUNCTION("IFERROR(IF(ISBLANK(B68),"""",GOOGLEFINANCE(B68,""low52"")),"""")"),"")</f>
        <v/>
      </c>
      <c r="J68" s="19" t="str">
        <f t="shared" si="0"/>
        <v/>
      </c>
      <c r="K68" s="20" t="str">
        <f ca="1">IFERROR(__xludf.DUMMYFUNCTION("IFERROR(IF(ISBLANK(B68),"""",GOOGLEFINANCE(B68,""high52"")),"""")"),"")</f>
        <v/>
      </c>
      <c r="L68" s="19" t="str">
        <f t="shared" si="1"/>
        <v/>
      </c>
      <c r="M68" s="20" t="str">
        <f ca="1">IFERROR(__xludf.DUMMYFUNCTION("IF(ISBLANK(B68),"""",IFERROR(INDEX(GOOGLEFINANCE(B68,""price"",WORKDAY(TODAY(),-$M$17)),2,2),""""))"),"")</f>
        <v/>
      </c>
      <c r="N68" s="19" t="str">
        <f ca="1">IFERROR(__xludf.DUMMYFUNCTION("IF(ISBLANK(B68),"""",IFERROR(F68/(INDEX(GOOGLEFINANCE(B68,""price"",WORKDAY(TODAY(),-$N$17)),2,2))-1,""""))"),"")</f>
        <v/>
      </c>
      <c r="O68" s="21" t="str">
        <f ca="1">IFERROR(__xludf.DUMMYFUNCTION("IF(ISBLANK(B68),"""",IFERROR(IFERROR(""$""&amp;Trunc(GOOGLEFINANCE(B68,""Marketcap"")/1000000000)&amp;"" B"",""$""&amp;Trunc(IMPORTXML(""https://coinmarketcap.com/currencies/""&amp;B68,$W$4)/1000000000)&amp;"" B""),""-""))"),"")</f>
        <v/>
      </c>
      <c r="P68" s="8" t="str">
        <f ca="1">IFERROR(__xludf.DUMMYFUNCTION("IF(ISBLANK(B68),"""",IFERROR(GOOGLEFINANCE(B68,""pe""),""-""))"),"")</f>
        <v/>
      </c>
      <c r="Q68" s="22" t="str">
        <f ca="1">IFERROR(__xludf.DUMMYFUNCTION("SPARKLINE(INDEX(GOOGLEFINANCE(B68,""price"",workday(today(),-$Q$17),today()),,2),{""charttype"",""column"";""color"",""green""})
"),"#N/A")</f>
        <v>#N/A</v>
      </c>
      <c r="R68" s="23" t="str">
        <f t="shared" si="2"/>
        <v>Info</v>
      </c>
      <c r="S68" s="24"/>
      <c r="T68" s="25"/>
      <c r="U68" s="8"/>
      <c r="V68" s="8"/>
      <c r="W68" s="8"/>
      <c r="X68" s="8"/>
      <c r="Y68" s="8"/>
      <c r="Z68" s="8"/>
      <c r="AA68" s="8"/>
      <c r="AB68" s="8"/>
      <c r="AC68" s="8"/>
    </row>
    <row r="69" spans="1:29" ht="13" x14ac:dyDescent="0.25">
      <c r="A69" s="8"/>
      <c r="B69" s="16"/>
      <c r="C69" s="17" t="str">
        <f ca="1">IFERROR(__xludf.DUMMYFUNCTION("GOOGLEFINANCE(B69,""name"")
"),"#N/A")</f>
        <v>#N/A</v>
      </c>
      <c r="D69" s="26" t="str">
        <f ca="1">IFERROR(__xludf.DUMMYFUNCTION("IF(ISBLANK(B69),"""",IFERROR(SPARKLINE(INDEX(GOOGLEFINANCE(B69,""price"",TODAY()-$D$17,TODAY()),,2),{""charttype"",""column"";""color"",""17a7e0""}),""""))"),"")</f>
        <v/>
      </c>
      <c r="E69" s="27"/>
      <c r="F69" s="18" t="str">
        <f ca="1">IFERROR(__xludf.DUMMYFUNCTION("IFERROR(IF(B69="""","""",GOOGLEFINANCE(B69)),IFERROR(GOOGLEFINANCE(""CURRENCY:""&amp;""USD""&amp;#REF!)*IMPORTXML(""https://coinmarketcap.com/currencies/""&amp;B69,$W$3),IMPORTXML(""https://coinmarketcap.com/currencies/""&amp;B69,$W$3)))"),"")</f>
        <v/>
      </c>
      <c r="G69" s="19" t="str">
        <f ca="1">IFERROR(__xludf.DUMMYFUNCTION("IFERROR(IF(ISBLANK(B69),"""",GOOGLEFINANCE(B69,""changepct"")/100),"""")"),"")</f>
        <v/>
      </c>
      <c r="H69" s="19" t="str">
        <f ca="1">IFERROR(__xludf.DUMMYFUNCTION("IF(ISBLANK(B69),"""",IFERROR((GOOGLEFINANCE(B69,""price"")/INDEX(GOOGLEFINANCE(B69,""price"",DATEVALUE(TODAY()-365) ),2,2)-1),""""))"),"")</f>
        <v/>
      </c>
      <c r="I69" s="20" t="str">
        <f ca="1">IFERROR(__xludf.DUMMYFUNCTION("IFERROR(IF(ISBLANK(B69),"""",GOOGLEFINANCE(B69,""low52"")),"""")"),"")</f>
        <v/>
      </c>
      <c r="J69" s="19" t="str">
        <f t="shared" si="0"/>
        <v/>
      </c>
      <c r="K69" s="20" t="str">
        <f ca="1">IFERROR(__xludf.DUMMYFUNCTION("IFERROR(IF(ISBLANK(B69),"""",GOOGLEFINANCE(B69,""high52"")),"""")"),"")</f>
        <v/>
      </c>
      <c r="L69" s="19" t="str">
        <f t="shared" si="1"/>
        <v/>
      </c>
      <c r="M69" s="20" t="str">
        <f ca="1">IFERROR(__xludf.DUMMYFUNCTION("IF(ISBLANK(B69),"""",IFERROR(INDEX(GOOGLEFINANCE(B69,""price"",WORKDAY(TODAY(),-$M$17)),2,2),""""))"),"")</f>
        <v/>
      </c>
      <c r="N69" s="19" t="str">
        <f ca="1">IFERROR(__xludf.DUMMYFUNCTION("IF(ISBLANK(B69),"""",IFERROR(F69/(INDEX(GOOGLEFINANCE(B69,""price"",WORKDAY(TODAY(),-$N$17)),2,2))-1,""""))"),"")</f>
        <v/>
      </c>
      <c r="O69" s="21" t="str">
        <f ca="1">IFERROR(__xludf.DUMMYFUNCTION("IF(ISBLANK(B69),"""",IFERROR(IFERROR(""$""&amp;Trunc(GOOGLEFINANCE(B69,""Marketcap"")/1000000000)&amp;"" B"",""$""&amp;Trunc(IMPORTXML(""https://coinmarketcap.com/currencies/""&amp;B69,$W$4)/1000000000)&amp;"" B""),""-""))"),"")</f>
        <v/>
      </c>
      <c r="P69" s="8" t="str">
        <f ca="1">IFERROR(__xludf.DUMMYFUNCTION("IF(ISBLANK(B69),"""",IFERROR(GOOGLEFINANCE(B69,""pe""),""-""))"),"")</f>
        <v/>
      </c>
      <c r="Q69" s="22" t="str">
        <f ca="1">IFERROR(__xludf.DUMMYFUNCTION("SPARKLINE(INDEX(GOOGLEFINANCE(B69,""price"",workday(today(),-$Q$17),today()),,2),{""charttype"",""column"";""color"",""green""})
"),"#N/A")</f>
        <v>#N/A</v>
      </c>
      <c r="R69" s="23" t="str">
        <f t="shared" si="2"/>
        <v>Info</v>
      </c>
      <c r="S69" s="24"/>
      <c r="T69" s="25"/>
      <c r="U69" s="8"/>
      <c r="V69" s="8"/>
      <c r="W69" s="8"/>
      <c r="X69" s="8"/>
      <c r="Y69" s="8"/>
      <c r="Z69" s="8"/>
      <c r="AA69" s="8"/>
      <c r="AB69" s="8"/>
      <c r="AC69" s="8"/>
    </row>
    <row r="70" spans="1:29" ht="13" x14ac:dyDescent="0.25">
      <c r="A70" s="8"/>
      <c r="B70" s="16"/>
      <c r="C70" s="17" t="str">
        <f ca="1">IFERROR(__xludf.DUMMYFUNCTION("GOOGLEFINANCE(B70,""name"")
"),"#N/A")</f>
        <v>#N/A</v>
      </c>
      <c r="D70" s="26" t="str">
        <f ca="1">IFERROR(__xludf.DUMMYFUNCTION("IF(ISBLANK(B70),"""",IFERROR(SPARKLINE(INDEX(GOOGLEFINANCE(B70,""price"",TODAY()-$D$17,TODAY()),,2),{""charttype"",""column"";""color"",""17a7e0""}),""""))"),"")</f>
        <v/>
      </c>
      <c r="E70" s="27"/>
      <c r="F70" s="18" t="str">
        <f ca="1">IFERROR(__xludf.DUMMYFUNCTION("IFERROR(IF(B70="""","""",GOOGLEFINANCE(B70)),IFERROR(GOOGLEFINANCE(""CURRENCY:""&amp;""USD""&amp;#REF!)*IMPORTXML(""https://coinmarketcap.com/currencies/""&amp;B70,$W$3),IMPORTXML(""https://coinmarketcap.com/currencies/""&amp;B70,$W$3)))"),"")</f>
        <v/>
      </c>
      <c r="G70" s="19" t="str">
        <f ca="1">IFERROR(__xludf.DUMMYFUNCTION("IFERROR(IF(ISBLANK(B70),"""",GOOGLEFINANCE(B70,""changepct"")/100),"""")"),"")</f>
        <v/>
      </c>
      <c r="H70" s="19" t="str">
        <f ca="1">IFERROR(__xludf.DUMMYFUNCTION("IF(ISBLANK(B70),"""",IFERROR((GOOGLEFINANCE(B70,""price"")/INDEX(GOOGLEFINANCE(B70,""price"",DATEVALUE(TODAY()-365) ),2,2)-1),""""))"),"")</f>
        <v/>
      </c>
      <c r="I70" s="20" t="str">
        <f ca="1">IFERROR(__xludf.DUMMYFUNCTION("IFERROR(IF(ISBLANK(B70),"""",GOOGLEFINANCE(B70,""low52"")),"""")"),"")</f>
        <v/>
      </c>
      <c r="J70" s="19" t="str">
        <f t="shared" si="0"/>
        <v/>
      </c>
      <c r="K70" s="20" t="str">
        <f ca="1">IFERROR(__xludf.DUMMYFUNCTION("IFERROR(IF(ISBLANK(B70),"""",GOOGLEFINANCE(B70,""high52"")),"""")"),"")</f>
        <v/>
      </c>
      <c r="L70" s="19" t="str">
        <f t="shared" si="1"/>
        <v/>
      </c>
      <c r="M70" s="20" t="str">
        <f ca="1">IFERROR(__xludf.DUMMYFUNCTION("IF(ISBLANK(B70),"""",IFERROR(INDEX(GOOGLEFINANCE(B70,""price"",WORKDAY(TODAY(),-$M$17)),2,2),""""))"),"")</f>
        <v/>
      </c>
      <c r="N70" s="19" t="str">
        <f ca="1">IFERROR(__xludf.DUMMYFUNCTION("IF(ISBLANK(B70),"""",IFERROR(F70/(INDEX(GOOGLEFINANCE(B70,""price"",WORKDAY(TODAY(),-$N$17)),2,2))-1,""""))"),"")</f>
        <v/>
      </c>
      <c r="O70" s="21" t="str">
        <f ca="1">IFERROR(__xludf.DUMMYFUNCTION("IF(ISBLANK(B70),"""",IFERROR(IFERROR(""$""&amp;Trunc(GOOGLEFINANCE(B70,""Marketcap"")/1000000000)&amp;"" B"",""$""&amp;Trunc(IMPORTXML(""https://coinmarketcap.com/currencies/""&amp;B70,$W$4)/1000000000)&amp;"" B""),""-""))"),"")</f>
        <v/>
      </c>
      <c r="P70" s="8" t="str">
        <f ca="1">IFERROR(__xludf.DUMMYFUNCTION("IF(ISBLANK(B70),"""",IFERROR(GOOGLEFINANCE(B70,""pe""),""-""))"),"")</f>
        <v/>
      </c>
      <c r="Q70" s="22" t="str">
        <f ca="1">IFERROR(__xludf.DUMMYFUNCTION("SPARKLINE(INDEX(GOOGLEFINANCE(B70,""price"",workday(today(),-$Q$17),today()),,2),{""charttype"",""column"";""color"",""green""})
"),"#N/A")</f>
        <v>#N/A</v>
      </c>
      <c r="R70" s="23" t="str">
        <f t="shared" si="2"/>
        <v>Info</v>
      </c>
      <c r="S70" s="24"/>
      <c r="T70" s="25"/>
      <c r="U70" s="8"/>
      <c r="V70" s="8"/>
      <c r="W70" s="8"/>
      <c r="X70" s="8"/>
      <c r="Y70" s="8"/>
      <c r="Z70" s="8"/>
      <c r="AA70" s="8"/>
      <c r="AB70" s="8"/>
      <c r="AC70" s="8"/>
    </row>
    <row r="71" spans="1:29" ht="13" x14ac:dyDescent="0.25">
      <c r="A71" s="8"/>
      <c r="B71" s="16"/>
      <c r="C71" s="17" t="str">
        <f ca="1">IFERROR(__xludf.DUMMYFUNCTION("GOOGLEFINANCE(B71,""name"")
"),"#N/A")</f>
        <v>#N/A</v>
      </c>
      <c r="D71" s="26" t="str">
        <f ca="1">IFERROR(__xludf.DUMMYFUNCTION("IF(ISBLANK(B71),"""",IFERROR(SPARKLINE(INDEX(GOOGLEFINANCE(B71,""price"",TODAY()-$D$17,TODAY()),,2),{""charttype"",""column"";""color"",""17a7e0""}),""""))"),"")</f>
        <v/>
      </c>
      <c r="E71" s="27"/>
      <c r="F71" s="18" t="str">
        <f ca="1">IFERROR(__xludf.DUMMYFUNCTION("IFERROR(IF(B71="""","""",GOOGLEFINANCE(B71)),IFERROR(GOOGLEFINANCE(""CURRENCY:""&amp;""USD""&amp;#REF!)*IMPORTXML(""https://coinmarketcap.com/currencies/""&amp;B71,$W$3),IMPORTXML(""https://coinmarketcap.com/currencies/""&amp;B71,$W$3)))"),"")</f>
        <v/>
      </c>
      <c r="G71" s="19" t="str">
        <f ca="1">IFERROR(__xludf.DUMMYFUNCTION("IFERROR(IF(ISBLANK(B71),"""",GOOGLEFINANCE(B71,""changepct"")/100),"""")"),"")</f>
        <v/>
      </c>
      <c r="H71" s="19" t="str">
        <f ca="1">IFERROR(__xludf.DUMMYFUNCTION("IF(ISBLANK(B71),"""",IFERROR((GOOGLEFINANCE(B71,""price"")/INDEX(GOOGLEFINANCE(B71,""price"",DATEVALUE(TODAY()-365) ),2,2)-1),""""))"),"")</f>
        <v/>
      </c>
      <c r="I71" s="20" t="str">
        <f ca="1">IFERROR(__xludf.DUMMYFUNCTION("IFERROR(IF(ISBLANK(B71),"""",GOOGLEFINANCE(B71,""low52"")),"""")"),"")</f>
        <v/>
      </c>
      <c r="J71" s="19" t="str">
        <f t="shared" si="0"/>
        <v/>
      </c>
      <c r="K71" s="20" t="str">
        <f ca="1">IFERROR(__xludf.DUMMYFUNCTION("IFERROR(IF(ISBLANK(B71),"""",GOOGLEFINANCE(B71,""high52"")),"""")"),"")</f>
        <v/>
      </c>
      <c r="L71" s="19" t="str">
        <f t="shared" si="1"/>
        <v/>
      </c>
      <c r="M71" s="20" t="str">
        <f ca="1">IFERROR(__xludf.DUMMYFUNCTION("IF(ISBLANK(B71),"""",IFERROR(INDEX(GOOGLEFINANCE(B71,""price"",WORKDAY(TODAY(),-$M$17)),2,2),""""))"),"")</f>
        <v/>
      </c>
      <c r="N71" s="19" t="str">
        <f ca="1">IFERROR(__xludf.DUMMYFUNCTION("IF(ISBLANK(B71),"""",IFERROR(F71/(INDEX(GOOGLEFINANCE(B71,""price"",WORKDAY(TODAY(),-$N$17)),2,2))-1,""""))"),"")</f>
        <v/>
      </c>
      <c r="O71" s="21" t="str">
        <f ca="1">IFERROR(__xludf.DUMMYFUNCTION("IF(ISBLANK(B71),"""",IFERROR(IFERROR(""$""&amp;Trunc(GOOGLEFINANCE(B71,""Marketcap"")/1000000000)&amp;"" B"",""$""&amp;Trunc(IMPORTXML(""https://coinmarketcap.com/currencies/""&amp;B71,$W$4)/1000000000)&amp;"" B""),""-""))"),"")</f>
        <v/>
      </c>
      <c r="P71" s="8" t="str">
        <f ca="1">IFERROR(__xludf.DUMMYFUNCTION("IF(ISBLANK(B71),"""",IFERROR(GOOGLEFINANCE(B71,""pe""),""-""))"),"")</f>
        <v/>
      </c>
      <c r="Q71" s="22" t="str">
        <f ca="1">IFERROR(__xludf.DUMMYFUNCTION("SPARKLINE(INDEX(GOOGLEFINANCE(B71,""price"",workday(today(),-$Q$17),today()),,2),{""charttype"",""column"";""color"",""green""})
"),"#N/A")</f>
        <v>#N/A</v>
      </c>
      <c r="R71" s="23" t="str">
        <f t="shared" si="2"/>
        <v>Info</v>
      </c>
      <c r="S71" s="24"/>
      <c r="T71" s="25"/>
      <c r="U71" s="8"/>
      <c r="V71" s="8"/>
      <c r="W71" s="8"/>
      <c r="X71" s="8"/>
      <c r="Y71" s="8"/>
      <c r="Z71" s="8"/>
      <c r="AA71" s="8"/>
      <c r="AB71" s="8"/>
      <c r="AC71" s="8"/>
    </row>
    <row r="72" spans="1:29" ht="13" x14ac:dyDescent="0.25">
      <c r="A72" s="8"/>
      <c r="B72" s="16"/>
      <c r="C72" s="17" t="str">
        <f ca="1">IFERROR(__xludf.DUMMYFUNCTION("GOOGLEFINANCE(B72,""name"")
"),"#N/A")</f>
        <v>#N/A</v>
      </c>
      <c r="D72" s="26" t="str">
        <f ca="1">IFERROR(__xludf.DUMMYFUNCTION("IF(ISBLANK(B72),"""",IFERROR(SPARKLINE(INDEX(GOOGLEFINANCE(B72,""price"",TODAY()-$D$17,TODAY()),,2),{""charttype"",""column"";""color"",""17a7e0""}),""""))"),"")</f>
        <v/>
      </c>
      <c r="E72" s="27"/>
      <c r="F72" s="18" t="str">
        <f ca="1">IFERROR(__xludf.DUMMYFUNCTION("IFERROR(IF(B72="""","""",GOOGLEFINANCE(B72)),IFERROR(GOOGLEFINANCE(""CURRENCY:""&amp;""USD""&amp;#REF!)*IMPORTXML(""https://coinmarketcap.com/currencies/""&amp;B72,$W$3),IMPORTXML(""https://coinmarketcap.com/currencies/""&amp;B72,$W$3)))"),"")</f>
        <v/>
      </c>
      <c r="G72" s="19" t="str">
        <f ca="1">IFERROR(__xludf.DUMMYFUNCTION("IFERROR(IF(ISBLANK(B72),"""",GOOGLEFINANCE(B72,""changepct"")/100),"""")"),"")</f>
        <v/>
      </c>
      <c r="H72" s="19" t="str">
        <f ca="1">IFERROR(__xludf.DUMMYFUNCTION("IF(ISBLANK(B72),"""",IFERROR((GOOGLEFINANCE(B72,""price"")/INDEX(GOOGLEFINANCE(B72,""price"",DATEVALUE(TODAY()-365) ),2,2)-1),""""))"),"")</f>
        <v/>
      </c>
      <c r="I72" s="20" t="str">
        <f ca="1">IFERROR(__xludf.DUMMYFUNCTION("IFERROR(IF(ISBLANK(B72),"""",GOOGLEFINANCE(B72,""low52"")),"""")"),"")</f>
        <v/>
      </c>
      <c r="J72" s="19" t="str">
        <f t="shared" si="0"/>
        <v/>
      </c>
      <c r="K72" s="20" t="str">
        <f ca="1">IFERROR(__xludf.DUMMYFUNCTION("IFERROR(IF(ISBLANK(B72),"""",GOOGLEFINANCE(B72,""high52"")),"""")"),"")</f>
        <v/>
      </c>
      <c r="L72" s="19" t="str">
        <f t="shared" si="1"/>
        <v/>
      </c>
      <c r="M72" s="20" t="str">
        <f ca="1">IFERROR(__xludf.DUMMYFUNCTION("IF(ISBLANK(B72),"""",IFERROR(INDEX(GOOGLEFINANCE(B72,""price"",WORKDAY(TODAY(),-$M$17)),2,2),""""))"),"")</f>
        <v/>
      </c>
      <c r="N72" s="19" t="str">
        <f ca="1">IFERROR(__xludf.DUMMYFUNCTION("IF(ISBLANK(B72),"""",IFERROR(F72/(INDEX(GOOGLEFINANCE(B72,""price"",WORKDAY(TODAY(),-$N$17)),2,2))-1,""""))"),"")</f>
        <v/>
      </c>
      <c r="O72" s="21" t="str">
        <f ca="1">IFERROR(__xludf.DUMMYFUNCTION("IF(ISBLANK(B72),"""",IFERROR(IFERROR(""$""&amp;Trunc(GOOGLEFINANCE(B72,""Marketcap"")/1000000000)&amp;"" B"",""$""&amp;Trunc(IMPORTXML(""https://coinmarketcap.com/currencies/""&amp;B72,$W$4)/1000000000)&amp;"" B""),""-""))"),"")</f>
        <v/>
      </c>
      <c r="P72" s="8" t="str">
        <f ca="1">IFERROR(__xludf.DUMMYFUNCTION("IF(ISBLANK(B72),"""",IFERROR(GOOGLEFINANCE(B72,""pe""),""-""))"),"")</f>
        <v/>
      </c>
      <c r="Q72" s="22" t="str">
        <f ca="1">IFERROR(__xludf.DUMMYFUNCTION("SPARKLINE(INDEX(GOOGLEFINANCE(B72,""price"",workday(today(),-$Q$17),today()),,2),{""charttype"",""column"";""color"",""green""})
"),"#N/A")</f>
        <v>#N/A</v>
      </c>
      <c r="R72" s="23" t="str">
        <f t="shared" si="2"/>
        <v>Info</v>
      </c>
      <c r="S72" s="24"/>
      <c r="T72" s="25"/>
      <c r="U72" s="8"/>
      <c r="V72" s="8"/>
      <c r="W72" s="8"/>
      <c r="X72" s="8"/>
      <c r="Y72" s="8"/>
      <c r="Z72" s="8"/>
      <c r="AA72" s="8"/>
      <c r="AB72" s="8"/>
      <c r="AC72" s="8"/>
    </row>
    <row r="73" spans="1:29" ht="13" x14ac:dyDescent="0.25">
      <c r="A73" s="8"/>
      <c r="B73" s="16"/>
      <c r="C73" s="17" t="str">
        <f ca="1">IFERROR(__xludf.DUMMYFUNCTION("GOOGLEFINANCE(B73,""name"")
"),"#N/A")</f>
        <v>#N/A</v>
      </c>
      <c r="D73" s="26" t="str">
        <f ca="1">IFERROR(__xludf.DUMMYFUNCTION("IF(ISBLANK(B73),"""",IFERROR(SPARKLINE(INDEX(GOOGLEFINANCE(B73,""price"",TODAY()-$D$17,TODAY()),,2),{""charttype"",""column"";""color"",""17a7e0""}),""""))"),"")</f>
        <v/>
      </c>
      <c r="E73" s="27"/>
      <c r="F73" s="18" t="str">
        <f ca="1">IFERROR(__xludf.DUMMYFUNCTION("IFERROR(IF(B73="""","""",GOOGLEFINANCE(B73)),IFERROR(GOOGLEFINANCE(""CURRENCY:""&amp;""USD""&amp;#REF!)*IMPORTXML(""https://coinmarketcap.com/currencies/""&amp;B73,$W$3),IMPORTXML(""https://coinmarketcap.com/currencies/""&amp;B73,$W$3)))"),"")</f>
        <v/>
      </c>
      <c r="G73" s="19" t="str">
        <f ca="1">IFERROR(__xludf.DUMMYFUNCTION("IFERROR(IF(ISBLANK(B73),"""",GOOGLEFINANCE(B73,""changepct"")/100),"""")"),"")</f>
        <v/>
      </c>
      <c r="H73" s="19" t="str">
        <f ca="1">IFERROR(__xludf.DUMMYFUNCTION("IF(ISBLANK(B73),"""",IFERROR((GOOGLEFINANCE(B73,""price"")/INDEX(GOOGLEFINANCE(B73,""price"",DATEVALUE(TODAY()-365) ),2,2)-1),""""))"),"")</f>
        <v/>
      </c>
      <c r="I73" s="20" t="str">
        <f ca="1">IFERROR(__xludf.DUMMYFUNCTION("IFERROR(IF(ISBLANK(B73),"""",GOOGLEFINANCE(B73,""low52"")),"""")"),"")</f>
        <v/>
      </c>
      <c r="J73" s="19" t="str">
        <f t="shared" si="0"/>
        <v/>
      </c>
      <c r="K73" s="20" t="str">
        <f ca="1">IFERROR(__xludf.DUMMYFUNCTION("IFERROR(IF(ISBLANK(B73),"""",GOOGLEFINANCE(B73,""high52"")),"""")"),"")</f>
        <v/>
      </c>
      <c r="L73" s="19" t="str">
        <f t="shared" si="1"/>
        <v/>
      </c>
      <c r="M73" s="20" t="str">
        <f ca="1">IFERROR(__xludf.DUMMYFUNCTION("IF(ISBLANK(B73),"""",IFERROR(INDEX(GOOGLEFINANCE(B73,""price"",WORKDAY(TODAY(),-$M$17)),2,2),""""))"),"")</f>
        <v/>
      </c>
      <c r="N73" s="19" t="str">
        <f ca="1">IFERROR(__xludf.DUMMYFUNCTION("IF(ISBLANK(B73),"""",IFERROR(F73/(INDEX(GOOGLEFINANCE(B73,""price"",WORKDAY(TODAY(),-$N$17)),2,2))-1,""""))"),"")</f>
        <v/>
      </c>
      <c r="O73" s="21" t="str">
        <f ca="1">IFERROR(__xludf.DUMMYFUNCTION("IF(ISBLANK(B73),"""",IFERROR(IFERROR(""$""&amp;Trunc(GOOGLEFINANCE(B73,""Marketcap"")/1000000000)&amp;"" B"",""$""&amp;Trunc(IMPORTXML(""https://coinmarketcap.com/currencies/""&amp;B73,$W$4)/1000000000)&amp;"" B""),""-""))"),"")</f>
        <v/>
      </c>
      <c r="P73" s="8" t="str">
        <f ca="1">IFERROR(__xludf.DUMMYFUNCTION("IF(ISBLANK(B73),"""",IFERROR(GOOGLEFINANCE(B73,""pe""),""-""))"),"")</f>
        <v/>
      </c>
      <c r="Q73" s="22" t="str">
        <f ca="1">IFERROR(__xludf.DUMMYFUNCTION("SPARKLINE(INDEX(GOOGLEFINANCE(B73,""price"",workday(today(),-$Q$17),today()),,2),{""charttype"",""column"";""color"",""green""})
"),"#N/A")</f>
        <v>#N/A</v>
      </c>
      <c r="R73" s="23" t="str">
        <f t="shared" si="2"/>
        <v>Info</v>
      </c>
      <c r="S73" s="24"/>
      <c r="T73" s="25"/>
      <c r="U73" s="8"/>
      <c r="V73" s="8"/>
      <c r="W73" s="8"/>
      <c r="X73" s="8"/>
      <c r="Y73" s="8"/>
      <c r="Z73" s="8"/>
      <c r="AA73" s="8"/>
      <c r="AB73" s="8"/>
      <c r="AC73" s="8"/>
    </row>
    <row r="74" spans="1:29" ht="13" x14ac:dyDescent="0.25">
      <c r="A74" s="8"/>
      <c r="B74" s="16"/>
      <c r="C74" s="17" t="str">
        <f ca="1">IFERROR(__xludf.DUMMYFUNCTION("GOOGLEFINANCE(B74,""name"")
"),"#N/A")</f>
        <v>#N/A</v>
      </c>
      <c r="D74" s="26" t="str">
        <f ca="1">IFERROR(__xludf.DUMMYFUNCTION("IF(ISBLANK(B74),"""",IFERROR(SPARKLINE(INDEX(GOOGLEFINANCE(B74,""price"",TODAY()-$D$17,TODAY()),,2),{""charttype"",""column"";""color"",""17a7e0""}),""""))"),"")</f>
        <v/>
      </c>
      <c r="E74" s="27"/>
      <c r="F74" s="18" t="str">
        <f ca="1">IFERROR(__xludf.DUMMYFUNCTION("IFERROR(IF(B74="""","""",GOOGLEFINANCE(B74)),IFERROR(GOOGLEFINANCE(""CURRENCY:""&amp;""USD""&amp;#REF!)*IMPORTXML(""https://coinmarketcap.com/currencies/""&amp;B74,$W$3),IMPORTXML(""https://coinmarketcap.com/currencies/""&amp;B74,$W$3)))"),"")</f>
        <v/>
      </c>
      <c r="G74" s="19" t="str">
        <f ca="1">IFERROR(__xludf.DUMMYFUNCTION("IFERROR(IF(ISBLANK(B74),"""",GOOGLEFINANCE(B74,""changepct"")/100),"""")"),"")</f>
        <v/>
      </c>
      <c r="H74" s="19" t="str">
        <f ca="1">IFERROR(__xludf.DUMMYFUNCTION("IF(ISBLANK(B74),"""",IFERROR((GOOGLEFINANCE(B74,""price"")/INDEX(GOOGLEFINANCE(B74,""price"",DATEVALUE(TODAY()-365) ),2,2)-1),""""))"),"")</f>
        <v/>
      </c>
      <c r="I74" s="20" t="str">
        <f ca="1">IFERROR(__xludf.DUMMYFUNCTION("IFERROR(IF(ISBLANK(B74),"""",GOOGLEFINANCE(B74,""low52"")),"""")"),"")</f>
        <v/>
      </c>
      <c r="J74" s="19" t="str">
        <f t="shared" si="0"/>
        <v/>
      </c>
      <c r="K74" s="20" t="str">
        <f ca="1">IFERROR(__xludf.DUMMYFUNCTION("IFERROR(IF(ISBLANK(B74),"""",GOOGLEFINANCE(B74,""high52"")),"""")"),"")</f>
        <v/>
      </c>
      <c r="L74" s="19" t="str">
        <f t="shared" si="1"/>
        <v/>
      </c>
      <c r="M74" s="20" t="str">
        <f ca="1">IFERROR(__xludf.DUMMYFUNCTION("IF(ISBLANK(B74),"""",IFERROR(INDEX(GOOGLEFINANCE(B74,""price"",WORKDAY(TODAY(),-$M$17)),2,2),""""))"),"")</f>
        <v/>
      </c>
      <c r="N74" s="19" t="str">
        <f ca="1">IFERROR(__xludf.DUMMYFUNCTION("IF(ISBLANK(B74),"""",IFERROR(F74/(INDEX(GOOGLEFINANCE(B74,""price"",WORKDAY(TODAY(),-$N$17)),2,2))-1,""""))"),"")</f>
        <v/>
      </c>
      <c r="O74" s="21" t="str">
        <f ca="1">IFERROR(__xludf.DUMMYFUNCTION("IF(ISBLANK(B74),"""",IFERROR(IFERROR(""$""&amp;Trunc(GOOGLEFINANCE(B74,""Marketcap"")/1000000000)&amp;"" B"",""$""&amp;Trunc(IMPORTXML(""https://coinmarketcap.com/currencies/""&amp;B74,$W$4)/1000000000)&amp;"" B""),""-""))"),"")</f>
        <v/>
      </c>
      <c r="P74" s="8" t="str">
        <f ca="1">IFERROR(__xludf.DUMMYFUNCTION("IF(ISBLANK(B74),"""",IFERROR(GOOGLEFINANCE(B74,""pe""),""-""))"),"")</f>
        <v/>
      </c>
      <c r="Q74" s="22" t="str">
        <f ca="1">IFERROR(__xludf.DUMMYFUNCTION("SPARKLINE(INDEX(GOOGLEFINANCE(B74,""price"",workday(today(),-$Q$17),today()),,2),{""charttype"",""column"";""color"",""green""})
"),"#N/A")</f>
        <v>#N/A</v>
      </c>
      <c r="R74" s="23" t="str">
        <f t="shared" si="2"/>
        <v>Info</v>
      </c>
      <c r="S74" s="24"/>
      <c r="T74" s="25"/>
      <c r="U74" s="8"/>
      <c r="V74" s="8"/>
      <c r="W74" s="8"/>
      <c r="X74" s="8"/>
      <c r="Y74" s="8"/>
      <c r="Z74" s="8"/>
      <c r="AA74" s="8"/>
      <c r="AB74" s="8"/>
      <c r="AC74" s="8"/>
    </row>
    <row r="75" spans="1:29" ht="13" x14ac:dyDescent="0.25">
      <c r="A75" s="8"/>
      <c r="B75" s="16"/>
      <c r="C75" s="17" t="str">
        <f ca="1">IFERROR(__xludf.DUMMYFUNCTION("GOOGLEFINANCE(B75,""name"")
"),"#N/A")</f>
        <v>#N/A</v>
      </c>
      <c r="D75" s="26" t="str">
        <f ca="1">IFERROR(__xludf.DUMMYFUNCTION("IF(ISBLANK(B75),"""",IFERROR(SPARKLINE(INDEX(GOOGLEFINANCE(B75,""price"",TODAY()-$D$17,TODAY()),,2),{""charttype"",""column"";""color"",""17a7e0""}),""""))"),"")</f>
        <v/>
      </c>
      <c r="E75" s="27"/>
      <c r="F75" s="18" t="str">
        <f ca="1">IFERROR(__xludf.DUMMYFUNCTION("IFERROR(IF(B75="""","""",GOOGLEFINANCE(B75)),IFERROR(GOOGLEFINANCE(""CURRENCY:""&amp;""USD""&amp;#REF!)*IMPORTXML(""https://coinmarketcap.com/currencies/""&amp;B75,$W$3),IMPORTXML(""https://coinmarketcap.com/currencies/""&amp;B75,$W$3)))"),"")</f>
        <v/>
      </c>
      <c r="G75" s="19" t="str">
        <f ca="1">IFERROR(__xludf.DUMMYFUNCTION("IFERROR(IF(ISBLANK(B75),"""",GOOGLEFINANCE(B75,""changepct"")/100),"""")"),"")</f>
        <v/>
      </c>
      <c r="H75" s="19" t="str">
        <f ca="1">IFERROR(__xludf.DUMMYFUNCTION("IF(ISBLANK(B75),"""",IFERROR((GOOGLEFINANCE(B75,""price"")/INDEX(GOOGLEFINANCE(B75,""price"",DATEVALUE(TODAY()-365) ),2,2)-1),""""))"),"")</f>
        <v/>
      </c>
      <c r="I75" s="20" t="str">
        <f ca="1">IFERROR(__xludf.DUMMYFUNCTION("IFERROR(IF(ISBLANK(B75),"""",GOOGLEFINANCE(B75,""low52"")),"""")"),"")</f>
        <v/>
      </c>
      <c r="J75" s="19" t="str">
        <f t="shared" si="0"/>
        <v/>
      </c>
      <c r="K75" s="20" t="str">
        <f ca="1">IFERROR(__xludf.DUMMYFUNCTION("IFERROR(IF(ISBLANK(B75),"""",GOOGLEFINANCE(B75,""high52"")),"""")"),"")</f>
        <v/>
      </c>
      <c r="L75" s="19" t="str">
        <f t="shared" si="1"/>
        <v/>
      </c>
      <c r="M75" s="20" t="str">
        <f ca="1">IFERROR(__xludf.DUMMYFUNCTION("IF(ISBLANK(B75),"""",IFERROR(INDEX(GOOGLEFINANCE(B75,""price"",WORKDAY(TODAY(),-$M$17)),2,2),""""))"),"")</f>
        <v/>
      </c>
      <c r="N75" s="19" t="str">
        <f ca="1">IFERROR(__xludf.DUMMYFUNCTION("IF(ISBLANK(B75),"""",IFERROR(F75/(INDEX(GOOGLEFINANCE(B75,""price"",WORKDAY(TODAY(),-$N$17)),2,2))-1,""""))"),"")</f>
        <v/>
      </c>
      <c r="O75" s="21" t="str">
        <f ca="1">IFERROR(__xludf.DUMMYFUNCTION("IF(ISBLANK(B75),"""",IFERROR(IFERROR(""$""&amp;Trunc(GOOGLEFINANCE(B75,""Marketcap"")/1000000000)&amp;"" B"",""$""&amp;Trunc(IMPORTXML(""https://coinmarketcap.com/currencies/""&amp;B75,$W$4)/1000000000)&amp;"" B""),""-""))"),"")</f>
        <v/>
      </c>
      <c r="P75" s="8" t="str">
        <f ca="1">IFERROR(__xludf.DUMMYFUNCTION("IF(ISBLANK(B75),"""",IFERROR(GOOGLEFINANCE(B75,""pe""),""-""))"),"")</f>
        <v/>
      </c>
      <c r="Q75" s="22" t="str">
        <f ca="1">IFERROR(__xludf.DUMMYFUNCTION("SPARKLINE(INDEX(GOOGLEFINANCE(B75,""price"",workday(today(),-$Q$17),today()),,2),{""charttype"",""column"";""color"",""green""})
"),"#N/A")</f>
        <v>#N/A</v>
      </c>
      <c r="R75" s="23" t="str">
        <f t="shared" si="2"/>
        <v>Info</v>
      </c>
      <c r="S75" s="24"/>
      <c r="T75" s="25"/>
      <c r="U75" s="8"/>
      <c r="V75" s="8"/>
      <c r="W75" s="8"/>
      <c r="X75" s="8"/>
      <c r="Y75" s="8"/>
      <c r="Z75" s="8"/>
      <c r="AA75" s="8"/>
      <c r="AB75" s="8"/>
      <c r="AC75" s="8"/>
    </row>
    <row r="76" spans="1:29" ht="13" x14ac:dyDescent="0.25">
      <c r="A76" s="8"/>
      <c r="B76" s="16"/>
      <c r="C76" s="17" t="str">
        <f ca="1">IFERROR(__xludf.DUMMYFUNCTION("GOOGLEFINANCE(B76,""name"")
"),"#N/A")</f>
        <v>#N/A</v>
      </c>
      <c r="D76" s="26" t="str">
        <f ca="1">IFERROR(__xludf.DUMMYFUNCTION("IF(ISBLANK(B76),"""",IFERROR(SPARKLINE(INDEX(GOOGLEFINANCE(B76,""price"",TODAY()-$D$17,TODAY()),,2),{""charttype"",""column"";""color"",""17a7e0""}),""""))"),"")</f>
        <v/>
      </c>
      <c r="E76" s="27"/>
      <c r="F76" s="18" t="str">
        <f ca="1">IFERROR(__xludf.DUMMYFUNCTION("IFERROR(IF(B76="""","""",GOOGLEFINANCE(B76)),IFERROR(GOOGLEFINANCE(""CURRENCY:""&amp;""USD""&amp;#REF!)*IMPORTXML(""https://coinmarketcap.com/currencies/""&amp;B76,$W$3),IMPORTXML(""https://coinmarketcap.com/currencies/""&amp;B76,$W$3)))"),"")</f>
        <v/>
      </c>
      <c r="G76" s="19" t="str">
        <f ca="1">IFERROR(__xludf.DUMMYFUNCTION("IFERROR(IF(ISBLANK(B76),"""",GOOGLEFINANCE(B76,""changepct"")/100),"""")"),"")</f>
        <v/>
      </c>
      <c r="H76" s="19" t="str">
        <f ca="1">IFERROR(__xludf.DUMMYFUNCTION("IF(ISBLANK(B76),"""",IFERROR((GOOGLEFINANCE(B76,""price"")/INDEX(GOOGLEFINANCE(B76,""price"",DATEVALUE(TODAY()-365) ),2,2)-1),""""))"),"")</f>
        <v/>
      </c>
      <c r="I76" s="20" t="str">
        <f ca="1">IFERROR(__xludf.DUMMYFUNCTION("IFERROR(IF(ISBLANK(B76),"""",GOOGLEFINANCE(B76,""low52"")),"""")"),"")</f>
        <v/>
      </c>
      <c r="J76" s="19" t="str">
        <f t="shared" si="0"/>
        <v/>
      </c>
      <c r="K76" s="20" t="str">
        <f ca="1">IFERROR(__xludf.DUMMYFUNCTION("IFERROR(IF(ISBLANK(B76),"""",GOOGLEFINANCE(B76,""high52"")),"""")"),"")</f>
        <v/>
      </c>
      <c r="L76" s="19" t="str">
        <f t="shared" si="1"/>
        <v/>
      </c>
      <c r="M76" s="20" t="str">
        <f ca="1">IFERROR(__xludf.DUMMYFUNCTION("IF(ISBLANK(B76),"""",IFERROR(INDEX(GOOGLEFINANCE(B76,""price"",WORKDAY(TODAY(),-$M$17)),2,2),""""))"),"")</f>
        <v/>
      </c>
      <c r="N76" s="19" t="str">
        <f ca="1">IFERROR(__xludf.DUMMYFUNCTION("IF(ISBLANK(B76),"""",IFERROR(F76/(INDEX(GOOGLEFINANCE(B76,""price"",WORKDAY(TODAY(),-$N$17)),2,2))-1,""""))"),"")</f>
        <v/>
      </c>
      <c r="O76" s="21" t="str">
        <f ca="1">IFERROR(__xludf.DUMMYFUNCTION("IF(ISBLANK(B76),"""",IFERROR(IFERROR(""$""&amp;Trunc(GOOGLEFINANCE(B76,""Marketcap"")/1000000000)&amp;"" B"",""$""&amp;Trunc(IMPORTXML(""https://coinmarketcap.com/currencies/""&amp;B76,$W$4)/1000000000)&amp;"" B""),""-""))"),"")</f>
        <v/>
      </c>
      <c r="P76" s="8" t="str">
        <f ca="1">IFERROR(__xludf.DUMMYFUNCTION("IF(ISBLANK(B76),"""",IFERROR(GOOGLEFINANCE(B76,""pe""),""-""))"),"")</f>
        <v/>
      </c>
      <c r="Q76" s="22" t="str">
        <f ca="1">IFERROR(__xludf.DUMMYFUNCTION("SPARKLINE(INDEX(GOOGLEFINANCE(B76,""price"",workday(today(),-$Q$17),today()),,2),{""charttype"",""column"";""color"",""green""})
"),"#N/A")</f>
        <v>#N/A</v>
      </c>
      <c r="R76" s="23" t="str">
        <f t="shared" si="2"/>
        <v>Info</v>
      </c>
      <c r="S76" s="24"/>
      <c r="T76" s="25"/>
      <c r="U76" s="8"/>
      <c r="V76" s="8"/>
      <c r="W76" s="8"/>
      <c r="X76" s="8"/>
      <c r="Y76" s="8"/>
      <c r="Z76" s="8"/>
      <c r="AA76" s="8"/>
      <c r="AB76" s="8"/>
      <c r="AC76" s="8"/>
    </row>
    <row r="77" spans="1:29" ht="13" x14ac:dyDescent="0.25">
      <c r="A77" s="8"/>
      <c r="B77" s="16"/>
      <c r="C77" s="17" t="str">
        <f ca="1">IFERROR(__xludf.DUMMYFUNCTION("GOOGLEFINANCE(B77,""name"")
"),"#N/A")</f>
        <v>#N/A</v>
      </c>
      <c r="D77" s="26" t="str">
        <f ca="1">IFERROR(__xludf.DUMMYFUNCTION("IF(ISBLANK(B77),"""",IFERROR(SPARKLINE(INDEX(GOOGLEFINANCE(B77,""price"",TODAY()-$D$17,TODAY()),,2),{""charttype"",""column"";""color"",""17a7e0""}),""""))"),"")</f>
        <v/>
      </c>
      <c r="E77" s="27"/>
      <c r="F77" s="18" t="str">
        <f ca="1">IFERROR(__xludf.DUMMYFUNCTION("IFERROR(IF(B77="""","""",GOOGLEFINANCE(B77)),IFERROR(GOOGLEFINANCE(""CURRENCY:""&amp;""USD""&amp;#REF!)*IMPORTXML(""https://coinmarketcap.com/currencies/""&amp;B77,$W$3),IMPORTXML(""https://coinmarketcap.com/currencies/""&amp;B77,$W$3)))"),"")</f>
        <v/>
      </c>
      <c r="G77" s="19" t="str">
        <f ca="1">IFERROR(__xludf.DUMMYFUNCTION("IFERROR(IF(ISBLANK(B77),"""",GOOGLEFINANCE(B77,""changepct"")/100),"""")"),"")</f>
        <v/>
      </c>
      <c r="H77" s="19" t="str">
        <f ca="1">IFERROR(__xludf.DUMMYFUNCTION("IF(ISBLANK(B77),"""",IFERROR((GOOGLEFINANCE(B77,""price"")/INDEX(GOOGLEFINANCE(B77,""price"",DATEVALUE(TODAY()-365) ),2,2)-1),""""))"),"")</f>
        <v/>
      </c>
      <c r="I77" s="20" t="str">
        <f ca="1">IFERROR(__xludf.DUMMYFUNCTION("IFERROR(IF(ISBLANK(B77),"""",GOOGLEFINANCE(B77,""low52"")),"""")"),"")</f>
        <v/>
      </c>
      <c r="J77" s="19" t="str">
        <f t="shared" si="0"/>
        <v/>
      </c>
      <c r="K77" s="20" t="str">
        <f ca="1">IFERROR(__xludf.DUMMYFUNCTION("IFERROR(IF(ISBLANK(B77),"""",GOOGLEFINANCE(B77,""high52"")),"""")"),"")</f>
        <v/>
      </c>
      <c r="L77" s="19" t="str">
        <f t="shared" si="1"/>
        <v/>
      </c>
      <c r="M77" s="20" t="str">
        <f ca="1">IFERROR(__xludf.DUMMYFUNCTION("IF(ISBLANK(B77),"""",IFERROR(INDEX(GOOGLEFINANCE(B77,""price"",WORKDAY(TODAY(),-$M$17)),2,2),""""))"),"")</f>
        <v/>
      </c>
      <c r="N77" s="19" t="str">
        <f ca="1">IFERROR(__xludf.DUMMYFUNCTION("IF(ISBLANK(B77),"""",IFERROR(F77/(INDEX(GOOGLEFINANCE(B77,""price"",WORKDAY(TODAY(),-$N$17)),2,2))-1,""""))"),"")</f>
        <v/>
      </c>
      <c r="O77" s="21" t="str">
        <f ca="1">IFERROR(__xludf.DUMMYFUNCTION("IF(ISBLANK(B77),"""",IFERROR(IFERROR(""$""&amp;Trunc(GOOGLEFINANCE(B77,""Marketcap"")/1000000000)&amp;"" B"",""$""&amp;Trunc(IMPORTXML(""https://coinmarketcap.com/currencies/""&amp;B77,$W$4)/1000000000)&amp;"" B""),""-""))"),"")</f>
        <v/>
      </c>
      <c r="P77" s="8" t="str">
        <f ca="1">IFERROR(__xludf.DUMMYFUNCTION("IF(ISBLANK(B77),"""",IFERROR(GOOGLEFINANCE(B77,""pe""),""-""))"),"")</f>
        <v/>
      </c>
      <c r="Q77" s="22" t="str">
        <f ca="1">IFERROR(__xludf.DUMMYFUNCTION("SPARKLINE(INDEX(GOOGLEFINANCE(B77,""price"",workday(today(),-$Q$17),today()),,2),{""charttype"",""column"";""color"",""green""})
"),"#N/A")</f>
        <v>#N/A</v>
      </c>
      <c r="R77" s="23" t="str">
        <f t="shared" si="2"/>
        <v>Info</v>
      </c>
      <c r="S77" s="24"/>
      <c r="T77" s="25"/>
      <c r="U77" s="8"/>
      <c r="V77" s="8"/>
      <c r="W77" s="8"/>
      <c r="X77" s="8"/>
      <c r="Y77" s="8"/>
      <c r="Z77" s="8"/>
      <c r="AA77" s="8"/>
      <c r="AB77" s="8"/>
      <c r="AC77" s="8"/>
    </row>
    <row r="78" spans="1:29" ht="13" x14ac:dyDescent="0.25">
      <c r="A78" s="8"/>
      <c r="B78" s="16"/>
      <c r="C78" s="17" t="str">
        <f ca="1">IFERROR(__xludf.DUMMYFUNCTION("GOOGLEFINANCE(B78,""name"")
"),"#N/A")</f>
        <v>#N/A</v>
      </c>
      <c r="D78" s="26" t="str">
        <f ca="1">IFERROR(__xludf.DUMMYFUNCTION("IF(ISBLANK(B78),"""",IFERROR(SPARKLINE(INDEX(GOOGLEFINANCE(B78,""price"",TODAY()-$D$17,TODAY()),,2),{""charttype"",""column"";""color"",""17a7e0""}),""""))"),"")</f>
        <v/>
      </c>
      <c r="E78" s="27"/>
      <c r="F78" s="18" t="str">
        <f ca="1">IFERROR(__xludf.DUMMYFUNCTION("IFERROR(IF(B78="""","""",GOOGLEFINANCE(B78)),IFERROR(GOOGLEFINANCE(""CURRENCY:""&amp;""USD""&amp;#REF!)*IMPORTXML(""https://coinmarketcap.com/currencies/""&amp;B78,$W$3),IMPORTXML(""https://coinmarketcap.com/currencies/""&amp;B78,$W$3)))"),"")</f>
        <v/>
      </c>
      <c r="G78" s="19" t="str">
        <f ca="1">IFERROR(__xludf.DUMMYFUNCTION("IFERROR(IF(ISBLANK(B78),"""",GOOGLEFINANCE(B78,""changepct"")/100),"""")"),"")</f>
        <v/>
      </c>
      <c r="H78" s="19" t="str">
        <f ca="1">IFERROR(__xludf.DUMMYFUNCTION("IF(ISBLANK(B78),"""",IFERROR((GOOGLEFINANCE(B78,""price"")/INDEX(GOOGLEFINANCE(B78,""price"",DATEVALUE(TODAY()-365) ),2,2)-1),""""))"),"")</f>
        <v/>
      </c>
      <c r="I78" s="20" t="str">
        <f ca="1">IFERROR(__xludf.DUMMYFUNCTION("IFERROR(IF(ISBLANK(B78),"""",GOOGLEFINANCE(B78,""low52"")),"""")"),"")</f>
        <v/>
      </c>
      <c r="J78" s="19" t="str">
        <f t="shared" si="0"/>
        <v/>
      </c>
      <c r="K78" s="20" t="str">
        <f ca="1">IFERROR(__xludf.DUMMYFUNCTION("IFERROR(IF(ISBLANK(B78),"""",GOOGLEFINANCE(B78,""high52"")),"""")"),"")</f>
        <v/>
      </c>
      <c r="L78" s="19" t="str">
        <f t="shared" si="1"/>
        <v/>
      </c>
      <c r="M78" s="20" t="str">
        <f ca="1">IFERROR(__xludf.DUMMYFUNCTION("IF(ISBLANK(B78),"""",IFERROR(INDEX(GOOGLEFINANCE(B78,""price"",WORKDAY(TODAY(),-$M$17)),2,2),""""))"),"")</f>
        <v/>
      </c>
      <c r="N78" s="19" t="str">
        <f ca="1">IFERROR(__xludf.DUMMYFUNCTION("IF(ISBLANK(B78),"""",IFERROR(F78/(INDEX(GOOGLEFINANCE(B78,""price"",WORKDAY(TODAY(),-$N$17)),2,2))-1,""""))"),"")</f>
        <v/>
      </c>
      <c r="O78" s="21" t="str">
        <f ca="1">IFERROR(__xludf.DUMMYFUNCTION("IF(ISBLANK(B78),"""",IFERROR(IFERROR(""$""&amp;Trunc(GOOGLEFINANCE(B78,""Marketcap"")/1000000000)&amp;"" B"",""$""&amp;Trunc(IMPORTXML(""https://coinmarketcap.com/currencies/""&amp;B78,$W$4)/1000000000)&amp;"" B""),""-""))"),"")</f>
        <v/>
      </c>
      <c r="P78" s="8" t="str">
        <f ca="1">IFERROR(__xludf.DUMMYFUNCTION("IF(ISBLANK(B78),"""",IFERROR(GOOGLEFINANCE(B78,""pe""),""-""))"),"")</f>
        <v/>
      </c>
      <c r="Q78" s="22" t="str">
        <f ca="1">IFERROR(__xludf.DUMMYFUNCTION("SPARKLINE(INDEX(GOOGLEFINANCE(B78,""price"",workday(today(),-$Q$17),today()),,2),{""charttype"",""column"";""color"",""green""})
"),"#N/A")</f>
        <v>#N/A</v>
      </c>
      <c r="R78" s="23" t="str">
        <f t="shared" si="2"/>
        <v>Info</v>
      </c>
      <c r="S78" s="24"/>
      <c r="T78" s="25"/>
      <c r="U78" s="8"/>
      <c r="V78" s="8"/>
      <c r="W78" s="8"/>
      <c r="X78" s="8"/>
      <c r="Y78" s="8"/>
      <c r="Z78" s="8"/>
      <c r="AA78" s="8"/>
      <c r="AB78" s="8"/>
      <c r="AC78" s="8"/>
    </row>
    <row r="79" spans="1:29" ht="13" x14ac:dyDescent="0.25">
      <c r="A79" s="8"/>
      <c r="B79" s="16"/>
      <c r="C79" s="17" t="str">
        <f ca="1">IFERROR(__xludf.DUMMYFUNCTION("GOOGLEFINANCE(B79,""name"")
"),"#N/A")</f>
        <v>#N/A</v>
      </c>
      <c r="D79" s="26" t="str">
        <f ca="1">IFERROR(__xludf.DUMMYFUNCTION("IF(ISBLANK(B79),"""",IFERROR(SPARKLINE(INDEX(GOOGLEFINANCE(B79,""price"",TODAY()-$D$17,TODAY()),,2),{""charttype"",""column"";""color"",""17a7e0""}),""""))"),"")</f>
        <v/>
      </c>
      <c r="E79" s="27"/>
      <c r="F79" s="18" t="str">
        <f ca="1">IFERROR(__xludf.DUMMYFUNCTION("IFERROR(IF(B79="""","""",GOOGLEFINANCE(B79)),IFERROR(GOOGLEFINANCE(""CURRENCY:""&amp;""USD""&amp;#REF!)*IMPORTXML(""https://coinmarketcap.com/currencies/""&amp;B79,$W$3),IMPORTXML(""https://coinmarketcap.com/currencies/""&amp;B79,$W$3)))"),"")</f>
        <v/>
      </c>
      <c r="G79" s="19" t="str">
        <f ca="1">IFERROR(__xludf.DUMMYFUNCTION("IFERROR(IF(ISBLANK(B79),"""",GOOGLEFINANCE(B79,""changepct"")/100),"""")"),"")</f>
        <v/>
      </c>
      <c r="H79" s="19" t="str">
        <f ca="1">IFERROR(__xludf.DUMMYFUNCTION("IF(ISBLANK(B79),"""",IFERROR((GOOGLEFINANCE(B79,""price"")/INDEX(GOOGLEFINANCE(B79,""price"",DATEVALUE(TODAY()-365) ),2,2)-1),""""))"),"")</f>
        <v/>
      </c>
      <c r="I79" s="20" t="str">
        <f ca="1">IFERROR(__xludf.DUMMYFUNCTION("IFERROR(IF(ISBLANK(B79),"""",GOOGLEFINANCE(B79,""low52"")),"""")"),"")</f>
        <v/>
      </c>
      <c r="J79" s="19" t="str">
        <f t="shared" si="0"/>
        <v/>
      </c>
      <c r="K79" s="20" t="str">
        <f ca="1">IFERROR(__xludf.DUMMYFUNCTION("IFERROR(IF(ISBLANK(B79),"""",GOOGLEFINANCE(B79,""high52"")),"""")"),"")</f>
        <v/>
      </c>
      <c r="L79" s="19" t="str">
        <f t="shared" si="1"/>
        <v/>
      </c>
      <c r="M79" s="20" t="str">
        <f ca="1">IFERROR(__xludf.DUMMYFUNCTION("IF(ISBLANK(B79),"""",IFERROR(INDEX(GOOGLEFINANCE(B79,""price"",WORKDAY(TODAY(),-$M$17)),2,2),""""))"),"")</f>
        <v/>
      </c>
      <c r="N79" s="19" t="str">
        <f ca="1">IFERROR(__xludf.DUMMYFUNCTION("IF(ISBLANK(B79),"""",IFERROR(F79/(INDEX(GOOGLEFINANCE(B79,""price"",WORKDAY(TODAY(),-$N$17)),2,2))-1,""""))"),"")</f>
        <v/>
      </c>
      <c r="O79" s="21" t="str">
        <f ca="1">IFERROR(__xludf.DUMMYFUNCTION("IF(ISBLANK(B79),"""",IFERROR(IFERROR(""$""&amp;Trunc(GOOGLEFINANCE(B79,""Marketcap"")/1000000000)&amp;"" B"",""$""&amp;Trunc(IMPORTXML(""https://coinmarketcap.com/currencies/""&amp;B79,$W$4)/1000000000)&amp;"" B""),""-""))"),"")</f>
        <v/>
      </c>
      <c r="P79" s="8" t="str">
        <f ca="1">IFERROR(__xludf.DUMMYFUNCTION("IF(ISBLANK(B79),"""",IFERROR(GOOGLEFINANCE(B79,""pe""),""-""))"),"")</f>
        <v/>
      </c>
      <c r="Q79" s="22" t="str">
        <f ca="1">IFERROR(__xludf.DUMMYFUNCTION("SPARKLINE(INDEX(GOOGLEFINANCE(B79,""price"",workday(today(),-$Q$17),today()),,2),{""charttype"",""column"";""color"",""green""})
"),"#N/A")</f>
        <v>#N/A</v>
      </c>
      <c r="R79" s="23" t="str">
        <f t="shared" si="2"/>
        <v>Info</v>
      </c>
      <c r="S79" s="24"/>
      <c r="T79" s="25"/>
      <c r="U79" s="8"/>
      <c r="V79" s="8"/>
      <c r="W79" s="8"/>
      <c r="X79" s="8"/>
      <c r="Y79" s="8"/>
      <c r="Z79" s="8"/>
      <c r="AA79" s="8"/>
      <c r="AB79" s="8"/>
      <c r="AC79" s="8"/>
    </row>
    <row r="80" spans="1:29" ht="13" x14ac:dyDescent="0.25">
      <c r="A80" s="8"/>
      <c r="B80" s="16"/>
      <c r="C80" s="17" t="str">
        <f ca="1">IFERROR(__xludf.DUMMYFUNCTION("GOOGLEFINANCE(B80,""name"")
"),"#N/A")</f>
        <v>#N/A</v>
      </c>
      <c r="D80" s="26" t="str">
        <f ca="1">IFERROR(__xludf.DUMMYFUNCTION("IF(ISBLANK(B80),"""",IFERROR(SPARKLINE(INDEX(GOOGLEFINANCE(B80,""price"",TODAY()-$D$17,TODAY()),,2),{""charttype"",""column"";""color"",""17a7e0""}),""""))"),"")</f>
        <v/>
      </c>
      <c r="E80" s="27"/>
      <c r="F80" s="18" t="str">
        <f ca="1">IFERROR(__xludf.DUMMYFUNCTION("IFERROR(IF(B80="""","""",GOOGLEFINANCE(B80)),IFERROR(GOOGLEFINANCE(""CURRENCY:""&amp;""USD""&amp;#REF!)*IMPORTXML(""https://coinmarketcap.com/currencies/""&amp;B80,$W$3),IMPORTXML(""https://coinmarketcap.com/currencies/""&amp;B80,$W$3)))"),"")</f>
        <v/>
      </c>
      <c r="G80" s="19" t="str">
        <f ca="1">IFERROR(__xludf.DUMMYFUNCTION("IFERROR(IF(ISBLANK(B80),"""",GOOGLEFINANCE(B80,""changepct"")/100),"""")"),"")</f>
        <v/>
      </c>
      <c r="H80" s="19" t="str">
        <f ca="1">IFERROR(__xludf.DUMMYFUNCTION("IF(ISBLANK(B80),"""",IFERROR((GOOGLEFINANCE(B80,""price"")/INDEX(GOOGLEFINANCE(B80,""price"",DATEVALUE(TODAY()-365) ),2,2)-1),""""))"),"")</f>
        <v/>
      </c>
      <c r="I80" s="20" t="str">
        <f ca="1">IFERROR(__xludf.DUMMYFUNCTION("IFERROR(IF(ISBLANK(B80),"""",GOOGLEFINANCE(B80,""low52"")),"""")"),"")</f>
        <v/>
      </c>
      <c r="J80" s="19" t="str">
        <f t="shared" si="0"/>
        <v/>
      </c>
      <c r="K80" s="20" t="str">
        <f ca="1">IFERROR(__xludf.DUMMYFUNCTION("IFERROR(IF(ISBLANK(B80),"""",GOOGLEFINANCE(B80,""high52"")),"""")"),"")</f>
        <v/>
      </c>
      <c r="L80" s="19" t="str">
        <f t="shared" si="1"/>
        <v/>
      </c>
      <c r="M80" s="20" t="str">
        <f ca="1">IFERROR(__xludf.DUMMYFUNCTION("IF(ISBLANK(B80),"""",IFERROR(INDEX(GOOGLEFINANCE(B80,""price"",WORKDAY(TODAY(),-$M$17)),2,2),""""))"),"")</f>
        <v/>
      </c>
      <c r="N80" s="19" t="str">
        <f ca="1">IFERROR(__xludf.DUMMYFUNCTION("IF(ISBLANK(B80),"""",IFERROR(F80/(INDEX(GOOGLEFINANCE(B80,""price"",WORKDAY(TODAY(),-$N$17)),2,2))-1,""""))"),"")</f>
        <v/>
      </c>
      <c r="O80" s="21" t="str">
        <f ca="1">IFERROR(__xludf.DUMMYFUNCTION("IF(ISBLANK(B80),"""",IFERROR(IFERROR(""$""&amp;Trunc(GOOGLEFINANCE(B80,""Marketcap"")/1000000000)&amp;"" B"",""$""&amp;Trunc(IMPORTXML(""https://coinmarketcap.com/currencies/""&amp;B80,$W$4)/1000000000)&amp;"" B""),""-""))"),"")</f>
        <v/>
      </c>
      <c r="P80" s="8" t="str">
        <f ca="1">IFERROR(__xludf.DUMMYFUNCTION("IF(ISBLANK(B80),"""",IFERROR(GOOGLEFINANCE(B80,""pe""),""-""))"),"")</f>
        <v/>
      </c>
      <c r="Q80" s="22" t="str">
        <f ca="1">IFERROR(__xludf.DUMMYFUNCTION("SPARKLINE(INDEX(GOOGLEFINANCE(B80,""price"",workday(today(),-$Q$17),today()),,2),{""charttype"",""column"";""color"",""green""})
"),"#N/A")</f>
        <v>#N/A</v>
      </c>
      <c r="R80" s="23" t="str">
        <f t="shared" si="2"/>
        <v>Info</v>
      </c>
      <c r="S80" s="24"/>
      <c r="T80" s="25"/>
      <c r="U80" s="8"/>
      <c r="V80" s="8"/>
      <c r="W80" s="8"/>
      <c r="X80" s="8"/>
      <c r="Y80" s="8"/>
      <c r="Z80" s="8"/>
      <c r="AA80" s="8"/>
      <c r="AB80" s="8"/>
      <c r="AC80" s="8"/>
    </row>
    <row r="81" spans="1:29" ht="13" x14ac:dyDescent="0.25">
      <c r="A81" s="8"/>
      <c r="B81" s="16"/>
      <c r="C81" s="17" t="str">
        <f ca="1">IFERROR(__xludf.DUMMYFUNCTION("GOOGLEFINANCE(B81,""name"")
"),"#N/A")</f>
        <v>#N/A</v>
      </c>
      <c r="D81" s="26" t="str">
        <f ca="1">IFERROR(__xludf.DUMMYFUNCTION("IF(ISBLANK(B81),"""",IFERROR(SPARKLINE(INDEX(GOOGLEFINANCE(B81,""price"",TODAY()-$D$17,TODAY()),,2),{""charttype"",""column"";""color"",""17a7e0""}),""""))"),"")</f>
        <v/>
      </c>
      <c r="E81" s="27"/>
      <c r="F81" s="18" t="str">
        <f ca="1">IFERROR(__xludf.DUMMYFUNCTION("IFERROR(IF(B81="""","""",GOOGLEFINANCE(B81)),IFERROR(GOOGLEFINANCE(""CURRENCY:""&amp;""USD""&amp;#REF!)*IMPORTXML(""https://coinmarketcap.com/currencies/""&amp;B81,$W$3),IMPORTXML(""https://coinmarketcap.com/currencies/""&amp;B81,$W$3)))"),"")</f>
        <v/>
      </c>
      <c r="G81" s="19" t="str">
        <f ca="1">IFERROR(__xludf.DUMMYFUNCTION("IFERROR(IF(ISBLANK(B81),"""",GOOGLEFINANCE(B81,""changepct"")/100),"""")"),"")</f>
        <v/>
      </c>
      <c r="H81" s="19" t="str">
        <f ca="1">IFERROR(__xludf.DUMMYFUNCTION("IF(ISBLANK(B81),"""",IFERROR((GOOGLEFINANCE(B81,""price"")/INDEX(GOOGLEFINANCE(B81,""price"",DATEVALUE(TODAY()-365) ),2,2)-1),""""))"),"")</f>
        <v/>
      </c>
      <c r="I81" s="20" t="str">
        <f ca="1">IFERROR(__xludf.DUMMYFUNCTION("IFERROR(IF(ISBLANK(B81),"""",GOOGLEFINANCE(B81,""low52"")),"""")"),"")</f>
        <v/>
      </c>
      <c r="J81" s="19" t="str">
        <f t="shared" si="0"/>
        <v/>
      </c>
      <c r="K81" s="20" t="str">
        <f ca="1">IFERROR(__xludf.DUMMYFUNCTION("IFERROR(IF(ISBLANK(B81),"""",GOOGLEFINANCE(B81,""high52"")),"""")"),"")</f>
        <v/>
      </c>
      <c r="L81" s="19" t="str">
        <f t="shared" si="1"/>
        <v/>
      </c>
      <c r="M81" s="20" t="str">
        <f ca="1">IFERROR(__xludf.DUMMYFUNCTION("IF(ISBLANK(B81),"""",IFERROR(INDEX(GOOGLEFINANCE(B81,""price"",WORKDAY(TODAY(),-$M$17)),2,2),""""))"),"")</f>
        <v/>
      </c>
      <c r="N81" s="19" t="str">
        <f ca="1">IFERROR(__xludf.DUMMYFUNCTION("IF(ISBLANK(B81),"""",IFERROR(F81/(INDEX(GOOGLEFINANCE(B81,""price"",WORKDAY(TODAY(),-$N$17)),2,2))-1,""""))"),"")</f>
        <v/>
      </c>
      <c r="O81" s="21" t="str">
        <f ca="1">IFERROR(__xludf.DUMMYFUNCTION("IF(ISBLANK(B81),"""",IFERROR(IFERROR(""$""&amp;Trunc(GOOGLEFINANCE(B81,""Marketcap"")/1000000000)&amp;"" B"",""$""&amp;Trunc(IMPORTXML(""https://coinmarketcap.com/currencies/""&amp;B81,$W$4)/1000000000)&amp;"" B""),""-""))"),"")</f>
        <v/>
      </c>
      <c r="P81" s="8" t="str">
        <f ca="1">IFERROR(__xludf.DUMMYFUNCTION("IF(ISBLANK(B81),"""",IFERROR(GOOGLEFINANCE(B81,""pe""),""-""))"),"")</f>
        <v/>
      </c>
      <c r="Q81" s="22" t="str">
        <f ca="1">IFERROR(__xludf.DUMMYFUNCTION("SPARKLINE(INDEX(GOOGLEFINANCE(B81,""price"",workday(today(),-$Q$17),today()),,2),{""charttype"",""column"";""color"",""green""})
"),"#N/A")</f>
        <v>#N/A</v>
      </c>
      <c r="R81" s="23" t="str">
        <f t="shared" si="2"/>
        <v>Info</v>
      </c>
      <c r="S81" s="24"/>
      <c r="T81" s="25"/>
      <c r="U81" s="8"/>
      <c r="V81" s="8"/>
      <c r="W81" s="8"/>
      <c r="X81" s="8"/>
      <c r="Y81" s="8"/>
      <c r="Z81" s="8"/>
      <c r="AA81" s="8"/>
      <c r="AB81" s="8"/>
      <c r="AC81" s="8"/>
    </row>
    <row r="82" spans="1:29" ht="13" x14ac:dyDescent="0.25">
      <c r="A82" s="8"/>
      <c r="B82" s="16"/>
      <c r="C82" s="17" t="str">
        <f ca="1">IFERROR(__xludf.DUMMYFUNCTION("GOOGLEFINANCE(B82,""name"")
"),"#N/A")</f>
        <v>#N/A</v>
      </c>
      <c r="D82" s="26" t="str">
        <f ca="1">IFERROR(__xludf.DUMMYFUNCTION("IF(ISBLANK(B82),"""",IFERROR(SPARKLINE(INDEX(GOOGLEFINANCE(B82,""price"",TODAY()-$D$17,TODAY()),,2),{""charttype"",""column"";""color"",""17a7e0""}),""""))"),"")</f>
        <v/>
      </c>
      <c r="E82" s="27"/>
      <c r="F82" s="18" t="str">
        <f ca="1">IFERROR(__xludf.DUMMYFUNCTION("IFERROR(IF(B82="""","""",GOOGLEFINANCE(B82)),IFERROR(GOOGLEFINANCE(""CURRENCY:""&amp;""USD""&amp;#REF!)*IMPORTXML(""https://coinmarketcap.com/currencies/""&amp;B82,$W$3),IMPORTXML(""https://coinmarketcap.com/currencies/""&amp;B82,$W$3)))"),"")</f>
        <v/>
      </c>
      <c r="G82" s="19" t="str">
        <f ca="1">IFERROR(__xludf.DUMMYFUNCTION("IFERROR(IF(ISBLANK(B82),"""",GOOGLEFINANCE(B82,""changepct"")/100),"""")"),"")</f>
        <v/>
      </c>
      <c r="H82" s="19" t="str">
        <f ca="1">IFERROR(__xludf.DUMMYFUNCTION("IF(ISBLANK(B82),"""",IFERROR((GOOGLEFINANCE(B82,""price"")/INDEX(GOOGLEFINANCE(B82,""price"",DATEVALUE(TODAY()-365) ),2,2)-1),""""))"),"")</f>
        <v/>
      </c>
      <c r="I82" s="20" t="str">
        <f ca="1">IFERROR(__xludf.DUMMYFUNCTION("IFERROR(IF(ISBLANK(B82),"""",GOOGLEFINANCE(B82,""low52"")),"""")"),"")</f>
        <v/>
      </c>
      <c r="J82" s="19" t="str">
        <f t="shared" si="0"/>
        <v/>
      </c>
      <c r="K82" s="20" t="str">
        <f ca="1">IFERROR(__xludf.DUMMYFUNCTION("IFERROR(IF(ISBLANK(B82),"""",GOOGLEFINANCE(B82,""high52"")),"""")"),"")</f>
        <v/>
      </c>
      <c r="L82" s="19" t="str">
        <f t="shared" si="1"/>
        <v/>
      </c>
      <c r="M82" s="20" t="str">
        <f ca="1">IFERROR(__xludf.DUMMYFUNCTION("IF(ISBLANK(B82),"""",IFERROR(INDEX(GOOGLEFINANCE(B82,""price"",WORKDAY(TODAY(),-$M$17)),2,2),""""))"),"")</f>
        <v/>
      </c>
      <c r="N82" s="19" t="str">
        <f ca="1">IFERROR(__xludf.DUMMYFUNCTION("IF(ISBLANK(B82),"""",IFERROR(F82/(INDEX(GOOGLEFINANCE(B82,""price"",WORKDAY(TODAY(),-$N$17)),2,2))-1,""""))"),"")</f>
        <v/>
      </c>
      <c r="O82" s="21" t="str">
        <f ca="1">IFERROR(__xludf.DUMMYFUNCTION("IF(ISBLANK(B82),"""",IFERROR(IFERROR(""$""&amp;Trunc(GOOGLEFINANCE(B82,""Marketcap"")/1000000000)&amp;"" B"",""$""&amp;Trunc(IMPORTXML(""https://coinmarketcap.com/currencies/""&amp;B82,$W$4)/1000000000)&amp;"" B""),""-""))"),"")</f>
        <v/>
      </c>
      <c r="P82" s="8" t="str">
        <f ca="1">IFERROR(__xludf.DUMMYFUNCTION("IF(ISBLANK(B82),"""",IFERROR(GOOGLEFINANCE(B82,""pe""),""-""))"),"")</f>
        <v/>
      </c>
      <c r="Q82" s="22" t="str">
        <f ca="1">IFERROR(__xludf.DUMMYFUNCTION("SPARKLINE(INDEX(GOOGLEFINANCE(B82,""price"",workday(today(),-$Q$17),today()),,2),{""charttype"",""column"";""color"",""green""})
"),"#N/A")</f>
        <v>#N/A</v>
      </c>
      <c r="R82" s="23" t="str">
        <f t="shared" si="2"/>
        <v>Info</v>
      </c>
      <c r="S82" s="24"/>
      <c r="T82" s="25"/>
      <c r="U82" s="8"/>
      <c r="V82" s="8"/>
      <c r="W82" s="8"/>
      <c r="X82" s="8"/>
      <c r="Y82" s="8"/>
      <c r="Z82" s="8"/>
      <c r="AA82" s="8"/>
      <c r="AB82" s="8"/>
      <c r="AC82" s="8"/>
    </row>
    <row r="83" spans="1:29" ht="13" x14ac:dyDescent="0.25">
      <c r="A83" s="8"/>
      <c r="B83" s="16"/>
      <c r="C83" s="17" t="str">
        <f ca="1">IFERROR(__xludf.DUMMYFUNCTION("GOOGLEFINANCE(B83,""name"")
"),"#N/A")</f>
        <v>#N/A</v>
      </c>
      <c r="D83" s="26" t="str">
        <f ca="1">IFERROR(__xludf.DUMMYFUNCTION("IF(ISBLANK(B83),"""",IFERROR(SPARKLINE(INDEX(GOOGLEFINANCE(B83,""price"",TODAY()-$D$17,TODAY()),,2),{""charttype"",""column"";""color"",""17a7e0""}),""""))"),"")</f>
        <v/>
      </c>
      <c r="E83" s="27"/>
      <c r="F83" s="18" t="str">
        <f ca="1">IFERROR(__xludf.DUMMYFUNCTION("IFERROR(IF(B83="""","""",GOOGLEFINANCE(B83)),IFERROR(GOOGLEFINANCE(""CURRENCY:""&amp;""USD""&amp;#REF!)*IMPORTXML(""https://coinmarketcap.com/currencies/""&amp;B83,$W$3),IMPORTXML(""https://coinmarketcap.com/currencies/""&amp;B83,$W$3)))"),"")</f>
        <v/>
      </c>
      <c r="G83" s="19" t="str">
        <f ca="1">IFERROR(__xludf.DUMMYFUNCTION("IFERROR(IF(ISBLANK(B83),"""",GOOGLEFINANCE(B83,""changepct"")/100),"""")"),"")</f>
        <v/>
      </c>
      <c r="H83" s="19" t="str">
        <f ca="1">IFERROR(__xludf.DUMMYFUNCTION("IF(ISBLANK(B83),"""",IFERROR((GOOGLEFINANCE(B83,""price"")/INDEX(GOOGLEFINANCE(B83,""price"",DATEVALUE(TODAY()-365) ),2,2)-1),""""))"),"")</f>
        <v/>
      </c>
      <c r="I83" s="20" t="str">
        <f ca="1">IFERROR(__xludf.DUMMYFUNCTION("IFERROR(IF(ISBLANK(B83),"""",GOOGLEFINANCE(B83,""low52"")),"""")"),"")</f>
        <v/>
      </c>
      <c r="J83" s="19" t="str">
        <f t="shared" si="0"/>
        <v/>
      </c>
      <c r="K83" s="20" t="str">
        <f ca="1">IFERROR(__xludf.DUMMYFUNCTION("IFERROR(IF(ISBLANK(B83),"""",GOOGLEFINANCE(B83,""high52"")),"""")"),"")</f>
        <v/>
      </c>
      <c r="L83" s="19" t="str">
        <f t="shared" si="1"/>
        <v/>
      </c>
      <c r="M83" s="20" t="str">
        <f ca="1">IFERROR(__xludf.DUMMYFUNCTION("IF(ISBLANK(B83),"""",IFERROR(INDEX(GOOGLEFINANCE(B83,""price"",WORKDAY(TODAY(),-$M$17)),2,2),""""))"),"")</f>
        <v/>
      </c>
      <c r="N83" s="19" t="str">
        <f ca="1">IFERROR(__xludf.DUMMYFUNCTION("IF(ISBLANK(B83),"""",IFERROR(F83/(INDEX(GOOGLEFINANCE(B83,""price"",WORKDAY(TODAY(),-$N$17)),2,2))-1,""""))"),"")</f>
        <v/>
      </c>
      <c r="O83" s="21" t="str">
        <f ca="1">IFERROR(__xludf.DUMMYFUNCTION("IF(ISBLANK(B83),"""",IFERROR(IFERROR(""$""&amp;Trunc(GOOGLEFINANCE(B83,""Marketcap"")/1000000000)&amp;"" B"",""$""&amp;Trunc(IMPORTXML(""https://coinmarketcap.com/currencies/""&amp;B83,$W$4)/1000000000)&amp;"" B""),""-""))"),"")</f>
        <v/>
      </c>
      <c r="P83" s="8" t="str">
        <f ca="1">IFERROR(__xludf.DUMMYFUNCTION("IF(ISBLANK(B83),"""",IFERROR(GOOGLEFINANCE(B83,""pe""),""-""))"),"")</f>
        <v/>
      </c>
      <c r="Q83" s="22" t="str">
        <f ca="1">IFERROR(__xludf.DUMMYFUNCTION("SPARKLINE(INDEX(GOOGLEFINANCE(B83,""price"",workday(today(),-$Q$17),today()),,2),{""charttype"",""column"";""color"",""green""})
"),"#N/A")</f>
        <v>#N/A</v>
      </c>
      <c r="R83" s="23" t="str">
        <f t="shared" si="2"/>
        <v>Info</v>
      </c>
      <c r="S83" s="24"/>
      <c r="T83" s="25"/>
      <c r="U83" s="8"/>
      <c r="V83" s="8"/>
      <c r="W83" s="8"/>
      <c r="X83" s="8"/>
      <c r="Y83" s="8"/>
      <c r="Z83" s="8"/>
      <c r="AA83" s="8"/>
      <c r="AB83" s="8"/>
      <c r="AC83" s="8"/>
    </row>
    <row r="84" spans="1:29" ht="13" x14ac:dyDescent="0.25">
      <c r="A84" s="8"/>
      <c r="B84" s="16"/>
      <c r="C84" s="17" t="str">
        <f ca="1">IFERROR(__xludf.DUMMYFUNCTION("GOOGLEFINANCE(B84,""name"")
"),"#N/A")</f>
        <v>#N/A</v>
      </c>
      <c r="D84" s="26" t="str">
        <f ca="1">IFERROR(__xludf.DUMMYFUNCTION("IF(ISBLANK(B84),"""",IFERROR(SPARKLINE(INDEX(GOOGLEFINANCE(B84,""price"",TODAY()-$D$17,TODAY()),,2),{""charttype"",""column"";""color"",""17a7e0""}),""""))"),"")</f>
        <v/>
      </c>
      <c r="E84" s="27"/>
      <c r="F84" s="18" t="str">
        <f ca="1">IFERROR(__xludf.DUMMYFUNCTION("IFERROR(IF(B84="""","""",GOOGLEFINANCE(B84)),IFERROR(GOOGLEFINANCE(""CURRENCY:""&amp;""USD""&amp;#REF!)*IMPORTXML(""https://coinmarketcap.com/currencies/""&amp;B84,$W$3),IMPORTXML(""https://coinmarketcap.com/currencies/""&amp;B84,$W$3)))"),"")</f>
        <v/>
      </c>
      <c r="G84" s="19" t="str">
        <f ca="1">IFERROR(__xludf.DUMMYFUNCTION("IFERROR(IF(ISBLANK(B84),"""",GOOGLEFINANCE(B84,""changepct"")/100),"""")"),"")</f>
        <v/>
      </c>
      <c r="H84" s="19" t="str">
        <f ca="1">IFERROR(__xludf.DUMMYFUNCTION("IF(ISBLANK(B84),"""",IFERROR((GOOGLEFINANCE(B84,""price"")/INDEX(GOOGLEFINANCE(B84,""price"",DATEVALUE(TODAY()-365) ),2,2)-1),""""))"),"")</f>
        <v/>
      </c>
      <c r="I84" s="20" t="str">
        <f ca="1">IFERROR(__xludf.DUMMYFUNCTION("IFERROR(IF(ISBLANK(B84),"""",GOOGLEFINANCE(B84,""low52"")),"""")"),"")</f>
        <v/>
      </c>
      <c r="J84" s="19" t="str">
        <f t="shared" si="0"/>
        <v/>
      </c>
      <c r="K84" s="20" t="str">
        <f ca="1">IFERROR(__xludf.DUMMYFUNCTION("IFERROR(IF(ISBLANK(B84),"""",GOOGLEFINANCE(B84,""high52"")),"""")"),"")</f>
        <v/>
      </c>
      <c r="L84" s="19" t="str">
        <f t="shared" si="1"/>
        <v/>
      </c>
      <c r="M84" s="20" t="str">
        <f ca="1">IFERROR(__xludf.DUMMYFUNCTION("IF(ISBLANK(B84),"""",IFERROR(INDEX(GOOGLEFINANCE(B84,""price"",WORKDAY(TODAY(),-$M$17)),2,2),""""))"),"")</f>
        <v/>
      </c>
      <c r="N84" s="19" t="str">
        <f ca="1">IFERROR(__xludf.DUMMYFUNCTION("IF(ISBLANK(B84),"""",IFERROR(F84/(INDEX(GOOGLEFINANCE(B84,""price"",WORKDAY(TODAY(),-$N$17)),2,2))-1,""""))"),"")</f>
        <v/>
      </c>
      <c r="O84" s="21" t="str">
        <f ca="1">IFERROR(__xludf.DUMMYFUNCTION("IF(ISBLANK(B84),"""",IFERROR(IFERROR(""$""&amp;Trunc(GOOGLEFINANCE(B84,""Marketcap"")/1000000000)&amp;"" B"",""$""&amp;Trunc(IMPORTXML(""https://coinmarketcap.com/currencies/""&amp;B84,$W$4)/1000000000)&amp;"" B""),""-""))"),"")</f>
        <v/>
      </c>
      <c r="P84" s="8" t="str">
        <f ca="1">IFERROR(__xludf.DUMMYFUNCTION("IF(ISBLANK(B84),"""",IFERROR(GOOGLEFINANCE(B84,""pe""),""-""))"),"")</f>
        <v/>
      </c>
      <c r="Q84" s="22" t="str">
        <f ca="1">IFERROR(__xludf.DUMMYFUNCTION("SPARKLINE(INDEX(GOOGLEFINANCE(B84,""price"",workday(today(),-$Q$17),today()),,2),{""charttype"",""column"";""color"",""green""})
"),"#N/A")</f>
        <v>#N/A</v>
      </c>
      <c r="R84" s="23" t="str">
        <f t="shared" si="2"/>
        <v>Info</v>
      </c>
      <c r="S84" s="24"/>
      <c r="T84" s="25"/>
      <c r="U84" s="8"/>
      <c r="V84" s="8"/>
      <c r="W84" s="8"/>
      <c r="X84" s="8"/>
      <c r="Y84" s="8"/>
      <c r="Z84" s="8"/>
      <c r="AA84" s="8"/>
      <c r="AB84" s="8"/>
      <c r="AC84" s="8"/>
    </row>
    <row r="85" spans="1:29" ht="13" x14ac:dyDescent="0.25">
      <c r="A85" s="8"/>
      <c r="B85" s="16"/>
      <c r="C85" s="17" t="str">
        <f ca="1">IFERROR(__xludf.DUMMYFUNCTION("GOOGLEFINANCE(B85,""name"")
"),"#N/A")</f>
        <v>#N/A</v>
      </c>
      <c r="D85" s="26" t="str">
        <f ca="1">IFERROR(__xludf.DUMMYFUNCTION("IF(ISBLANK(B85),"""",IFERROR(SPARKLINE(INDEX(GOOGLEFINANCE(B85,""price"",TODAY()-$D$17,TODAY()),,2),{""charttype"",""column"";""color"",""17a7e0""}),""""))"),"")</f>
        <v/>
      </c>
      <c r="E85" s="27"/>
      <c r="F85" s="18" t="str">
        <f ca="1">IFERROR(__xludf.DUMMYFUNCTION("IFERROR(IF(B85="""","""",GOOGLEFINANCE(B85)),IFERROR(GOOGLEFINANCE(""CURRENCY:""&amp;""USD""&amp;#REF!)*IMPORTXML(""https://coinmarketcap.com/currencies/""&amp;B85,$W$3),IMPORTXML(""https://coinmarketcap.com/currencies/""&amp;B85,$W$3)))"),"")</f>
        <v/>
      </c>
      <c r="G85" s="19" t="str">
        <f ca="1">IFERROR(__xludf.DUMMYFUNCTION("IFERROR(IF(ISBLANK(B85),"""",GOOGLEFINANCE(B85,""changepct"")/100),"""")"),"")</f>
        <v/>
      </c>
      <c r="H85" s="19" t="str">
        <f ca="1">IFERROR(__xludf.DUMMYFUNCTION("IF(ISBLANK(B85),"""",IFERROR((GOOGLEFINANCE(B85,""price"")/INDEX(GOOGLEFINANCE(B85,""price"",DATEVALUE(TODAY()-365) ),2,2)-1),""""))"),"")</f>
        <v/>
      </c>
      <c r="I85" s="20" t="str">
        <f ca="1">IFERROR(__xludf.DUMMYFUNCTION("IFERROR(IF(ISBLANK(B85),"""",GOOGLEFINANCE(B85,""low52"")),"""")"),"")</f>
        <v/>
      </c>
      <c r="J85" s="19" t="str">
        <f t="shared" si="0"/>
        <v/>
      </c>
      <c r="K85" s="20" t="str">
        <f ca="1">IFERROR(__xludf.DUMMYFUNCTION("IFERROR(IF(ISBLANK(B85),"""",GOOGLEFINANCE(B85,""high52"")),"""")"),"")</f>
        <v/>
      </c>
      <c r="L85" s="19" t="str">
        <f t="shared" si="1"/>
        <v/>
      </c>
      <c r="M85" s="20" t="str">
        <f ca="1">IFERROR(__xludf.DUMMYFUNCTION("IF(ISBLANK(B85),"""",IFERROR(INDEX(GOOGLEFINANCE(B85,""price"",WORKDAY(TODAY(),-$M$17)),2,2),""""))"),"")</f>
        <v/>
      </c>
      <c r="N85" s="19" t="str">
        <f ca="1">IFERROR(__xludf.DUMMYFUNCTION("IF(ISBLANK(B85),"""",IFERROR(F85/(INDEX(GOOGLEFINANCE(B85,""price"",WORKDAY(TODAY(),-$N$17)),2,2))-1,""""))"),"")</f>
        <v/>
      </c>
      <c r="O85" s="21" t="str">
        <f ca="1">IFERROR(__xludf.DUMMYFUNCTION("IF(ISBLANK(B85),"""",IFERROR(IFERROR(""$""&amp;Trunc(GOOGLEFINANCE(B85,""Marketcap"")/1000000000)&amp;"" B"",""$""&amp;Trunc(IMPORTXML(""https://coinmarketcap.com/currencies/""&amp;B85,$W$4)/1000000000)&amp;"" B""),""-""))"),"")</f>
        <v/>
      </c>
      <c r="P85" s="8" t="str">
        <f ca="1">IFERROR(__xludf.DUMMYFUNCTION("IF(ISBLANK(B85),"""",IFERROR(GOOGLEFINANCE(B85,""pe""),""-""))"),"")</f>
        <v/>
      </c>
      <c r="Q85" s="22" t="str">
        <f ca="1">IFERROR(__xludf.DUMMYFUNCTION("SPARKLINE(INDEX(GOOGLEFINANCE(B85,""price"",workday(today(),-$Q$17),today()),,2),{""charttype"",""column"";""color"",""green""})
"),"#N/A")</f>
        <v>#N/A</v>
      </c>
      <c r="R85" s="23" t="str">
        <f t="shared" si="2"/>
        <v>Info</v>
      </c>
      <c r="S85" s="24"/>
      <c r="T85" s="25"/>
      <c r="U85" s="8"/>
      <c r="V85" s="8"/>
      <c r="W85" s="8"/>
      <c r="X85" s="8"/>
      <c r="Y85" s="8"/>
      <c r="Z85" s="8"/>
      <c r="AA85" s="8"/>
      <c r="AB85" s="8"/>
      <c r="AC85" s="8"/>
    </row>
    <row r="86" spans="1:29" ht="13" x14ac:dyDescent="0.25">
      <c r="A86" s="8"/>
      <c r="B86" s="16"/>
      <c r="C86" s="17" t="str">
        <f ca="1">IFERROR(__xludf.DUMMYFUNCTION("GOOGLEFINANCE(B86,""name"")
"),"#N/A")</f>
        <v>#N/A</v>
      </c>
      <c r="D86" s="26" t="str">
        <f ca="1">IFERROR(__xludf.DUMMYFUNCTION("IF(ISBLANK(B86),"""",IFERROR(SPARKLINE(INDEX(GOOGLEFINANCE(B86,""price"",TODAY()-$D$17,TODAY()),,2),{""charttype"",""column"";""color"",""17a7e0""}),""""))"),"")</f>
        <v/>
      </c>
      <c r="E86" s="27"/>
      <c r="F86" s="18" t="str">
        <f ca="1">IFERROR(__xludf.DUMMYFUNCTION("IFERROR(IF(B86="""","""",GOOGLEFINANCE(B86)),IFERROR(GOOGLEFINANCE(""CURRENCY:""&amp;""USD""&amp;#REF!)*IMPORTXML(""https://coinmarketcap.com/currencies/""&amp;B86,$W$3),IMPORTXML(""https://coinmarketcap.com/currencies/""&amp;B86,$W$3)))"),"")</f>
        <v/>
      </c>
      <c r="G86" s="19" t="str">
        <f ca="1">IFERROR(__xludf.DUMMYFUNCTION("IFERROR(IF(ISBLANK(B86),"""",GOOGLEFINANCE(B86,""changepct"")/100),"""")"),"")</f>
        <v/>
      </c>
      <c r="H86" s="19" t="str">
        <f ca="1">IFERROR(__xludf.DUMMYFUNCTION("IF(ISBLANK(B86),"""",IFERROR((GOOGLEFINANCE(B86,""price"")/INDEX(GOOGLEFINANCE(B86,""price"",DATEVALUE(TODAY()-365) ),2,2)-1),""""))"),"")</f>
        <v/>
      </c>
      <c r="I86" s="20" t="str">
        <f ca="1">IFERROR(__xludf.DUMMYFUNCTION("IFERROR(IF(ISBLANK(B86),"""",GOOGLEFINANCE(B86,""low52"")),"""")"),"")</f>
        <v/>
      </c>
      <c r="J86" s="19" t="str">
        <f t="shared" si="0"/>
        <v/>
      </c>
      <c r="K86" s="20" t="str">
        <f ca="1">IFERROR(__xludf.DUMMYFUNCTION("IFERROR(IF(ISBLANK(B86),"""",GOOGLEFINANCE(B86,""high52"")),"""")"),"")</f>
        <v/>
      </c>
      <c r="L86" s="19" t="str">
        <f t="shared" si="1"/>
        <v/>
      </c>
      <c r="M86" s="20" t="str">
        <f ca="1">IFERROR(__xludf.DUMMYFUNCTION("IF(ISBLANK(B86),"""",IFERROR(INDEX(GOOGLEFINANCE(B86,""price"",WORKDAY(TODAY(),-$M$17)),2,2),""""))"),"")</f>
        <v/>
      </c>
      <c r="N86" s="19" t="str">
        <f ca="1">IFERROR(__xludf.DUMMYFUNCTION("IF(ISBLANK(B86),"""",IFERROR(F86/(INDEX(GOOGLEFINANCE(B86,""price"",WORKDAY(TODAY(),-$N$17)),2,2))-1,""""))"),"")</f>
        <v/>
      </c>
      <c r="O86" s="21" t="str">
        <f ca="1">IFERROR(__xludf.DUMMYFUNCTION("IF(ISBLANK(B86),"""",IFERROR(IFERROR(""$""&amp;Trunc(GOOGLEFINANCE(B86,""Marketcap"")/1000000000)&amp;"" B"",""$""&amp;Trunc(IMPORTXML(""https://coinmarketcap.com/currencies/""&amp;B86,$W$4)/1000000000)&amp;"" B""),""-""))"),"")</f>
        <v/>
      </c>
      <c r="P86" s="8" t="str">
        <f ca="1">IFERROR(__xludf.DUMMYFUNCTION("IF(ISBLANK(B86),"""",IFERROR(GOOGLEFINANCE(B86,""pe""),""-""))"),"")</f>
        <v/>
      </c>
      <c r="Q86" s="22" t="str">
        <f ca="1">IFERROR(__xludf.DUMMYFUNCTION("SPARKLINE(INDEX(GOOGLEFINANCE(B86,""price"",workday(today(),-$Q$17),today()),,2),{""charttype"",""column"";""color"",""green""})
"),"#N/A")</f>
        <v>#N/A</v>
      </c>
      <c r="R86" s="23" t="str">
        <f t="shared" si="2"/>
        <v>Info</v>
      </c>
      <c r="S86" s="24"/>
      <c r="T86" s="25"/>
      <c r="U86" s="8"/>
      <c r="V86" s="8"/>
      <c r="W86" s="8"/>
      <c r="X86" s="8"/>
      <c r="Y86" s="8"/>
      <c r="Z86" s="8"/>
      <c r="AA86" s="8"/>
      <c r="AB86" s="8"/>
      <c r="AC86" s="8"/>
    </row>
    <row r="87" spans="1:29" ht="13" x14ac:dyDescent="0.25">
      <c r="A87" s="8"/>
      <c r="B87" s="16"/>
      <c r="C87" s="17" t="str">
        <f ca="1">IFERROR(__xludf.DUMMYFUNCTION("GOOGLEFINANCE(B87,""name"")
"),"#N/A")</f>
        <v>#N/A</v>
      </c>
      <c r="D87" s="26" t="str">
        <f ca="1">IFERROR(__xludf.DUMMYFUNCTION("IF(ISBLANK(B87),"""",IFERROR(SPARKLINE(INDEX(GOOGLEFINANCE(B87,""price"",TODAY()-$D$17,TODAY()),,2),{""charttype"",""column"";""color"",""17a7e0""}),""""))"),"")</f>
        <v/>
      </c>
      <c r="E87" s="27"/>
      <c r="F87" s="18" t="str">
        <f ca="1">IFERROR(__xludf.DUMMYFUNCTION("IFERROR(IF(B87="""","""",GOOGLEFINANCE(B87)),IFERROR(GOOGLEFINANCE(""CURRENCY:""&amp;""USD""&amp;#REF!)*IMPORTXML(""https://coinmarketcap.com/currencies/""&amp;B87,$W$3),IMPORTXML(""https://coinmarketcap.com/currencies/""&amp;B87,$W$3)))"),"")</f>
        <v/>
      </c>
      <c r="G87" s="19" t="str">
        <f ca="1">IFERROR(__xludf.DUMMYFUNCTION("IFERROR(IF(ISBLANK(B87),"""",GOOGLEFINANCE(B87,""changepct"")/100),"""")"),"")</f>
        <v/>
      </c>
      <c r="H87" s="19" t="str">
        <f ca="1">IFERROR(__xludf.DUMMYFUNCTION("IF(ISBLANK(B87),"""",IFERROR((GOOGLEFINANCE(B87,""price"")/INDEX(GOOGLEFINANCE(B87,""price"",DATEVALUE(TODAY()-365) ),2,2)-1),""""))"),"")</f>
        <v/>
      </c>
      <c r="I87" s="20" t="str">
        <f ca="1">IFERROR(__xludf.DUMMYFUNCTION("IFERROR(IF(ISBLANK(B87),"""",GOOGLEFINANCE(B87,""low52"")),"""")"),"")</f>
        <v/>
      </c>
      <c r="J87" s="19" t="str">
        <f t="shared" si="0"/>
        <v/>
      </c>
      <c r="K87" s="20" t="str">
        <f ca="1">IFERROR(__xludf.DUMMYFUNCTION("IFERROR(IF(ISBLANK(B87),"""",GOOGLEFINANCE(B87,""high52"")),"""")"),"")</f>
        <v/>
      </c>
      <c r="L87" s="19" t="str">
        <f t="shared" si="1"/>
        <v/>
      </c>
      <c r="M87" s="20" t="str">
        <f ca="1">IFERROR(__xludf.DUMMYFUNCTION("IF(ISBLANK(B87),"""",IFERROR(INDEX(GOOGLEFINANCE(B87,""price"",WORKDAY(TODAY(),-$M$17)),2,2),""""))"),"")</f>
        <v/>
      </c>
      <c r="N87" s="19" t="str">
        <f ca="1">IFERROR(__xludf.DUMMYFUNCTION("IF(ISBLANK(B87),"""",IFERROR(F87/(INDEX(GOOGLEFINANCE(B87,""price"",WORKDAY(TODAY(),-$N$17)),2,2))-1,""""))"),"")</f>
        <v/>
      </c>
      <c r="O87" s="21" t="str">
        <f ca="1">IFERROR(__xludf.DUMMYFUNCTION("IF(ISBLANK(B87),"""",IFERROR(IFERROR(""$""&amp;Trunc(GOOGLEFINANCE(B87,""Marketcap"")/1000000000)&amp;"" B"",""$""&amp;Trunc(IMPORTXML(""https://coinmarketcap.com/currencies/""&amp;B87,$W$4)/1000000000)&amp;"" B""),""-""))"),"")</f>
        <v/>
      </c>
      <c r="P87" s="8" t="str">
        <f ca="1">IFERROR(__xludf.DUMMYFUNCTION("IF(ISBLANK(B87),"""",IFERROR(GOOGLEFINANCE(B87,""pe""),""-""))"),"")</f>
        <v/>
      </c>
      <c r="Q87" s="22" t="str">
        <f ca="1">IFERROR(__xludf.DUMMYFUNCTION("SPARKLINE(INDEX(GOOGLEFINANCE(B87,""price"",workday(today(),-$Q$17),today()),,2),{""charttype"",""column"";""color"",""green""})
"),"#N/A")</f>
        <v>#N/A</v>
      </c>
      <c r="R87" s="23" t="str">
        <f t="shared" si="2"/>
        <v>Info</v>
      </c>
      <c r="S87" s="24"/>
      <c r="T87" s="25"/>
      <c r="U87" s="8"/>
      <c r="V87" s="8"/>
      <c r="W87" s="8"/>
      <c r="X87" s="8"/>
      <c r="Y87" s="8"/>
      <c r="Z87" s="8"/>
      <c r="AA87" s="8"/>
      <c r="AB87" s="8"/>
      <c r="AC87" s="8"/>
    </row>
    <row r="88" spans="1:29" ht="13" x14ac:dyDescent="0.25">
      <c r="A88" s="8"/>
      <c r="B88" s="16"/>
      <c r="C88" s="17" t="str">
        <f ca="1">IFERROR(__xludf.DUMMYFUNCTION("GOOGLEFINANCE(B88,""name"")
"),"#N/A")</f>
        <v>#N/A</v>
      </c>
      <c r="D88" s="26" t="str">
        <f ca="1">IFERROR(__xludf.DUMMYFUNCTION("IF(ISBLANK(B88),"""",IFERROR(SPARKLINE(INDEX(GOOGLEFINANCE(B88,""price"",TODAY()-$D$17,TODAY()),,2),{""charttype"",""column"";""color"",""17a7e0""}),""""))"),"")</f>
        <v/>
      </c>
      <c r="E88" s="27"/>
      <c r="F88" s="18" t="str">
        <f ca="1">IFERROR(__xludf.DUMMYFUNCTION("IFERROR(IF(B88="""","""",GOOGLEFINANCE(B88)),IFERROR(GOOGLEFINANCE(""CURRENCY:""&amp;""USD""&amp;#REF!)*IMPORTXML(""https://coinmarketcap.com/currencies/""&amp;B88,$W$3),IMPORTXML(""https://coinmarketcap.com/currencies/""&amp;B88,$W$3)))"),"")</f>
        <v/>
      </c>
      <c r="G88" s="19" t="str">
        <f ca="1">IFERROR(__xludf.DUMMYFUNCTION("IFERROR(IF(ISBLANK(B88),"""",GOOGLEFINANCE(B88,""changepct"")/100),"""")"),"")</f>
        <v/>
      </c>
      <c r="H88" s="19" t="str">
        <f ca="1">IFERROR(__xludf.DUMMYFUNCTION("IF(ISBLANK(B88),"""",IFERROR((GOOGLEFINANCE(B88,""price"")/INDEX(GOOGLEFINANCE(B88,""price"",DATEVALUE(TODAY()-365) ),2,2)-1),""""))"),"")</f>
        <v/>
      </c>
      <c r="I88" s="20" t="str">
        <f ca="1">IFERROR(__xludf.DUMMYFUNCTION("IFERROR(IF(ISBLANK(B88),"""",GOOGLEFINANCE(B88,""low52"")),"""")"),"")</f>
        <v/>
      </c>
      <c r="J88" s="19" t="str">
        <f t="shared" si="0"/>
        <v/>
      </c>
      <c r="K88" s="20" t="str">
        <f ca="1">IFERROR(__xludf.DUMMYFUNCTION("IFERROR(IF(ISBLANK(B88),"""",GOOGLEFINANCE(B88,""high52"")),"""")"),"")</f>
        <v/>
      </c>
      <c r="L88" s="19" t="str">
        <f t="shared" si="1"/>
        <v/>
      </c>
      <c r="M88" s="20" t="str">
        <f ca="1">IFERROR(__xludf.DUMMYFUNCTION("IF(ISBLANK(B88),"""",IFERROR(INDEX(GOOGLEFINANCE(B88,""price"",WORKDAY(TODAY(),-$M$17)),2,2),""""))"),"")</f>
        <v/>
      </c>
      <c r="N88" s="19" t="str">
        <f ca="1">IFERROR(__xludf.DUMMYFUNCTION("IF(ISBLANK(B88),"""",IFERROR(F88/(INDEX(GOOGLEFINANCE(B88,""price"",WORKDAY(TODAY(),-$N$17)),2,2))-1,""""))"),"")</f>
        <v/>
      </c>
      <c r="O88" s="21" t="str">
        <f ca="1">IFERROR(__xludf.DUMMYFUNCTION("IF(ISBLANK(B88),"""",IFERROR(IFERROR(""$""&amp;Trunc(GOOGLEFINANCE(B88,""Marketcap"")/1000000000)&amp;"" B"",""$""&amp;Trunc(IMPORTXML(""https://coinmarketcap.com/currencies/""&amp;B88,$W$4)/1000000000)&amp;"" B""),""-""))"),"")</f>
        <v/>
      </c>
      <c r="P88" s="8" t="str">
        <f ca="1">IFERROR(__xludf.DUMMYFUNCTION("IF(ISBLANK(B88),"""",IFERROR(GOOGLEFINANCE(B88,""pe""),""-""))"),"")</f>
        <v/>
      </c>
      <c r="Q88" s="22" t="str">
        <f ca="1">IFERROR(__xludf.DUMMYFUNCTION("SPARKLINE(INDEX(GOOGLEFINANCE(B88,""price"",workday(today(),-$Q$17),today()),,2),{""charttype"",""column"";""color"",""green""})
"),"#N/A")</f>
        <v>#N/A</v>
      </c>
      <c r="R88" s="23" t="str">
        <f t="shared" si="2"/>
        <v>Info</v>
      </c>
      <c r="S88" s="24"/>
      <c r="T88" s="25"/>
      <c r="U88" s="8"/>
      <c r="V88" s="8"/>
      <c r="W88" s="8"/>
      <c r="X88" s="8"/>
      <c r="Y88" s="8"/>
      <c r="Z88" s="8"/>
      <c r="AA88" s="8"/>
      <c r="AB88" s="8"/>
      <c r="AC88" s="8"/>
    </row>
    <row r="89" spans="1:29" ht="13" x14ac:dyDescent="0.25">
      <c r="A89" s="8"/>
      <c r="B89" s="16"/>
      <c r="C89" s="17" t="str">
        <f ca="1">IFERROR(__xludf.DUMMYFUNCTION("GOOGLEFINANCE(B89,""name"")
"),"#N/A")</f>
        <v>#N/A</v>
      </c>
      <c r="D89" s="26" t="str">
        <f ca="1">IFERROR(__xludf.DUMMYFUNCTION("IF(ISBLANK(B89),"""",IFERROR(SPARKLINE(INDEX(GOOGLEFINANCE(B89,""price"",TODAY()-$D$17,TODAY()),,2),{""charttype"",""column"";""color"",""17a7e0""}),""""))"),"")</f>
        <v/>
      </c>
      <c r="E89" s="27"/>
      <c r="F89" s="18" t="str">
        <f ca="1">IFERROR(__xludf.DUMMYFUNCTION("IFERROR(IF(B89="""","""",GOOGLEFINANCE(B89)),IFERROR(GOOGLEFINANCE(""CURRENCY:""&amp;""USD""&amp;#REF!)*IMPORTXML(""https://coinmarketcap.com/currencies/""&amp;B89,$W$3),IMPORTXML(""https://coinmarketcap.com/currencies/""&amp;B89,$W$3)))"),"")</f>
        <v/>
      </c>
      <c r="G89" s="19" t="str">
        <f ca="1">IFERROR(__xludf.DUMMYFUNCTION("IFERROR(IF(ISBLANK(B89),"""",GOOGLEFINANCE(B89,""changepct"")/100),"""")"),"")</f>
        <v/>
      </c>
      <c r="H89" s="19" t="str">
        <f ca="1">IFERROR(__xludf.DUMMYFUNCTION("IF(ISBLANK(B89),"""",IFERROR((GOOGLEFINANCE(B89,""price"")/INDEX(GOOGLEFINANCE(B89,""price"",DATEVALUE(TODAY()-365) ),2,2)-1),""""))"),"")</f>
        <v/>
      </c>
      <c r="I89" s="20" t="str">
        <f ca="1">IFERROR(__xludf.DUMMYFUNCTION("IFERROR(IF(ISBLANK(B89),"""",GOOGLEFINANCE(B89,""low52"")),"""")"),"")</f>
        <v/>
      </c>
      <c r="J89" s="19" t="str">
        <f t="shared" si="0"/>
        <v/>
      </c>
      <c r="K89" s="20" t="str">
        <f ca="1">IFERROR(__xludf.DUMMYFUNCTION("IFERROR(IF(ISBLANK(B89),"""",GOOGLEFINANCE(B89,""high52"")),"""")"),"")</f>
        <v/>
      </c>
      <c r="L89" s="19" t="str">
        <f t="shared" si="1"/>
        <v/>
      </c>
      <c r="M89" s="20" t="str">
        <f ca="1">IFERROR(__xludf.DUMMYFUNCTION("IF(ISBLANK(B89),"""",IFERROR(INDEX(GOOGLEFINANCE(B89,""price"",WORKDAY(TODAY(),-$M$17)),2,2),""""))"),"")</f>
        <v/>
      </c>
      <c r="N89" s="19" t="str">
        <f ca="1">IFERROR(__xludf.DUMMYFUNCTION("IF(ISBLANK(B89),"""",IFERROR(F89/(INDEX(GOOGLEFINANCE(B89,""price"",WORKDAY(TODAY(),-$N$17)),2,2))-1,""""))"),"")</f>
        <v/>
      </c>
      <c r="O89" s="21" t="str">
        <f ca="1">IFERROR(__xludf.DUMMYFUNCTION("IF(ISBLANK(B89),"""",IFERROR(IFERROR(""$""&amp;Trunc(GOOGLEFINANCE(B89,""Marketcap"")/1000000000)&amp;"" B"",""$""&amp;Trunc(IMPORTXML(""https://coinmarketcap.com/currencies/""&amp;B89,$W$4)/1000000000)&amp;"" B""),""-""))"),"")</f>
        <v/>
      </c>
      <c r="P89" s="8" t="str">
        <f ca="1">IFERROR(__xludf.DUMMYFUNCTION("IF(ISBLANK(B89),"""",IFERROR(GOOGLEFINANCE(B89,""pe""),""-""))"),"")</f>
        <v/>
      </c>
      <c r="Q89" s="22" t="str">
        <f ca="1">IFERROR(__xludf.DUMMYFUNCTION("SPARKLINE(INDEX(GOOGLEFINANCE(B89,""price"",workday(today(),-$Q$17),today()),,2),{""charttype"",""column"";""color"",""green""})
"),"#N/A")</f>
        <v>#N/A</v>
      </c>
      <c r="R89" s="23" t="str">
        <f t="shared" si="2"/>
        <v>Info</v>
      </c>
      <c r="S89" s="24"/>
      <c r="T89" s="25"/>
      <c r="U89" s="8"/>
      <c r="V89" s="8"/>
      <c r="W89" s="8"/>
      <c r="X89" s="8"/>
      <c r="Y89" s="8"/>
      <c r="Z89" s="8"/>
      <c r="AA89" s="8"/>
      <c r="AB89" s="8"/>
      <c r="AC89" s="8"/>
    </row>
    <row r="90" spans="1:29" ht="13" x14ac:dyDescent="0.25">
      <c r="A90" s="8"/>
      <c r="B90" s="16"/>
      <c r="C90" s="17" t="str">
        <f ca="1">IFERROR(__xludf.DUMMYFUNCTION("GOOGLEFINANCE(B90,""name"")
"),"#N/A")</f>
        <v>#N/A</v>
      </c>
      <c r="D90" s="26" t="str">
        <f ca="1">IFERROR(__xludf.DUMMYFUNCTION("IF(ISBLANK(B90),"""",IFERROR(SPARKLINE(INDEX(GOOGLEFINANCE(B90,""price"",TODAY()-$D$17,TODAY()),,2),{""charttype"",""column"";""color"",""17a7e0""}),""""))"),"")</f>
        <v/>
      </c>
      <c r="E90" s="27"/>
      <c r="F90" s="18" t="str">
        <f ca="1">IFERROR(__xludf.DUMMYFUNCTION("IFERROR(IF(B90="""","""",GOOGLEFINANCE(B90)),IFERROR(GOOGLEFINANCE(""CURRENCY:""&amp;""USD""&amp;#REF!)*IMPORTXML(""https://coinmarketcap.com/currencies/""&amp;B90,$W$3),IMPORTXML(""https://coinmarketcap.com/currencies/""&amp;B90,$W$3)))"),"")</f>
        <v/>
      </c>
      <c r="G90" s="19" t="str">
        <f ca="1">IFERROR(__xludf.DUMMYFUNCTION("IFERROR(IF(ISBLANK(B90),"""",GOOGLEFINANCE(B90,""changepct"")/100),"""")"),"")</f>
        <v/>
      </c>
      <c r="H90" s="19" t="str">
        <f ca="1">IFERROR(__xludf.DUMMYFUNCTION("IF(ISBLANK(B90),"""",IFERROR((GOOGLEFINANCE(B90,""price"")/INDEX(GOOGLEFINANCE(B90,""price"",DATEVALUE(TODAY()-365) ),2,2)-1),""""))"),"")</f>
        <v/>
      </c>
      <c r="I90" s="20" t="str">
        <f ca="1">IFERROR(__xludf.DUMMYFUNCTION("IFERROR(IF(ISBLANK(B90),"""",GOOGLEFINANCE(B90,""low52"")),"""")"),"")</f>
        <v/>
      </c>
      <c r="J90" s="19" t="str">
        <f t="shared" si="0"/>
        <v/>
      </c>
      <c r="K90" s="20" t="str">
        <f ca="1">IFERROR(__xludf.DUMMYFUNCTION("IFERROR(IF(ISBLANK(B90),"""",GOOGLEFINANCE(B90,""high52"")),"""")"),"")</f>
        <v/>
      </c>
      <c r="L90" s="19" t="str">
        <f t="shared" si="1"/>
        <v/>
      </c>
      <c r="M90" s="20" t="str">
        <f ca="1">IFERROR(__xludf.DUMMYFUNCTION("IF(ISBLANK(B90),"""",IFERROR(INDEX(GOOGLEFINANCE(B90,""price"",WORKDAY(TODAY(),-$M$17)),2,2),""""))"),"")</f>
        <v/>
      </c>
      <c r="N90" s="19" t="str">
        <f ca="1">IFERROR(__xludf.DUMMYFUNCTION("IF(ISBLANK(B90),"""",IFERROR(F90/(INDEX(GOOGLEFINANCE(B90,""price"",WORKDAY(TODAY(),-$N$17)),2,2))-1,""""))"),"")</f>
        <v/>
      </c>
      <c r="O90" s="21" t="str">
        <f ca="1">IFERROR(__xludf.DUMMYFUNCTION("IF(ISBLANK(B90),"""",IFERROR(IFERROR(""$""&amp;Trunc(GOOGLEFINANCE(B90,""Marketcap"")/1000000000)&amp;"" B"",""$""&amp;Trunc(IMPORTXML(""https://coinmarketcap.com/currencies/""&amp;B90,$W$4)/1000000000)&amp;"" B""),""-""))"),"")</f>
        <v/>
      </c>
      <c r="P90" s="8" t="str">
        <f ca="1">IFERROR(__xludf.DUMMYFUNCTION("IF(ISBLANK(B90),"""",IFERROR(GOOGLEFINANCE(B90,""pe""),""-""))"),"")</f>
        <v/>
      </c>
      <c r="Q90" s="22" t="str">
        <f ca="1">IFERROR(__xludf.DUMMYFUNCTION("SPARKLINE(INDEX(GOOGLEFINANCE(B90,""price"",workday(today(),-$Q$17),today()),,2),{""charttype"",""column"";""color"",""green""})
"),"#N/A")</f>
        <v>#N/A</v>
      </c>
      <c r="R90" s="23" t="str">
        <f t="shared" si="2"/>
        <v>Info</v>
      </c>
      <c r="S90" s="24"/>
      <c r="T90" s="25"/>
      <c r="U90" s="8"/>
      <c r="V90" s="8"/>
      <c r="W90" s="8"/>
      <c r="X90" s="8"/>
      <c r="Y90" s="8"/>
      <c r="Z90" s="8"/>
      <c r="AA90" s="8"/>
      <c r="AB90" s="8"/>
      <c r="AC90" s="8"/>
    </row>
    <row r="91" spans="1:29" ht="13" x14ac:dyDescent="0.25">
      <c r="A91" s="8"/>
      <c r="B91" s="16"/>
      <c r="C91" s="17" t="str">
        <f ca="1">IFERROR(__xludf.DUMMYFUNCTION("GOOGLEFINANCE(B91,""name"")
"),"#N/A")</f>
        <v>#N/A</v>
      </c>
      <c r="D91" s="26" t="str">
        <f ca="1">IFERROR(__xludf.DUMMYFUNCTION("IF(ISBLANK(B91),"""",IFERROR(SPARKLINE(INDEX(GOOGLEFINANCE(B91,""price"",TODAY()-$D$17,TODAY()),,2),{""charttype"",""column"";""color"",""17a7e0""}),""""))"),"")</f>
        <v/>
      </c>
      <c r="E91" s="27"/>
      <c r="F91" s="18" t="str">
        <f ca="1">IFERROR(__xludf.DUMMYFUNCTION("IFERROR(IF(B91="""","""",GOOGLEFINANCE(B91)),IFERROR(GOOGLEFINANCE(""CURRENCY:""&amp;""USD""&amp;#REF!)*IMPORTXML(""https://coinmarketcap.com/currencies/""&amp;B91,$W$3),IMPORTXML(""https://coinmarketcap.com/currencies/""&amp;B91,$W$3)))"),"")</f>
        <v/>
      </c>
      <c r="G91" s="19" t="str">
        <f ca="1">IFERROR(__xludf.DUMMYFUNCTION("IFERROR(IF(ISBLANK(B91),"""",GOOGLEFINANCE(B91,""changepct"")/100),"""")"),"")</f>
        <v/>
      </c>
      <c r="H91" s="19" t="str">
        <f ca="1">IFERROR(__xludf.DUMMYFUNCTION("IF(ISBLANK(B91),"""",IFERROR((GOOGLEFINANCE(B91,""price"")/INDEX(GOOGLEFINANCE(B91,""price"",DATEVALUE(TODAY()-365) ),2,2)-1),""""))"),"")</f>
        <v/>
      </c>
      <c r="I91" s="20" t="str">
        <f ca="1">IFERROR(__xludf.DUMMYFUNCTION("IFERROR(IF(ISBLANK(B91),"""",GOOGLEFINANCE(B91,""low52"")),"""")"),"")</f>
        <v/>
      </c>
      <c r="J91" s="19" t="str">
        <f t="shared" si="0"/>
        <v/>
      </c>
      <c r="K91" s="20" t="str">
        <f ca="1">IFERROR(__xludf.DUMMYFUNCTION("IFERROR(IF(ISBLANK(B91),"""",GOOGLEFINANCE(B91,""high52"")),"""")"),"")</f>
        <v/>
      </c>
      <c r="L91" s="19" t="str">
        <f t="shared" si="1"/>
        <v/>
      </c>
      <c r="M91" s="20" t="str">
        <f ca="1">IFERROR(__xludf.DUMMYFUNCTION("IF(ISBLANK(B91),"""",IFERROR(INDEX(GOOGLEFINANCE(B91,""price"",WORKDAY(TODAY(),-$M$17)),2,2),""""))"),"")</f>
        <v/>
      </c>
      <c r="N91" s="19" t="str">
        <f ca="1">IFERROR(__xludf.DUMMYFUNCTION("IF(ISBLANK(B91),"""",IFERROR(F91/(INDEX(GOOGLEFINANCE(B91,""price"",WORKDAY(TODAY(),-$N$17)),2,2))-1,""""))"),"")</f>
        <v/>
      </c>
      <c r="O91" s="21" t="str">
        <f ca="1">IFERROR(__xludf.DUMMYFUNCTION("IF(ISBLANK(B91),"""",IFERROR(IFERROR(""$""&amp;Trunc(GOOGLEFINANCE(B91,""Marketcap"")/1000000000)&amp;"" B"",""$""&amp;Trunc(IMPORTXML(""https://coinmarketcap.com/currencies/""&amp;B91,$W$4)/1000000000)&amp;"" B""),""-""))"),"")</f>
        <v/>
      </c>
      <c r="P91" s="8" t="str">
        <f ca="1">IFERROR(__xludf.DUMMYFUNCTION("IF(ISBLANK(B91),"""",IFERROR(GOOGLEFINANCE(B91,""pe""),""-""))"),"")</f>
        <v/>
      </c>
      <c r="Q91" s="22" t="str">
        <f ca="1">IFERROR(__xludf.DUMMYFUNCTION("SPARKLINE(INDEX(GOOGLEFINANCE(B91,""price"",workday(today(),-$Q$17),today()),,2),{""charttype"",""column"";""color"",""green""})
"),"#N/A")</f>
        <v>#N/A</v>
      </c>
      <c r="R91" s="23" t="str">
        <f t="shared" si="2"/>
        <v>Info</v>
      </c>
      <c r="S91" s="24"/>
      <c r="T91" s="25"/>
      <c r="U91" s="8"/>
      <c r="V91" s="8"/>
      <c r="W91" s="8"/>
      <c r="X91" s="8"/>
      <c r="Y91" s="8"/>
      <c r="Z91" s="8"/>
      <c r="AA91" s="8"/>
      <c r="AB91" s="8"/>
      <c r="AC91" s="8"/>
    </row>
    <row r="92" spans="1:29" ht="13" x14ac:dyDescent="0.25">
      <c r="A92" s="8"/>
      <c r="B92" s="16"/>
      <c r="C92" s="17" t="str">
        <f ca="1">IFERROR(__xludf.DUMMYFUNCTION("GOOGLEFINANCE(B92,""name"")
"),"#N/A")</f>
        <v>#N/A</v>
      </c>
      <c r="D92" s="26" t="str">
        <f ca="1">IFERROR(__xludf.DUMMYFUNCTION("IF(ISBLANK(B92),"""",IFERROR(SPARKLINE(INDEX(GOOGLEFINANCE(B92,""price"",TODAY()-$D$17,TODAY()),,2),{""charttype"",""column"";""color"",""17a7e0""}),""""))"),"")</f>
        <v/>
      </c>
      <c r="E92" s="27"/>
      <c r="F92" s="18" t="str">
        <f ca="1">IFERROR(__xludf.DUMMYFUNCTION("IFERROR(IF(B92="""","""",GOOGLEFINANCE(B92)),IFERROR(GOOGLEFINANCE(""CURRENCY:""&amp;""USD""&amp;#REF!)*IMPORTXML(""https://coinmarketcap.com/currencies/""&amp;B92,$W$3),IMPORTXML(""https://coinmarketcap.com/currencies/""&amp;B92,$W$3)))"),"")</f>
        <v/>
      </c>
      <c r="G92" s="19" t="str">
        <f ca="1">IFERROR(__xludf.DUMMYFUNCTION("IFERROR(IF(ISBLANK(B92),"""",GOOGLEFINANCE(B92,""changepct"")/100),"""")"),"")</f>
        <v/>
      </c>
      <c r="H92" s="19" t="str">
        <f ca="1">IFERROR(__xludf.DUMMYFUNCTION("IF(ISBLANK(B92),"""",IFERROR((GOOGLEFINANCE(B92,""price"")/INDEX(GOOGLEFINANCE(B92,""price"",DATEVALUE(TODAY()-365) ),2,2)-1),""""))"),"")</f>
        <v/>
      </c>
      <c r="I92" s="20" t="str">
        <f ca="1">IFERROR(__xludf.DUMMYFUNCTION("IFERROR(IF(ISBLANK(B92),"""",GOOGLEFINANCE(B92,""low52"")),"""")"),"")</f>
        <v/>
      </c>
      <c r="J92" s="19" t="str">
        <f t="shared" si="0"/>
        <v/>
      </c>
      <c r="K92" s="20" t="str">
        <f ca="1">IFERROR(__xludf.DUMMYFUNCTION("IFERROR(IF(ISBLANK(B92),"""",GOOGLEFINANCE(B92,""high52"")),"""")"),"")</f>
        <v/>
      </c>
      <c r="L92" s="19" t="str">
        <f t="shared" si="1"/>
        <v/>
      </c>
      <c r="M92" s="20" t="str">
        <f ca="1">IFERROR(__xludf.DUMMYFUNCTION("IF(ISBLANK(B92),"""",IFERROR(INDEX(GOOGLEFINANCE(B92,""price"",WORKDAY(TODAY(),-$M$17)),2,2),""""))"),"")</f>
        <v/>
      </c>
      <c r="N92" s="19" t="str">
        <f ca="1">IFERROR(__xludf.DUMMYFUNCTION("IF(ISBLANK(B92),"""",IFERROR(F92/(INDEX(GOOGLEFINANCE(B92,""price"",WORKDAY(TODAY(),-$N$17)),2,2))-1,""""))"),"")</f>
        <v/>
      </c>
      <c r="O92" s="21" t="str">
        <f ca="1">IFERROR(__xludf.DUMMYFUNCTION("IF(ISBLANK(B92),"""",IFERROR(IFERROR(""$""&amp;Trunc(GOOGLEFINANCE(B92,""Marketcap"")/1000000000)&amp;"" B"",""$""&amp;Trunc(IMPORTXML(""https://coinmarketcap.com/currencies/""&amp;B92,$W$4)/1000000000)&amp;"" B""),""-""))"),"")</f>
        <v/>
      </c>
      <c r="P92" s="8" t="str">
        <f ca="1">IFERROR(__xludf.DUMMYFUNCTION("IF(ISBLANK(B92),"""",IFERROR(GOOGLEFINANCE(B92,""pe""),""-""))"),"")</f>
        <v/>
      </c>
      <c r="Q92" s="22" t="str">
        <f ca="1">IFERROR(__xludf.DUMMYFUNCTION("SPARKLINE(INDEX(GOOGLEFINANCE(B92,""price"",workday(today(),-$Q$17),today()),,2),{""charttype"",""column"";""color"",""green""})
"),"#N/A")</f>
        <v>#N/A</v>
      </c>
      <c r="R92" s="23" t="str">
        <f t="shared" si="2"/>
        <v>Info</v>
      </c>
      <c r="S92" s="24"/>
      <c r="T92" s="25"/>
      <c r="U92" s="8"/>
      <c r="V92" s="8"/>
      <c r="W92" s="8"/>
      <c r="X92" s="8"/>
      <c r="Y92" s="8"/>
      <c r="Z92" s="8"/>
      <c r="AA92" s="8"/>
      <c r="AB92" s="8"/>
      <c r="AC92" s="8"/>
    </row>
    <row r="93" spans="1:29" ht="13" x14ac:dyDescent="0.25">
      <c r="A93" s="8"/>
      <c r="B93" s="16"/>
      <c r="C93" s="17" t="str">
        <f ca="1">IFERROR(__xludf.DUMMYFUNCTION("GOOGLEFINANCE(B93,""name"")
"),"#N/A")</f>
        <v>#N/A</v>
      </c>
      <c r="D93" s="26" t="str">
        <f ca="1">IFERROR(__xludf.DUMMYFUNCTION("IF(ISBLANK(B93),"""",IFERROR(SPARKLINE(INDEX(GOOGLEFINANCE(B93,""price"",TODAY()-$D$17,TODAY()),,2),{""charttype"",""column"";""color"",""17a7e0""}),""""))"),"")</f>
        <v/>
      </c>
      <c r="E93" s="27"/>
      <c r="F93" s="18" t="str">
        <f ca="1">IFERROR(__xludf.DUMMYFUNCTION("IFERROR(IF(B93="""","""",GOOGLEFINANCE(B93)),IFERROR(GOOGLEFINANCE(""CURRENCY:""&amp;""USD""&amp;#REF!)*IMPORTXML(""https://coinmarketcap.com/currencies/""&amp;B93,$W$3),IMPORTXML(""https://coinmarketcap.com/currencies/""&amp;B93,$W$3)))"),"")</f>
        <v/>
      </c>
      <c r="G93" s="19" t="str">
        <f ca="1">IFERROR(__xludf.DUMMYFUNCTION("IFERROR(IF(ISBLANK(B93),"""",GOOGLEFINANCE(B93,""changepct"")/100),"""")"),"")</f>
        <v/>
      </c>
      <c r="H93" s="19" t="str">
        <f ca="1">IFERROR(__xludf.DUMMYFUNCTION("IF(ISBLANK(B93),"""",IFERROR((GOOGLEFINANCE(B93,""price"")/INDEX(GOOGLEFINANCE(B93,""price"",DATEVALUE(TODAY()-365) ),2,2)-1),""""))"),"")</f>
        <v/>
      </c>
      <c r="I93" s="20" t="str">
        <f ca="1">IFERROR(__xludf.DUMMYFUNCTION("IFERROR(IF(ISBLANK(B93),"""",GOOGLEFINANCE(B93,""low52"")),"""")"),"")</f>
        <v/>
      </c>
      <c r="J93" s="19" t="str">
        <f t="shared" si="0"/>
        <v/>
      </c>
      <c r="K93" s="20" t="str">
        <f ca="1">IFERROR(__xludf.DUMMYFUNCTION("IFERROR(IF(ISBLANK(B93),"""",GOOGLEFINANCE(B93,""high52"")),"""")"),"")</f>
        <v/>
      </c>
      <c r="L93" s="19" t="str">
        <f t="shared" si="1"/>
        <v/>
      </c>
      <c r="M93" s="20" t="str">
        <f ca="1">IFERROR(__xludf.DUMMYFUNCTION("IF(ISBLANK(B93),"""",IFERROR(INDEX(GOOGLEFINANCE(B93,""price"",WORKDAY(TODAY(),-$M$17)),2,2),""""))"),"")</f>
        <v/>
      </c>
      <c r="N93" s="19" t="str">
        <f ca="1">IFERROR(__xludf.DUMMYFUNCTION("IF(ISBLANK(B93),"""",IFERROR(F93/(INDEX(GOOGLEFINANCE(B93,""price"",WORKDAY(TODAY(),-$N$17)),2,2))-1,""""))"),"")</f>
        <v/>
      </c>
      <c r="O93" s="21" t="str">
        <f ca="1">IFERROR(__xludf.DUMMYFUNCTION("IF(ISBLANK(B93),"""",IFERROR(IFERROR(""$""&amp;Trunc(GOOGLEFINANCE(B93,""Marketcap"")/1000000000)&amp;"" B"",""$""&amp;Trunc(IMPORTXML(""https://coinmarketcap.com/currencies/""&amp;B93,$W$4)/1000000000)&amp;"" B""),""-""))"),"")</f>
        <v/>
      </c>
      <c r="P93" s="8" t="str">
        <f ca="1">IFERROR(__xludf.DUMMYFUNCTION("IF(ISBLANK(B93),"""",IFERROR(GOOGLEFINANCE(B93,""pe""),""-""))"),"")</f>
        <v/>
      </c>
      <c r="Q93" s="22" t="str">
        <f ca="1">IFERROR(__xludf.DUMMYFUNCTION("SPARKLINE(INDEX(GOOGLEFINANCE(B93,""price"",workday(today(),-$Q$17),today()),,2),{""charttype"",""column"";""color"",""green""})
"),"#N/A")</f>
        <v>#N/A</v>
      </c>
      <c r="R93" s="23" t="str">
        <f t="shared" si="2"/>
        <v>Info</v>
      </c>
      <c r="S93" s="24"/>
      <c r="T93" s="25"/>
      <c r="U93" s="8"/>
      <c r="V93" s="8"/>
      <c r="W93" s="8"/>
      <c r="X93" s="8"/>
      <c r="Y93" s="8"/>
      <c r="Z93" s="8"/>
      <c r="AA93" s="8"/>
      <c r="AB93" s="8"/>
      <c r="AC93" s="8"/>
    </row>
    <row r="94" spans="1:29" ht="13" x14ac:dyDescent="0.25">
      <c r="A94" s="8"/>
      <c r="B94" s="16"/>
      <c r="C94" s="17" t="str">
        <f ca="1">IFERROR(__xludf.DUMMYFUNCTION("GOOGLEFINANCE(B94,""name"")
"),"#N/A")</f>
        <v>#N/A</v>
      </c>
      <c r="D94" s="26" t="str">
        <f ca="1">IFERROR(__xludf.DUMMYFUNCTION("IF(ISBLANK(B94),"""",IFERROR(SPARKLINE(INDEX(GOOGLEFINANCE(B94,""price"",TODAY()-$D$17,TODAY()),,2),{""charttype"",""column"";""color"",""17a7e0""}),""""))"),"")</f>
        <v/>
      </c>
      <c r="E94" s="27"/>
      <c r="F94" s="18" t="str">
        <f ca="1">IFERROR(__xludf.DUMMYFUNCTION("IFERROR(IF(B94="""","""",GOOGLEFINANCE(B94)),IFERROR(GOOGLEFINANCE(""CURRENCY:""&amp;""USD""&amp;#REF!)*IMPORTXML(""https://coinmarketcap.com/currencies/""&amp;B94,$W$3),IMPORTXML(""https://coinmarketcap.com/currencies/""&amp;B94,$W$3)))"),"")</f>
        <v/>
      </c>
      <c r="G94" s="19" t="str">
        <f ca="1">IFERROR(__xludf.DUMMYFUNCTION("IFERROR(IF(ISBLANK(B94),"""",GOOGLEFINANCE(B94,""changepct"")/100),"""")"),"")</f>
        <v/>
      </c>
      <c r="H94" s="19" t="str">
        <f ca="1">IFERROR(__xludf.DUMMYFUNCTION("IF(ISBLANK(B94),"""",IFERROR((GOOGLEFINANCE(B94,""price"")/INDEX(GOOGLEFINANCE(B94,""price"",DATEVALUE(TODAY()-365) ),2,2)-1),""""))"),"")</f>
        <v/>
      </c>
      <c r="I94" s="20" t="str">
        <f ca="1">IFERROR(__xludf.DUMMYFUNCTION("IFERROR(IF(ISBLANK(B94),"""",GOOGLEFINANCE(B94,""low52"")),"""")"),"")</f>
        <v/>
      </c>
      <c r="J94" s="19" t="str">
        <f t="shared" si="0"/>
        <v/>
      </c>
      <c r="K94" s="20" t="str">
        <f ca="1">IFERROR(__xludf.DUMMYFUNCTION("IFERROR(IF(ISBLANK(B94),"""",GOOGLEFINANCE(B94,""high52"")),"""")"),"")</f>
        <v/>
      </c>
      <c r="L94" s="19" t="str">
        <f t="shared" si="1"/>
        <v/>
      </c>
      <c r="M94" s="20" t="str">
        <f ca="1">IFERROR(__xludf.DUMMYFUNCTION("IF(ISBLANK(B94),"""",IFERROR(INDEX(GOOGLEFINANCE(B94,""price"",WORKDAY(TODAY(),-$M$17)),2,2),""""))"),"")</f>
        <v/>
      </c>
      <c r="N94" s="19" t="str">
        <f ca="1">IFERROR(__xludf.DUMMYFUNCTION("IF(ISBLANK(B94),"""",IFERROR(F94/(INDEX(GOOGLEFINANCE(B94,""price"",WORKDAY(TODAY(),-$N$17)),2,2))-1,""""))"),"")</f>
        <v/>
      </c>
      <c r="O94" s="21" t="str">
        <f ca="1">IFERROR(__xludf.DUMMYFUNCTION("IF(ISBLANK(B94),"""",IFERROR(IFERROR(""$""&amp;Trunc(GOOGLEFINANCE(B94,""Marketcap"")/1000000000)&amp;"" B"",""$""&amp;Trunc(IMPORTXML(""https://coinmarketcap.com/currencies/""&amp;B94,$W$4)/1000000000)&amp;"" B""),""-""))"),"")</f>
        <v/>
      </c>
      <c r="P94" s="8" t="str">
        <f ca="1">IFERROR(__xludf.DUMMYFUNCTION("IF(ISBLANK(B94),"""",IFERROR(GOOGLEFINANCE(B94,""pe""),""-""))"),"")</f>
        <v/>
      </c>
      <c r="Q94" s="22" t="str">
        <f ca="1">IFERROR(__xludf.DUMMYFUNCTION("SPARKLINE(INDEX(GOOGLEFINANCE(B94,""price"",workday(today(),-$Q$17),today()),,2),{""charttype"",""column"";""color"",""green""})
"),"#N/A")</f>
        <v>#N/A</v>
      </c>
      <c r="R94" s="23" t="str">
        <f t="shared" si="2"/>
        <v>Info</v>
      </c>
      <c r="S94" s="24"/>
      <c r="T94" s="25"/>
      <c r="U94" s="8"/>
      <c r="V94" s="8"/>
      <c r="W94" s="8"/>
      <c r="X94" s="8"/>
      <c r="Y94" s="8"/>
      <c r="Z94" s="8"/>
      <c r="AA94" s="8"/>
      <c r="AB94" s="8"/>
      <c r="AC94" s="8"/>
    </row>
    <row r="95" spans="1:29" ht="13" x14ac:dyDescent="0.25">
      <c r="A95" s="8"/>
      <c r="B95" s="16"/>
      <c r="C95" s="17" t="str">
        <f ca="1">IFERROR(__xludf.DUMMYFUNCTION("GOOGLEFINANCE(B95,""name"")
"),"#N/A")</f>
        <v>#N/A</v>
      </c>
      <c r="D95" s="26" t="str">
        <f ca="1">IFERROR(__xludf.DUMMYFUNCTION("IF(ISBLANK(B95),"""",IFERROR(SPARKLINE(INDEX(GOOGLEFINANCE(B95,""price"",TODAY()-$D$17,TODAY()),,2),{""charttype"",""column"";""color"",""17a7e0""}),""""))"),"")</f>
        <v/>
      </c>
      <c r="E95" s="27"/>
      <c r="F95" s="18" t="str">
        <f ca="1">IFERROR(__xludf.DUMMYFUNCTION("IFERROR(IF(B95="""","""",GOOGLEFINANCE(B95)),IFERROR(GOOGLEFINANCE(""CURRENCY:""&amp;""USD""&amp;#REF!)*IMPORTXML(""https://coinmarketcap.com/currencies/""&amp;B95,$W$3),IMPORTXML(""https://coinmarketcap.com/currencies/""&amp;B95,$W$3)))"),"")</f>
        <v/>
      </c>
      <c r="G95" s="19" t="str">
        <f ca="1">IFERROR(__xludf.DUMMYFUNCTION("IFERROR(IF(ISBLANK(B95),"""",GOOGLEFINANCE(B95,""changepct"")/100),"""")"),"")</f>
        <v/>
      </c>
      <c r="H95" s="19" t="str">
        <f ca="1">IFERROR(__xludf.DUMMYFUNCTION("IF(ISBLANK(B95),"""",IFERROR((GOOGLEFINANCE(B95,""price"")/INDEX(GOOGLEFINANCE(B95,""price"",DATEVALUE(TODAY()-365) ),2,2)-1),""""))"),"")</f>
        <v/>
      </c>
      <c r="I95" s="20" t="str">
        <f ca="1">IFERROR(__xludf.DUMMYFUNCTION("IFERROR(IF(ISBLANK(B95),"""",GOOGLEFINANCE(B95,""low52"")),"""")"),"")</f>
        <v/>
      </c>
      <c r="J95" s="19" t="str">
        <f t="shared" si="0"/>
        <v/>
      </c>
      <c r="K95" s="20" t="str">
        <f ca="1">IFERROR(__xludf.DUMMYFUNCTION("IFERROR(IF(ISBLANK(B95),"""",GOOGLEFINANCE(B95,""high52"")),"""")"),"")</f>
        <v/>
      </c>
      <c r="L95" s="19" t="str">
        <f t="shared" si="1"/>
        <v/>
      </c>
      <c r="M95" s="20" t="str">
        <f ca="1">IFERROR(__xludf.DUMMYFUNCTION("IF(ISBLANK(B95),"""",IFERROR(INDEX(GOOGLEFINANCE(B95,""price"",WORKDAY(TODAY(),-$M$17)),2,2),""""))"),"")</f>
        <v/>
      </c>
      <c r="N95" s="19" t="str">
        <f ca="1">IFERROR(__xludf.DUMMYFUNCTION("IF(ISBLANK(B95),"""",IFERROR(F95/(INDEX(GOOGLEFINANCE(B95,""price"",WORKDAY(TODAY(),-$N$17)),2,2))-1,""""))"),"")</f>
        <v/>
      </c>
      <c r="O95" s="21" t="str">
        <f ca="1">IFERROR(__xludf.DUMMYFUNCTION("IF(ISBLANK(B95),"""",IFERROR(IFERROR(""$""&amp;Trunc(GOOGLEFINANCE(B95,""Marketcap"")/1000000000)&amp;"" B"",""$""&amp;Trunc(IMPORTXML(""https://coinmarketcap.com/currencies/""&amp;B95,$W$4)/1000000000)&amp;"" B""),""-""))"),"")</f>
        <v/>
      </c>
      <c r="P95" s="8" t="str">
        <f ca="1">IFERROR(__xludf.DUMMYFUNCTION("IF(ISBLANK(B95),"""",IFERROR(GOOGLEFINANCE(B95,""pe""),""-""))"),"")</f>
        <v/>
      </c>
      <c r="Q95" s="22" t="str">
        <f ca="1">IFERROR(__xludf.DUMMYFUNCTION("SPARKLINE(INDEX(GOOGLEFINANCE(B95,""price"",workday(today(),-$Q$17),today()),,2),{""charttype"",""column"";""color"",""green""})
"),"#N/A")</f>
        <v>#N/A</v>
      </c>
      <c r="R95" s="23" t="str">
        <f t="shared" si="2"/>
        <v>Info</v>
      </c>
      <c r="S95" s="24"/>
      <c r="T95" s="25"/>
      <c r="U95" s="8"/>
      <c r="V95" s="8"/>
      <c r="W95" s="8"/>
      <c r="X95" s="8"/>
      <c r="Y95" s="8"/>
      <c r="Z95" s="8"/>
      <c r="AA95" s="8"/>
      <c r="AB95" s="8"/>
      <c r="AC95" s="8"/>
    </row>
    <row r="96" spans="1:29" ht="13" x14ac:dyDescent="0.25">
      <c r="A96" s="8"/>
      <c r="B96" s="16"/>
      <c r="C96" s="17" t="str">
        <f ca="1">IFERROR(__xludf.DUMMYFUNCTION("GOOGLEFINANCE(B96,""name"")
"),"#N/A")</f>
        <v>#N/A</v>
      </c>
      <c r="D96" s="26" t="str">
        <f ca="1">IFERROR(__xludf.DUMMYFUNCTION("IF(ISBLANK(B96),"""",IFERROR(SPARKLINE(INDEX(GOOGLEFINANCE(B96,""price"",TODAY()-$D$17,TODAY()),,2),{""charttype"",""column"";""color"",""17a7e0""}),""""))"),"")</f>
        <v/>
      </c>
      <c r="E96" s="27"/>
      <c r="F96" s="18" t="str">
        <f ca="1">IFERROR(__xludf.DUMMYFUNCTION("IFERROR(IF(B96="""","""",GOOGLEFINANCE(B96)),IFERROR(GOOGLEFINANCE(""CURRENCY:""&amp;""USD""&amp;#REF!)*IMPORTXML(""https://coinmarketcap.com/currencies/""&amp;B96,$W$3),IMPORTXML(""https://coinmarketcap.com/currencies/""&amp;B96,$W$3)))"),"")</f>
        <v/>
      </c>
      <c r="G96" s="19" t="str">
        <f ca="1">IFERROR(__xludf.DUMMYFUNCTION("IFERROR(IF(ISBLANK(B96),"""",GOOGLEFINANCE(B96,""changepct"")/100),"""")"),"")</f>
        <v/>
      </c>
      <c r="H96" s="19" t="str">
        <f ca="1">IFERROR(__xludf.DUMMYFUNCTION("IF(ISBLANK(B96),"""",IFERROR((GOOGLEFINANCE(B96,""price"")/INDEX(GOOGLEFINANCE(B96,""price"",DATEVALUE(TODAY()-365) ),2,2)-1),""""))"),"")</f>
        <v/>
      </c>
      <c r="I96" s="20" t="str">
        <f ca="1">IFERROR(__xludf.DUMMYFUNCTION("IFERROR(IF(ISBLANK(B96),"""",GOOGLEFINANCE(B96,""low52"")),"""")"),"")</f>
        <v/>
      </c>
      <c r="J96" s="19" t="str">
        <f t="shared" si="0"/>
        <v/>
      </c>
      <c r="K96" s="20" t="str">
        <f ca="1">IFERROR(__xludf.DUMMYFUNCTION("IFERROR(IF(ISBLANK(B96),"""",GOOGLEFINANCE(B96,""high52"")),"""")"),"")</f>
        <v/>
      </c>
      <c r="L96" s="19" t="str">
        <f t="shared" si="1"/>
        <v/>
      </c>
      <c r="M96" s="20" t="str">
        <f ca="1">IFERROR(__xludf.DUMMYFUNCTION("IF(ISBLANK(B96),"""",IFERROR(INDEX(GOOGLEFINANCE(B96,""price"",WORKDAY(TODAY(),-$M$17)),2,2),""""))"),"")</f>
        <v/>
      </c>
      <c r="N96" s="19" t="str">
        <f ca="1">IFERROR(__xludf.DUMMYFUNCTION("IF(ISBLANK(B96),"""",IFERROR(F96/(INDEX(GOOGLEFINANCE(B96,""price"",WORKDAY(TODAY(),-$N$17)),2,2))-1,""""))"),"")</f>
        <v/>
      </c>
      <c r="O96" s="21" t="str">
        <f ca="1">IFERROR(__xludf.DUMMYFUNCTION("IF(ISBLANK(B96),"""",IFERROR(IFERROR(""$""&amp;Trunc(GOOGLEFINANCE(B96,""Marketcap"")/1000000000)&amp;"" B"",""$""&amp;Trunc(IMPORTXML(""https://coinmarketcap.com/currencies/""&amp;B96,$W$4)/1000000000)&amp;"" B""),""-""))"),"")</f>
        <v/>
      </c>
      <c r="P96" s="8" t="str">
        <f ca="1">IFERROR(__xludf.DUMMYFUNCTION("IF(ISBLANK(B96),"""",IFERROR(GOOGLEFINANCE(B96,""pe""),""-""))"),"")</f>
        <v/>
      </c>
      <c r="Q96" s="22" t="str">
        <f ca="1">IFERROR(__xludf.DUMMYFUNCTION("SPARKLINE(INDEX(GOOGLEFINANCE(B96,""price"",workday(today(),-$Q$17),today()),,2),{""charttype"",""column"";""color"",""green""})
"),"#N/A")</f>
        <v>#N/A</v>
      </c>
      <c r="R96" s="23" t="str">
        <f t="shared" si="2"/>
        <v>Info</v>
      </c>
      <c r="S96" s="24"/>
      <c r="T96" s="25"/>
      <c r="U96" s="8"/>
      <c r="V96" s="8"/>
      <c r="W96" s="8"/>
      <c r="X96" s="8"/>
      <c r="Y96" s="8"/>
      <c r="Z96" s="8"/>
      <c r="AA96" s="8"/>
      <c r="AB96" s="8"/>
      <c r="AC96" s="8"/>
    </row>
    <row r="97" spans="1:29" ht="13" x14ac:dyDescent="0.25">
      <c r="A97" s="8"/>
      <c r="B97" s="16"/>
      <c r="C97" s="17" t="str">
        <f ca="1">IFERROR(__xludf.DUMMYFUNCTION("GOOGLEFINANCE(B97,""name"")
"),"#N/A")</f>
        <v>#N/A</v>
      </c>
      <c r="D97" s="26" t="str">
        <f ca="1">IFERROR(__xludf.DUMMYFUNCTION("IF(ISBLANK(B97),"""",IFERROR(SPARKLINE(INDEX(GOOGLEFINANCE(B97,""price"",TODAY()-$D$17,TODAY()),,2),{""charttype"",""column"";""color"",""17a7e0""}),""""))"),"")</f>
        <v/>
      </c>
      <c r="E97" s="27"/>
      <c r="F97" s="18" t="str">
        <f ca="1">IFERROR(__xludf.DUMMYFUNCTION("IFERROR(IF(B97="""","""",GOOGLEFINANCE(B97)),IFERROR(GOOGLEFINANCE(""CURRENCY:""&amp;""USD""&amp;#REF!)*IMPORTXML(""https://coinmarketcap.com/currencies/""&amp;B97,$W$3),IMPORTXML(""https://coinmarketcap.com/currencies/""&amp;B97,$W$3)))"),"")</f>
        <v/>
      </c>
      <c r="G97" s="19" t="str">
        <f ca="1">IFERROR(__xludf.DUMMYFUNCTION("IFERROR(IF(ISBLANK(B97),"""",GOOGLEFINANCE(B97,""changepct"")/100),"""")"),"")</f>
        <v/>
      </c>
      <c r="H97" s="19" t="str">
        <f ca="1">IFERROR(__xludf.DUMMYFUNCTION("IF(ISBLANK(B97),"""",IFERROR((GOOGLEFINANCE(B97,""price"")/INDEX(GOOGLEFINANCE(B97,""price"",DATEVALUE(TODAY()-365) ),2,2)-1),""""))"),"")</f>
        <v/>
      </c>
      <c r="I97" s="20" t="str">
        <f ca="1">IFERROR(__xludf.DUMMYFUNCTION("IFERROR(IF(ISBLANK(B97),"""",GOOGLEFINANCE(B97,""low52"")),"""")"),"")</f>
        <v/>
      </c>
      <c r="J97" s="19" t="str">
        <f t="shared" si="0"/>
        <v/>
      </c>
      <c r="K97" s="20" t="str">
        <f ca="1">IFERROR(__xludf.DUMMYFUNCTION("IFERROR(IF(ISBLANK(B97),"""",GOOGLEFINANCE(B97,""high52"")),"""")"),"")</f>
        <v/>
      </c>
      <c r="L97" s="19" t="str">
        <f t="shared" si="1"/>
        <v/>
      </c>
      <c r="M97" s="20" t="str">
        <f ca="1">IFERROR(__xludf.DUMMYFUNCTION("IF(ISBLANK(B97),"""",IFERROR(INDEX(GOOGLEFINANCE(B97,""price"",WORKDAY(TODAY(),-$M$17)),2,2),""""))"),"")</f>
        <v/>
      </c>
      <c r="N97" s="19" t="str">
        <f ca="1">IFERROR(__xludf.DUMMYFUNCTION("IF(ISBLANK(B97),"""",IFERROR(F97/(INDEX(GOOGLEFINANCE(B97,""price"",WORKDAY(TODAY(),-$N$17)),2,2))-1,""""))"),"")</f>
        <v/>
      </c>
      <c r="O97" s="21" t="str">
        <f ca="1">IFERROR(__xludf.DUMMYFUNCTION("IF(ISBLANK(B97),"""",IFERROR(IFERROR(""$""&amp;Trunc(GOOGLEFINANCE(B97,""Marketcap"")/1000000000)&amp;"" B"",""$""&amp;Trunc(IMPORTXML(""https://coinmarketcap.com/currencies/""&amp;B97,$W$4)/1000000000)&amp;"" B""),""-""))"),"")</f>
        <v/>
      </c>
      <c r="P97" s="8" t="str">
        <f ca="1">IFERROR(__xludf.DUMMYFUNCTION("IF(ISBLANK(B97),"""",IFERROR(GOOGLEFINANCE(B97,""pe""),""-""))"),"")</f>
        <v/>
      </c>
      <c r="Q97" s="22" t="str">
        <f ca="1">IFERROR(__xludf.DUMMYFUNCTION("SPARKLINE(INDEX(GOOGLEFINANCE(B97,""price"",workday(today(),-$Q$17),today()),,2),{""charttype"",""column"";""color"",""green""})
"),"#N/A")</f>
        <v>#N/A</v>
      </c>
      <c r="R97" s="23" t="str">
        <f t="shared" si="2"/>
        <v>Info</v>
      </c>
      <c r="S97" s="24"/>
      <c r="T97" s="25"/>
      <c r="U97" s="8"/>
      <c r="V97" s="8"/>
      <c r="W97" s="8"/>
      <c r="X97" s="8"/>
      <c r="Y97" s="8"/>
      <c r="Z97" s="8"/>
      <c r="AA97" s="8"/>
      <c r="AB97" s="8"/>
      <c r="AC97" s="8"/>
    </row>
    <row r="98" spans="1:29" ht="13" x14ac:dyDescent="0.25">
      <c r="A98" s="8"/>
      <c r="B98" s="16"/>
      <c r="C98" s="17" t="str">
        <f ca="1">IFERROR(__xludf.DUMMYFUNCTION("GOOGLEFINANCE(B98,""name"")
"),"#N/A")</f>
        <v>#N/A</v>
      </c>
      <c r="D98" s="26" t="str">
        <f ca="1">IFERROR(__xludf.DUMMYFUNCTION("IF(ISBLANK(B98),"""",IFERROR(SPARKLINE(INDEX(GOOGLEFINANCE(B98,""price"",TODAY()-$D$17,TODAY()),,2),{""charttype"",""column"";""color"",""17a7e0""}),""""))"),"")</f>
        <v/>
      </c>
      <c r="E98" s="27"/>
      <c r="F98" s="18" t="str">
        <f ca="1">IFERROR(__xludf.DUMMYFUNCTION("IFERROR(IF(B98="""","""",GOOGLEFINANCE(B98)),IFERROR(GOOGLEFINANCE(""CURRENCY:""&amp;""USD""&amp;#REF!)*IMPORTXML(""https://coinmarketcap.com/currencies/""&amp;B98,$W$3),IMPORTXML(""https://coinmarketcap.com/currencies/""&amp;B98,$W$3)))"),"")</f>
        <v/>
      </c>
      <c r="G98" s="19" t="str">
        <f ca="1">IFERROR(__xludf.DUMMYFUNCTION("IFERROR(IF(ISBLANK(B98),"""",GOOGLEFINANCE(B98,""changepct"")/100),"""")"),"")</f>
        <v/>
      </c>
      <c r="H98" s="19" t="str">
        <f ca="1">IFERROR(__xludf.DUMMYFUNCTION("IF(ISBLANK(B98),"""",IFERROR((GOOGLEFINANCE(B98,""price"")/INDEX(GOOGLEFINANCE(B98,""price"",DATEVALUE(TODAY()-365) ),2,2)-1),""""))"),"")</f>
        <v/>
      </c>
      <c r="I98" s="20" t="str">
        <f ca="1">IFERROR(__xludf.DUMMYFUNCTION("IFERROR(IF(ISBLANK(B98),"""",GOOGLEFINANCE(B98,""low52"")),"""")"),"")</f>
        <v/>
      </c>
      <c r="J98" s="19" t="str">
        <f t="shared" si="0"/>
        <v/>
      </c>
      <c r="K98" s="20" t="str">
        <f ca="1">IFERROR(__xludf.DUMMYFUNCTION("IFERROR(IF(ISBLANK(B98),"""",GOOGLEFINANCE(B98,""high52"")),"""")"),"")</f>
        <v/>
      </c>
      <c r="L98" s="19" t="str">
        <f t="shared" si="1"/>
        <v/>
      </c>
      <c r="M98" s="20" t="str">
        <f ca="1">IFERROR(__xludf.DUMMYFUNCTION("IF(ISBLANK(B98),"""",IFERROR(INDEX(GOOGLEFINANCE(B98,""price"",WORKDAY(TODAY(),-$M$17)),2,2),""""))"),"")</f>
        <v/>
      </c>
      <c r="N98" s="19" t="str">
        <f ca="1">IFERROR(__xludf.DUMMYFUNCTION("IF(ISBLANK(B98),"""",IFERROR(F98/(INDEX(GOOGLEFINANCE(B98,""price"",WORKDAY(TODAY(),-$N$17)),2,2))-1,""""))"),"")</f>
        <v/>
      </c>
      <c r="O98" s="21" t="str">
        <f ca="1">IFERROR(__xludf.DUMMYFUNCTION("IF(ISBLANK(B98),"""",IFERROR(IFERROR(""$""&amp;Trunc(GOOGLEFINANCE(B98,""Marketcap"")/1000000000)&amp;"" B"",""$""&amp;Trunc(IMPORTXML(""https://coinmarketcap.com/currencies/""&amp;B98,$W$4)/1000000000)&amp;"" B""),""-""))"),"")</f>
        <v/>
      </c>
      <c r="P98" s="8" t="str">
        <f ca="1">IFERROR(__xludf.DUMMYFUNCTION("IF(ISBLANK(B98),"""",IFERROR(GOOGLEFINANCE(B98,""pe""),""-""))"),"")</f>
        <v/>
      </c>
      <c r="Q98" s="22" t="str">
        <f ca="1">IFERROR(__xludf.DUMMYFUNCTION("SPARKLINE(INDEX(GOOGLEFINANCE(B98,""price"",workday(today(),-$Q$17),today()),,2),{""charttype"",""column"";""color"",""green""})
"),"#N/A")</f>
        <v>#N/A</v>
      </c>
      <c r="R98" s="23" t="str">
        <f t="shared" si="2"/>
        <v>Info</v>
      </c>
      <c r="S98" s="24"/>
      <c r="T98" s="25"/>
      <c r="U98" s="8"/>
      <c r="V98" s="8"/>
      <c r="W98" s="8"/>
      <c r="X98" s="8"/>
      <c r="Y98" s="8"/>
      <c r="Z98" s="8"/>
      <c r="AA98" s="8"/>
      <c r="AB98" s="8"/>
      <c r="AC98" s="8"/>
    </row>
    <row r="99" spans="1:29" ht="13" x14ac:dyDescent="0.25">
      <c r="A99" s="8"/>
      <c r="B99" s="16"/>
      <c r="C99" s="17" t="str">
        <f ca="1">IFERROR(__xludf.DUMMYFUNCTION("GOOGLEFINANCE(B99,""name"")
"),"#N/A")</f>
        <v>#N/A</v>
      </c>
      <c r="D99" s="26" t="str">
        <f ca="1">IFERROR(__xludf.DUMMYFUNCTION("IF(ISBLANK(B99),"""",IFERROR(SPARKLINE(INDEX(GOOGLEFINANCE(B99,""price"",TODAY()-$D$17,TODAY()),,2),{""charttype"",""column"";""color"",""17a7e0""}),""""))"),"")</f>
        <v/>
      </c>
      <c r="E99" s="27"/>
      <c r="F99" s="18" t="str">
        <f ca="1">IFERROR(__xludf.DUMMYFUNCTION("IFERROR(IF(B99="""","""",GOOGLEFINANCE(B99)),IFERROR(GOOGLEFINANCE(""CURRENCY:""&amp;""USD""&amp;#REF!)*IMPORTXML(""https://coinmarketcap.com/currencies/""&amp;B99,$W$3),IMPORTXML(""https://coinmarketcap.com/currencies/""&amp;B99,$W$3)))"),"")</f>
        <v/>
      </c>
      <c r="G99" s="19" t="str">
        <f ca="1">IFERROR(__xludf.DUMMYFUNCTION("IFERROR(IF(ISBLANK(B99),"""",GOOGLEFINANCE(B99,""changepct"")/100),"""")"),"")</f>
        <v/>
      </c>
      <c r="H99" s="19" t="str">
        <f ca="1">IFERROR(__xludf.DUMMYFUNCTION("IF(ISBLANK(B99),"""",IFERROR((GOOGLEFINANCE(B99,""price"")/INDEX(GOOGLEFINANCE(B99,""price"",DATEVALUE(TODAY()-365) ),2,2)-1),""""))"),"")</f>
        <v/>
      </c>
      <c r="I99" s="20" t="str">
        <f ca="1">IFERROR(__xludf.DUMMYFUNCTION("IFERROR(IF(ISBLANK(B99),"""",GOOGLEFINANCE(B99,""low52"")),"""")"),"")</f>
        <v/>
      </c>
      <c r="J99" s="19" t="str">
        <f t="shared" si="0"/>
        <v/>
      </c>
      <c r="K99" s="20" t="str">
        <f ca="1">IFERROR(__xludf.DUMMYFUNCTION("IFERROR(IF(ISBLANK(B99),"""",GOOGLEFINANCE(B99,""high52"")),"""")"),"")</f>
        <v/>
      </c>
      <c r="L99" s="19" t="str">
        <f t="shared" si="1"/>
        <v/>
      </c>
      <c r="M99" s="20" t="str">
        <f ca="1">IFERROR(__xludf.DUMMYFUNCTION("IF(ISBLANK(B99),"""",IFERROR(INDEX(GOOGLEFINANCE(B99,""price"",WORKDAY(TODAY(),-$M$17)),2,2),""""))"),"")</f>
        <v/>
      </c>
      <c r="N99" s="19" t="str">
        <f ca="1">IFERROR(__xludf.DUMMYFUNCTION("IF(ISBLANK(B99),"""",IFERROR(F99/(INDEX(GOOGLEFINANCE(B99,""price"",WORKDAY(TODAY(),-$N$17)),2,2))-1,""""))"),"")</f>
        <v/>
      </c>
      <c r="O99" s="21" t="str">
        <f ca="1">IFERROR(__xludf.DUMMYFUNCTION("IF(ISBLANK(B99),"""",IFERROR(IFERROR(""$""&amp;Trunc(GOOGLEFINANCE(B99,""Marketcap"")/1000000000)&amp;"" B"",""$""&amp;Trunc(IMPORTXML(""https://coinmarketcap.com/currencies/""&amp;B99,$W$4)/1000000000)&amp;"" B""),""-""))"),"")</f>
        <v/>
      </c>
      <c r="P99" s="8" t="str">
        <f ca="1">IFERROR(__xludf.DUMMYFUNCTION("IF(ISBLANK(B99),"""",IFERROR(GOOGLEFINANCE(B99,""pe""),""-""))"),"")</f>
        <v/>
      </c>
      <c r="Q99" s="22" t="str">
        <f ca="1">IFERROR(__xludf.DUMMYFUNCTION("SPARKLINE(INDEX(GOOGLEFINANCE(B99,""price"",workday(today(),-$Q$17),today()),,2),{""charttype"",""column"";""color"",""green""})
"),"#N/A")</f>
        <v>#N/A</v>
      </c>
      <c r="R99" s="23" t="str">
        <f t="shared" si="2"/>
        <v>Info</v>
      </c>
      <c r="S99" s="24"/>
      <c r="T99" s="25"/>
      <c r="U99" s="8"/>
      <c r="V99" s="8"/>
      <c r="W99" s="8"/>
      <c r="X99" s="8"/>
      <c r="Y99" s="8"/>
      <c r="Z99" s="8"/>
      <c r="AA99" s="8"/>
      <c r="AB99" s="8"/>
      <c r="AC99" s="8"/>
    </row>
    <row r="100" spans="1:29" ht="13" x14ac:dyDescent="0.25">
      <c r="A100" s="8"/>
      <c r="B100" s="16"/>
      <c r="C100" s="17" t="str">
        <f ca="1">IFERROR(__xludf.DUMMYFUNCTION("GOOGLEFINANCE(B100,""name"")
"),"#N/A")</f>
        <v>#N/A</v>
      </c>
      <c r="D100" s="26" t="str">
        <f ca="1">IFERROR(__xludf.DUMMYFUNCTION("IF(ISBLANK(B100),"""",IFERROR(SPARKLINE(INDEX(GOOGLEFINANCE(B100,""price"",TODAY()-$D$17,TODAY()),,2),{""charttype"",""column"";""color"",""17a7e0""}),""""))"),"")</f>
        <v/>
      </c>
      <c r="E100" s="27"/>
      <c r="F100" s="18" t="str">
        <f ca="1">IFERROR(__xludf.DUMMYFUNCTION("IFERROR(IF(B100="""","""",GOOGLEFINANCE(B100)),IFERROR(GOOGLEFINANCE(""CURRENCY:""&amp;""USD""&amp;#REF!)*IMPORTXML(""https://coinmarketcap.com/currencies/""&amp;B100,$W$3),IMPORTXML(""https://coinmarketcap.com/currencies/""&amp;B100,$W$3)))"),"")</f>
        <v/>
      </c>
      <c r="G100" s="19" t="str">
        <f ca="1">IFERROR(__xludf.DUMMYFUNCTION("IFERROR(IF(ISBLANK(B100),"""",GOOGLEFINANCE(B100,""changepct"")/100),"""")"),"")</f>
        <v/>
      </c>
      <c r="H100" s="19" t="str">
        <f ca="1">IFERROR(__xludf.DUMMYFUNCTION("IF(ISBLANK(B100),"""",IFERROR((GOOGLEFINANCE(B100,""price"")/INDEX(GOOGLEFINANCE(B100,""price"",DATEVALUE(TODAY()-365) ),2,2)-1),""""))"),"")</f>
        <v/>
      </c>
      <c r="I100" s="20" t="str">
        <f ca="1">IFERROR(__xludf.DUMMYFUNCTION("IFERROR(IF(ISBLANK(B100),"""",GOOGLEFINANCE(B100,""low52"")),"""")"),"")</f>
        <v/>
      </c>
      <c r="J100" s="19" t="str">
        <f t="shared" si="0"/>
        <v/>
      </c>
      <c r="K100" s="20" t="str">
        <f ca="1">IFERROR(__xludf.DUMMYFUNCTION("IFERROR(IF(ISBLANK(B100),"""",GOOGLEFINANCE(B100,""high52"")),"""")"),"")</f>
        <v/>
      </c>
      <c r="L100" s="19" t="str">
        <f t="shared" si="1"/>
        <v/>
      </c>
      <c r="M100" s="20" t="str">
        <f ca="1">IFERROR(__xludf.DUMMYFUNCTION("IF(ISBLANK(B100),"""",IFERROR(INDEX(GOOGLEFINANCE(B100,""price"",WORKDAY(TODAY(),-$M$17)),2,2),""""))"),"")</f>
        <v/>
      </c>
      <c r="N100" s="19" t="str">
        <f ca="1">IFERROR(__xludf.DUMMYFUNCTION("IF(ISBLANK(B100),"""",IFERROR(F100/(INDEX(GOOGLEFINANCE(B100,""price"",WORKDAY(TODAY(),-$N$17)),2,2))-1,""""))"),"")</f>
        <v/>
      </c>
      <c r="O100" s="21" t="str">
        <f ca="1">IFERROR(__xludf.DUMMYFUNCTION("IF(ISBLANK(B100),"""",IFERROR(IFERROR(""$""&amp;Trunc(GOOGLEFINANCE(B100,""Marketcap"")/1000000000)&amp;"" B"",""$""&amp;Trunc(IMPORTXML(""https://coinmarketcap.com/currencies/""&amp;B100,$W$4)/1000000000)&amp;"" B""),""-""))"),"")</f>
        <v/>
      </c>
      <c r="P100" s="8" t="str">
        <f ca="1">IFERROR(__xludf.DUMMYFUNCTION("IF(ISBLANK(B100),"""",IFERROR(GOOGLEFINANCE(B100,""pe""),""-""))"),"")</f>
        <v/>
      </c>
      <c r="Q100" s="22" t="str">
        <f ca="1">IFERROR(__xludf.DUMMYFUNCTION("SPARKLINE(INDEX(GOOGLEFINANCE(B100,""price"",workday(today(),-$Q$17),today()),,2),{""charttype"",""column"";""color"",""green""})
"),"#N/A")</f>
        <v>#N/A</v>
      </c>
      <c r="R100" s="23" t="str">
        <f t="shared" si="2"/>
        <v>Info</v>
      </c>
      <c r="S100" s="24"/>
      <c r="T100" s="25"/>
      <c r="U100" s="8"/>
      <c r="V100" s="8"/>
      <c r="W100" s="8"/>
      <c r="X100" s="8"/>
      <c r="Y100" s="8"/>
      <c r="Z100" s="8"/>
      <c r="AA100" s="8"/>
      <c r="AB100" s="8"/>
      <c r="AC100" s="8"/>
    </row>
    <row r="101" spans="1:29" ht="13" x14ac:dyDescent="0.25">
      <c r="A101" s="8"/>
      <c r="B101" s="16"/>
      <c r="C101" s="17"/>
      <c r="D101" s="26" t="str">
        <f ca="1">IFERROR(__xludf.DUMMYFUNCTION("IF(ISBLANK(B101),"""",IFERROR(SPARKLINE(INDEX(GOOGLEFINANCE(B101,""price"",TODAY()-$D$17,TODAY()),,2),{""charttype"",""column"";""color"",""17a7e0""}),""""))"),"")</f>
        <v/>
      </c>
      <c r="E101" s="27"/>
      <c r="F101" s="18" t="str">
        <f ca="1">IFERROR(__xludf.DUMMYFUNCTION("IFERROR(IF(B101="""","""",GOOGLEFINANCE(B101)),IFERROR(GOOGLEFINANCE(""CURRENCY:""&amp;""USD""&amp;#REF!)*IMPORTXML(""https://coinmarketcap.com/currencies/""&amp;B101,$W$3),IMPORTXML(""https://coinmarketcap.com/currencies/""&amp;B101,$W$3)))"),"")</f>
        <v/>
      </c>
      <c r="G101" s="19" t="str">
        <f ca="1">IFERROR(__xludf.DUMMYFUNCTION("IFERROR(IF(ISBLANK(B101),"""",GOOGLEFINANCE(B101,""changepct"")/100),"""")"),"")</f>
        <v/>
      </c>
      <c r="H101" s="19" t="str">
        <f ca="1">IFERROR(__xludf.DUMMYFUNCTION("IF(ISBLANK(B101),"""",IFERROR((GOOGLEFINANCE(B101,""price"")/INDEX(GOOGLEFINANCE(B101,""price"",DATEVALUE(TODAY()-365) ),2,2)-1),""""))"),"")</f>
        <v/>
      </c>
      <c r="I101" s="20" t="str">
        <f ca="1">IFERROR(__xludf.DUMMYFUNCTION("IFERROR(IF(ISBLANK(B101),"""",GOOGLEFINANCE(B101,""low52"")),"""")"),"")</f>
        <v/>
      </c>
      <c r="J101" s="19" t="str">
        <f t="shared" si="0"/>
        <v/>
      </c>
      <c r="K101" s="20" t="str">
        <f ca="1">IFERROR(__xludf.DUMMYFUNCTION("IFERROR(IF(ISBLANK(B101),"""",GOOGLEFINANCE(B101,""high52"")),"""")"),"")</f>
        <v/>
      </c>
      <c r="L101" s="19" t="str">
        <f t="shared" si="1"/>
        <v/>
      </c>
      <c r="M101" s="20" t="str">
        <f ca="1">IFERROR(__xludf.DUMMYFUNCTION("IF(ISBLANK(B101),"""",IFERROR(INDEX(GOOGLEFINANCE(B101,""price"",WORKDAY(TODAY(),-$M$17)),2,2),""""))"),"")</f>
        <v/>
      </c>
      <c r="N101" s="19" t="str">
        <f ca="1">IFERROR(__xludf.DUMMYFUNCTION("IF(ISBLANK(B101),"""",IFERROR(F101/(INDEX(GOOGLEFINANCE(B101,""price"",WORKDAY(TODAY(),-$N$17)),2,2))-1,""""))"),"")</f>
        <v/>
      </c>
      <c r="O101" s="21" t="str">
        <f ca="1">IFERROR(__xludf.DUMMYFUNCTION("IF(ISBLANK(B101),"""",IFERROR(IFERROR(""$""&amp;Trunc(GOOGLEFINANCE(B101,""Marketcap"")/1000000000)&amp;"" B"",""$""&amp;Trunc(IMPORTXML(""https://coinmarketcap.com/currencies/""&amp;B101,$W$4)/1000000000)&amp;"" B""),""-""))"),"")</f>
        <v/>
      </c>
      <c r="P101" s="8" t="str">
        <f ca="1">IFERROR(__xludf.DUMMYFUNCTION("IF(ISBLANK(B101),"""",IFERROR(GOOGLEFINANCE(B101,""pe""),""-""))"),"")</f>
        <v/>
      </c>
      <c r="Q101" s="22" t="str">
        <f ca="1">IFERROR(__xludf.DUMMYFUNCTION("SPARKLINE(INDEX(GOOGLEFINANCE(B101,""price"",workday(today(),-$Q$17),today()),,2),{""charttype"",""column"";""color"",""green""})
"),"#N/A")</f>
        <v>#N/A</v>
      </c>
      <c r="R101" s="23" t="str">
        <f t="shared" si="2"/>
        <v>Info</v>
      </c>
      <c r="S101" s="24"/>
      <c r="T101" s="25"/>
      <c r="U101" s="8"/>
      <c r="V101" s="8"/>
      <c r="W101" s="8"/>
      <c r="X101" s="8"/>
      <c r="Y101" s="8"/>
      <c r="Z101" s="8"/>
      <c r="AA101" s="8"/>
      <c r="AB101" s="8"/>
      <c r="AC101" s="8"/>
    </row>
    <row r="102" spans="1:29" ht="13" x14ac:dyDescent="0.25">
      <c r="A102" s="8"/>
      <c r="B102" s="16"/>
      <c r="C102" s="17"/>
      <c r="D102" s="26" t="str">
        <f ca="1">IFERROR(__xludf.DUMMYFUNCTION("IF(ISBLANK(B102),"""",IFERROR(SPARKLINE(INDEX(GOOGLEFINANCE(B102,""price"",TODAY()-$D$17,TODAY()),,2),{""charttype"",""column"";""color"",""17a7e0""}),""""))"),"")</f>
        <v/>
      </c>
      <c r="E102" s="27"/>
      <c r="F102" s="18" t="str">
        <f ca="1">IFERROR(__xludf.DUMMYFUNCTION("IFERROR(IF(B102="""","""",GOOGLEFINANCE(B102)),IFERROR(GOOGLEFINANCE(""CURRENCY:""&amp;""USD""&amp;#REF!)*IMPORTXML(""https://coinmarketcap.com/currencies/""&amp;B102,$W$3),IMPORTXML(""https://coinmarketcap.com/currencies/""&amp;B102,$W$3)))"),"")</f>
        <v/>
      </c>
      <c r="G102" s="19" t="str">
        <f ca="1">IFERROR(__xludf.DUMMYFUNCTION("IFERROR(IF(ISBLANK(B102),"""",GOOGLEFINANCE(B102,""changepct"")/100),"""")"),"")</f>
        <v/>
      </c>
      <c r="H102" s="19" t="str">
        <f ca="1">IFERROR(__xludf.DUMMYFUNCTION("IF(ISBLANK(B102),"""",IFERROR((GOOGLEFINANCE(B102,""price"")/INDEX(GOOGLEFINANCE(B102,""price"",DATEVALUE(TODAY()-365) ),2,2)-1),""""))"),"")</f>
        <v/>
      </c>
      <c r="I102" s="20" t="str">
        <f ca="1">IFERROR(__xludf.DUMMYFUNCTION("IFERROR(IF(ISBLANK(B102),"""",GOOGLEFINANCE(B102,""low52"")),"""")"),"")</f>
        <v/>
      </c>
      <c r="J102" s="19" t="str">
        <f t="shared" si="0"/>
        <v/>
      </c>
      <c r="K102" s="20" t="str">
        <f ca="1">IFERROR(__xludf.DUMMYFUNCTION("IFERROR(IF(ISBLANK(B102),"""",GOOGLEFINANCE(B102,""high52"")),"""")"),"")</f>
        <v/>
      </c>
      <c r="L102" s="19" t="str">
        <f t="shared" si="1"/>
        <v/>
      </c>
      <c r="M102" s="20" t="str">
        <f ca="1">IFERROR(__xludf.DUMMYFUNCTION("IF(ISBLANK(B102),"""",IFERROR(INDEX(GOOGLEFINANCE(B102,""price"",WORKDAY(TODAY(),-$M$17)),2,2),""""))"),"")</f>
        <v/>
      </c>
      <c r="N102" s="19" t="str">
        <f ca="1">IFERROR(__xludf.DUMMYFUNCTION("IF(ISBLANK(B102),"""",IFERROR(F102/(INDEX(GOOGLEFINANCE(B102,""price"",WORKDAY(TODAY(),-$N$17)),2,2))-1,""""))"),"")</f>
        <v/>
      </c>
      <c r="O102" s="21" t="str">
        <f ca="1">IFERROR(__xludf.DUMMYFUNCTION("IF(ISBLANK(B102),"""",IFERROR(IFERROR(""$""&amp;Trunc(GOOGLEFINANCE(B102,""Marketcap"")/1000000000)&amp;"" B"",""$""&amp;Trunc(IMPORTXML(""https://coinmarketcap.com/currencies/""&amp;B102,$W$4)/1000000000)&amp;"" B""),""-""))"),"")</f>
        <v/>
      </c>
      <c r="P102" s="8" t="str">
        <f ca="1">IFERROR(__xludf.DUMMYFUNCTION("IF(ISBLANK(B102),"""",IFERROR(GOOGLEFINANCE(B102,""pe""),""-""))"),"")</f>
        <v/>
      </c>
      <c r="Q102" s="22" t="str">
        <f ca="1">IFERROR(__xludf.DUMMYFUNCTION("SPARKLINE(INDEX(GOOGLEFINANCE(B102,""price"",workday(today(),-$Q$17),today()),,2),{""charttype"",""column"";""color"",""green""})
"),"#N/A")</f>
        <v>#N/A</v>
      </c>
      <c r="R102" s="23" t="str">
        <f t="shared" si="2"/>
        <v>Info</v>
      </c>
      <c r="S102" s="24"/>
      <c r="T102" s="25"/>
      <c r="U102" s="8"/>
      <c r="V102" s="8"/>
      <c r="W102" s="8"/>
      <c r="X102" s="8"/>
      <c r="Y102" s="8"/>
      <c r="Z102" s="8"/>
      <c r="AA102" s="8"/>
      <c r="AB102" s="8"/>
      <c r="AC102" s="8"/>
    </row>
  </sheetData>
  <mergeCells count="89">
    <mergeCell ref="D59:E59"/>
    <mergeCell ref="D60:E60"/>
    <mergeCell ref="D61:E61"/>
    <mergeCell ref="D62:E62"/>
    <mergeCell ref="D54:E54"/>
    <mergeCell ref="D55:E55"/>
    <mergeCell ref="D56:E56"/>
    <mergeCell ref="D57:E57"/>
    <mergeCell ref="D58:E58"/>
    <mergeCell ref="D49:E49"/>
    <mergeCell ref="D50:E50"/>
    <mergeCell ref="D51:E51"/>
    <mergeCell ref="D52:E52"/>
    <mergeCell ref="D53:E53"/>
    <mergeCell ref="D44:E44"/>
    <mergeCell ref="D45:E45"/>
    <mergeCell ref="D46:E46"/>
    <mergeCell ref="D47:E47"/>
    <mergeCell ref="D48:E48"/>
    <mergeCell ref="D39:E39"/>
    <mergeCell ref="D40:E40"/>
    <mergeCell ref="D41:E41"/>
    <mergeCell ref="D42:E42"/>
    <mergeCell ref="D43:E43"/>
    <mergeCell ref="D34:E34"/>
    <mergeCell ref="D35:E35"/>
    <mergeCell ref="D36:E36"/>
    <mergeCell ref="D37:E37"/>
    <mergeCell ref="D38:E38"/>
    <mergeCell ref="D29:E29"/>
    <mergeCell ref="D30:E30"/>
    <mergeCell ref="D31:E31"/>
    <mergeCell ref="D32:E32"/>
    <mergeCell ref="D33:E33"/>
    <mergeCell ref="D24:E24"/>
    <mergeCell ref="D25:E25"/>
    <mergeCell ref="D26:E26"/>
    <mergeCell ref="D27:E27"/>
    <mergeCell ref="D28:E28"/>
    <mergeCell ref="D19:E19"/>
    <mergeCell ref="D20:E20"/>
    <mergeCell ref="D21:E21"/>
    <mergeCell ref="D22:E22"/>
    <mergeCell ref="D23:E23"/>
    <mergeCell ref="C1:T1"/>
    <mergeCell ref="W2:AA2"/>
    <mergeCell ref="W3:AA3"/>
    <mergeCell ref="W4:AA4"/>
    <mergeCell ref="D18:E18"/>
    <mergeCell ref="D100:E100"/>
    <mergeCell ref="D101:E101"/>
    <mergeCell ref="D102:E102"/>
    <mergeCell ref="D91:E91"/>
    <mergeCell ref="D92:E92"/>
    <mergeCell ref="D93:E93"/>
    <mergeCell ref="D94:E94"/>
    <mergeCell ref="D95:E95"/>
    <mergeCell ref="D96:E96"/>
    <mergeCell ref="D97:E97"/>
    <mergeCell ref="D88:E88"/>
    <mergeCell ref="D89:E89"/>
    <mergeCell ref="D90:E90"/>
    <mergeCell ref="D98:E98"/>
    <mergeCell ref="D99:E99"/>
    <mergeCell ref="D83:E83"/>
    <mergeCell ref="D84:E84"/>
    <mergeCell ref="D85:E85"/>
    <mergeCell ref="D86:E86"/>
    <mergeCell ref="D87:E87"/>
    <mergeCell ref="D78:E78"/>
    <mergeCell ref="D79:E79"/>
    <mergeCell ref="D80:E80"/>
    <mergeCell ref="D81:E81"/>
    <mergeCell ref="D82:E82"/>
    <mergeCell ref="D73:E73"/>
    <mergeCell ref="D74:E74"/>
    <mergeCell ref="D75:E75"/>
    <mergeCell ref="D76:E76"/>
    <mergeCell ref="D77:E77"/>
    <mergeCell ref="D68:E68"/>
    <mergeCell ref="D69:E69"/>
    <mergeCell ref="D70:E70"/>
    <mergeCell ref="D71:E71"/>
    <mergeCell ref="D72:E72"/>
    <mergeCell ref="D63:E63"/>
    <mergeCell ref="D64:E64"/>
    <mergeCell ref="D65:E65"/>
    <mergeCell ref="D66:E66"/>
    <mergeCell ref="D67:E67"/>
  </mergeCells>
  <conditionalFormatting sqref="B18:C102">
    <cfRule type="expression" dxfId="3" priority="3">
      <formula>$B18&lt;&gt;""</formula>
    </cfRule>
  </conditionalFormatting>
  <conditionalFormatting sqref="G18:H102 J18:J102 L18:L102 N18:N102">
    <cfRule type="cellIs" dxfId="2" priority="1" operator="greaterThan">
      <formula>0</formula>
    </cfRule>
    <cfRule type="cellIs" dxfId="1" priority="2" operator="lessThan">
      <formula>0</formula>
    </cfRule>
  </conditionalFormatting>
  <conditionalFormatting sqref="Q18:R102">
    <cfRule type="cellIs" dxfId="0" priority="4" operator="equal">
      <formula>"Enter Manually"</formula>
    </cfRule>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Watchlist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Antona</cp:lastModifiedBy>
  <dcterms:modified xsi:type="dcterms:W3CDTF">2024-05-29T16:16:05Z</dcterms:modified>
</cp:coreProperties>
</file>