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\oracle-workloads-for-azure\az-oracle-sizing\"/>
    </mc:Choice>
  </mc:AlternateContent>
  <xr:revisionPtr revIDLastSave="0" documentId="13_ncr:1_{0758288B-BCAB-410F-8910-BAC073BBA2C8}" xr6:coauthVersionLast="47" xr6:coauthVersionMax="47" xr10:uidLastSave="{00000000-0000-0000-0000-000000000000}"/>
  <bookViews>
    <workbookView xWindow="225" yWindow="225" windowWidth="28350" windowHeight="15255" xr2:uid="{B5A66F4D-52B7-4754-9584-EB2C94538BF5}"/>
  </bookViews>
  <sheets>
    <sheet name="AWR" sheetId="2" r:id="rId1"/>
    <sheet name="Calculations" sheetId="1" r:id="rId2"/>
  </sheets>
  <definedNames>
    <definedName name="BusyCPUfactor">AWR!$F$22</definedName>
    <definedName name="BusyCPUmultiplier">AWR!$F$23</definedName>
    <definedName name="HighCpuThreshold">AWR!$F$22</definedName>
    <definedName name="IoMetricsFactor">AWR!$F$20</definedName>
    <definedName name="PeakCPUfactor" localSheetId="0">AWR!$F$18</definedName>
    <definedName name="PeakCpuFactor">AWR!$F$18</definedName>
    <definedName name="PeakRAMfactor" localSheetId="0">AWR!$F$19</definedName>
    <definedName name="PeakRAMfactor">AWR!$F$19</definedName>
    <definedName name="vCPUHTFactor">AWR!$F$21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1" l="1"/>
  <c r="E27" i="1"/>
  <c r="F27" i="1"/>
  <c r="G27" i="1"/>
  <c r="H27" i="1"/>
  <c r="D26" i="1"/>
  <c r="E26" i="1"/>
  <c r="F26" i="1"/>
  <c r="G26" i="1"/>
  <c r="H26" i="1"/>
  <c r="D25" i="1"/>
  <c r="E25" i="1"/>
  <c r="F25" i="1"/>
  <c r="G25" i="1"/>
  <c r="H25" i="1"/>
  <c r="D24" i="1"/>
  <c r="E24" i="1"/>
  <c r="F24" i="1"/>
  <c r="G24" i="1"/>
  <c r="H24" i="1"/>
  <c r="D15" i="1"/>
  <c r="E15" i="1"/>
  <c r="F15" i="1"/>
  <c r="G15" i="1"/>
  <c r="H15" i="1"/>
  <c r="D14" i="1"/>
  <c r="E14" i="1"/>
  <c r="F14" i="1"/>
  <c r="G14" i="1"/>
  <c r="H14" i="1"/>
  <c r="D13" i="1"/>
  <c r="E13" i="1"/>
  <c r="F13" i="1"/>
  <c r="G13" i="1"/>
  <c r="H13" i="1"/>
  <c r="D12" i="1"/>
  <c r="E12" i="1"/>
  <c r="F12" i="1"/>
  <c r="G12" i="1"/>
  <c r="H12" i="1"/>
  <c r="R14" i="2"/>
  <c r="S14" i="2"/>
  <c r="T14" i="2"/>
  <c r="U14" i="2"/>
  <c r="V14" i="2"/>
  <c r="W14" i="2"/>
  <c r="R13" i="2"/>
  <c r="S13" i="2"/>
  <c r="T13" i="2"/>
  <c r="U13" i="2"/>
  <c r="V13" i="2"/>
  <c r="W13" i="2"/>
  <c r="W8" i="2"/>
  <c r="W9" i="2"/>
  <c r="W10" i="2"/>
  <c r="W11" i="2"/>
  <c r="W12" i="2"/>
  <c r="W15" i="2"/>
  <c r="D20" i="1"/>
  <c r="H20" i="1" s="1"/>
  <c r="D21" i="1"/>
  <c r="H21" i="1" s="1"/>
  <c r="D22" i="1"/>
  <c r="H22" i="1" s="1"/>
  <c r="D23" i="1"/>
  <c r="H23" i="1" s="1"/>
  <c r="T8" i="2"/>
  <c r="T9" i="2"/>
  <c r="T10" i="2"/>
  <c r="T11" i="2"/>
  <c r="T12" i="2"/>
  <c r="T15" i="2"/>
  <c r="C32" i="1" l="1"/>
  <c r="C33" i="1"/>
  <c r="C34" i="1"/>
  <c r="C35" i="1"/>
  <c r="D35" i="1"/>
  <c r="E35" i="1" s="1"/>
  <c r="V15" i="2"/>
  <c r="U15" i="2"/>
  <c r="S15" i="2"/>
  <c r="R15" i="2"/>
  <c r="V12" i="2"/>
  <c r="U12" i="2"/>
  <c r="S12" i="2"/>
  <c r="R12" i="2"/>
  <c r="V11" i="2"/>
  <c r="U11" i="2"/>
  <c r="S11" i="2"/>
  <c r="F35" i="1" s="1"/>
  <c r="H35" i="1" s="1"/>
  <c r="R11" i="2"/>
  <c r="G35" i="1" s="1"/>
  <c r="I35" i="1" s="1"/>
  <c r="V10" i="2"/>
  <c r="D34" i="1" s="1"/>
  <c r="E34" i="1" s="1"/>
  <c r="U10" i="2"/>
  <c r="S10" i="2"/>
  <c r="F34" i="1" s="1"/>
  <c r="H34" i="1" s="1"/>
  <c r="R10" i="2"/>
  <c r="G34" i="1" s="1"/>
  <c r="I34" i="1" s="1"/>
  <c r="V9" i="2"/>
  <c r="D33" i="1" s="1"/>
  <c r="E33" i="1" s="1"/>
  <c r="U9" i="2"/>
  <c r="S9" i="2"/>
  <c r="F33" i="1" s="1"/>
  <c r="H33" i="1" s="1"/>
  <c r="R9" i="2"/>
  <c r="G33" i="1" s="1"/>
  <c r="I33" i="1" s="1"/>
  <c r="V8" i="2"/>
  <c r="D32" i="1" s="1"/>
  <c r="E32" i="1" s="1"/>
  <c r="U8" i="2"/>
  <c r="S8" i="2"/>
  <c r="F32" i="1" s="1"/>
  <c r="H32" i="1" s="1"/>
  <c r="R8" i="2"/>
  <c r="G32" i="1" l="1"/>
  <c r="I32" i="1" s="1"/>
  <c r="G20" i="1"/>
  <c r="F22" i="1"/>
  <c r="F23" i="1"/>
  <c r="G22" i="1"/>
  <c r="G23" i="1"/>
  <c r="G8" i="1"/>
  <c r="G9" i="1"/>
  <c r="G11" i="1"/>
  <c r="G10" i="1" l="1"/>
  <c r="G16" i="1" s="1"/>
  <c r="G21" i="1"/>
  <c r="G36" i="1"/>
  <c r="I36" i="1"/>
  <c r="G28" i="1" l="1"/>
  <c r="F21" i="1"/>
  <c r="D9" i="1"/>
  <c r="H9" i="1" s="1"/>
  <c r="E9" i="1"/>
  <c r="F9" i="1"/>
  <c r="D10" i="1"/>
  <c r="H10" i="1" s="1"/>
  <c r="J34" i="1" s="1"/>
  <c r="K34" i="1" s="1"/>
  <c r="E10" i="1"/>
  <c r="F10" i="1"/>
  <c r="F11" i="1" l="1"/>
  <c r="E11" i="1"/>
  <c r="D11" i="1"/>
  <c r="H11" i="1" s="1"/>
  <c r="J35" i="1" s="1"/>
  <c r="K35" i="1" s="1"/>
  <c r="E21" i="1"/>
  <c r="E22" i="1"/>
  <c r="E23" i="1"/>
  <c r="D8" i="1"/>
  <c r="J33" i="1" l="1"/>
  <c r="K33" i="1" s="1"/>
  <c r="H28" i="1"/>
  <c r="H8" i="1"/>
  <c r="J32" i="1" s="1"/>
  <c r="K32" i="1" s="1"/>
  <c r="H36" i="1"/>
  <c r="F8" i="1"/>
  <c r="F20" i="1"/>
  <c r="F28" i="1" s="1"/>
  <c r="E8" i="1"/>
  <c r="E20" i="1"/>
  <c r="D36" i="1"/>
  <c r="F16" i="1" l="1"/>
  <c r="D16" i="1" l="1"/>
  <c r="E16" i="1"/>
  <c r="H16" i="1" l="1"/>
  <c r="E36" i="1" l="1"/>
  <c r="K36" i="1"/>
  <c r="D28" i="1" l="1"/>
  <c r="C36" i="1"/>
  <c r="E28" i="1"/>
  <c r="J36" i="1"/>
  <c r="F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Timothy Gorman</author>
  </authors>
  <commentList>
    <comment ref="B7" authorId="0" shapeId="0" xr:uid="{56A208CC-F090-4244-A22D-D14CEC187070}">
      <text>
        <r>
          <rPr>
            <b/>
            <sz val="9"/>
            <color indexed="81"/>
            <rFont val="Tahoma"/>
            <family val="2"/>
          </rPr>
          <t>Copied from "Database Summary" section at very top of AWR report</t>
        </r>
      </text>
    </comment>
    <comment ref="C7" authorId="0" shapeId="0" xr:uid="{C9815722-1148-45F6-BFEF-819A3A9157CF}">
      <text>
        <r>
          <rPr>
            <b/>
            <sz val="9"/>
            <color indexed="81"/>
            <rFont val="Tahoma"/>
            <family val="2"/>
          </rPr>
          <t>Copied from "Database Summary" section at very top of AWR report</t>
        </r>
      </text>
    </comment>
    <comment ref="D7" authorId="0" shapeId="0" xr:uid="{C1B73952-AB3A-45D0-8F3D-171B92CF4498}">
      <text>
        <r>
          <rPr>
            <b/>
            <sz val="9"/>
            <color indexed="81"/>
            <rFont val="Tahoma"/>
            <family val="2"/>
          </rPr>
          <t>Copied from "Database Summary" section at very top of AWR report</t>
        </r>
      </text>
    </comment>
    <comment ref="E7" authorId="0" shapeId="0" xr:uid="{2F866C56-2DF9-4F7D-A28B-D86A3B4F708D}">
      <text>
        <r>
          <rPr>
            <b/>
            <sz val="9"/>
            <color indexed="81"/>
            <rFont val="Tahoma"/>
            <family val="2"/>
          </rPr>
          <t>Copied from "Database Summary" section at very top of AWR report</t>
        </r>
      </text>
    </comment>
    <comment ref="F7" authorId="0" shapeId="0" xr:uid="{187E827A-E0F9-4D33-8A52-BD9E495A4EEA}">
      <text>
        <r>
          <rPr>
            <b/>
            <sz val="9"/>
            <color indexed="81"/>
            <rFont val="Tahoma"/>
            <family val="2"/>
          </rPr>
          <t>Copied from "Database Summary" section at very top of AWR report</t>
        </r>
      </text>
    </comment>
    <comment ref="G7" authorId="0" shapeId="0" xr:uid="{BE60BDCB-E23C-4C23-94A0-6882BED9AB27}">
      <text>
        <r>
          <rPr>
            <b/>
            <sz val="9"/>
            <color indexed="81"/>
            <rFont val="Tahoma"/>
            <family val="2"/>
          </rPr>
          <t>Copied from "Time Model Statistics" section, statistic named "DB CPU", near top of AWR report</t>
        </r>
      </text>
    </comment>
    <comment ref="H7" authorId="0" shapeId="0" xr:uid="{F153907A-CCC9-4558-837C-D0EA52C98B0F}">
      <text>
        <r>
          <rPr>
            <b/>
            <sz val="9"/>
            <color indexed="81"/>
            <rFont val="Tahoma"/>
            <family val="2"/>
          </rPr>
          <t>Copied from "Database Summary" section at very top of AWR report</t>
        </r>
      </text>
    </comment>
    <comment ref="I7" authorId="0" shapeId="0" xr:uid="{D7ECFD29-03B9-4BC0-BC0E-0D346F569E45}">
      <text>
        <r>
          <rPr>
            <b/>
            <sz val="9"/>
            <color indexed="81"/>
            <rFont val="Tahoma"/>
            <family val="2"/>
          </rPr>
          <t>Copied from "Database Summary" section at very top of AWR report</t>
        </r>
      </text>
    </comment>
    <comment ref="J7" authorId="0" shapeId="0" xr:uid="{282237EF-3A8B-455F-807A-01CB607C7898}">
      <text>
        <r>
          <rPr>
            <b/>
            <sz val="9"/>
            <color indexed="81"/>
            <rFont val="Tahoma"/>
            <family val="2"/>
          </rPr>
          <t>Copied from "Database Summary" section at very top of AWR report</t>
        </r>
      </text>
    </comment>
    <comment ref="K7" authorId="0" shapeId="0" xr:uid="{FE210763-BA3D-487A-B5CE-EE8E7ADCC337}">
      <text>
        <r>
          <rPr>
            <b/>
            <sz val="9"/>
            <color indexed="81"/>
            <rFont val="Tahoma"/>
            <family val="2"/>
          </rPr>
          <t>Copied from "Instance CPU" section of AWR report</t>
        </r>
      </text>
    </comment>
    <comment ref="L7" authorId="0" shapeId="0" xr:uid="{A38CA77A-6314-4E8E-A582-BDE5DC1D13A5}">
      <text>
        <r>
          <rPr>
            <b/>
            <sz val="9"/>
            <color indexed="81"/>
            <rFont val="Tahoma"/>
            <family val="2"/>
          </rPr>
          <t>Copied from "Memory Statistics" section of AWR report</t>
        </r>
      </text>
    </comment>
    <comment ref="M7" authorId="0" shapeId="0" xr:uid="{216063AB-2C8E-427D-BA6B-658FE2CEF262}">
      <text>
        <r>
          <rPr>
            <b/>
            <sz val="9"/>
            <color indexed="81"/>
            <rFont val="Tahoma"/>
            <family val="2"/>
          </rPr>
          <t>Copied from "Memory Statistics" section of AWR report</t>
        </r>
      </text>
    </comment>
    <comment ref="N7" authorId="0" shapeId="0" xr:uid="{413D77D7-83CD-4089-A85D-9B828B440DC2}">
      <text>
        <r>
          <rPr>
            <b/>
            <sz val="9"/>
            <color indexed="81"/>
            <rFont val="Tahoma"/>
            <family val="2"/>
          </rPr>
          <t>Copied from "Load Profile" section of AWR report</t>
        </r>
      </text>
    </comment>
    <comment ref="O7" authorId="0" shapeId="0" xr:uid="{7ECB9D31-AE22-45F0-B917-DA1A7769C550}">
      <text>
        <r>
          <rPr>
            <b/>
            <sz val="9"/>
            <color indexed="81"/>
            <rFont val="Tahoma"/>
            <family val="2"/>
          </rPr>
          <t>Copied from "Load Profile" section of AWR report</t>
        </r>
      </text>
    </comment>
    <comment ref="P7" authorId="0" shapeId="0" xr:uid="{B5DF301B-6330-4E35-897D-09D8A881C8F3}">
      <text>
        <r>
          <rPr>
            <b/>
            <sz val="9"/>
            <color indexed="81"/>
            <rFont val="Tahoma"/>
            <family val="2"/>
          </rPr>
          <t>Copied from "Load Profile" section of AWR report</t>
        </r>
      </text>
    </comment>
    <comment ref="Q7" authorId="0" shapeId="0" xr:uid="{16F84460-D708-4A40-91B4-2DAC245170ED}">
      <text>
        <r>
          <rPr>
            <b/>
            <sz val="9"/>
            <color indexed="81"/>
            <rFont val="Tahoma"/>
            <family val="2"/>
          </rPr>
          <t>Copied from "Load Profile" section of AWR report</t>
        </r>
      </text>
    </comment>
    <comment ref="D18" authorId="0" shapeId="0" xr:uid="{E21E9859-F0CD-486F-879B-C2D9FF9A5B86}">
      <text>
        <r>
          <rPr>
            <b/>
            <sz val="9"/>
            <color indexed="81"/>
            <rFont val="Tahoma"/>
            <family val="2"/>
          </rPr>
          <t>Rationale for peak vCPU factor is that CPU utilization stays below 33% on average</t>
        </r>
      </text>
    </comment>
    <comment ref="D19" authorId="0" shapeId="0" xr:uid="{559BF7AC-E839-4692-88C8-D6A19E7A2859}">
      <text>
        <r>
          <rPr>
            <b/>
            <sz val="9"/>
            <color indexed="81"/>
            <rFont val="Tahoma"/>
            <family val="2"/>
          </rPr>
          <t>Rationale for vRAM factor is that SGA+PGA = (about 2/3 of total vRAM)</t>
        </r>
      </text>
    </comment>
    <comment ref="D20" authorId="0" shapeId="0" xr:uid="{622297FB-C5C4-472F-A57D-A14094C20285}">
      <text>
        <r>
          <rPr>
            <b/>
            <sz val="9"/>
            <color indexed="81"/>
            <rFont val="Tahoma"/>
            <family val="2"/>
          </rPr>
          <t>Rationale is that observed AWR readings are "average" and this multiplier is for "peak" readings</t>
        </r>
      </text>
    </comment>
    <comment ref="D21" authorId="0" shapeId="0" xr:uid="{FE59ACCB-AEBB-492F-9554-0BF53038DD4E}">
      <text>
        <r>
          <rPr>
            <b/>
            <sz val="9"/>
            <color indexed="81"/>
            <rFont val="Tahoma"/>
            <family val="2"/>
          </rPr>
          <t>Number of hyperthreads in an Azure VM</t>
        </r>
      </text>
    </comment>
    <comment ref="D22" authorId="0" shapeId="0" xr:uid="{59AAAF4A-6D4B-4B10-A95D-EF425EB83C9F}">
      <text>
        <r>
          <rPr>
            <b/>
            <sz val="9"/>
            <color indexed="81"/>
            <rFont val="Tahoma"/>
            <family val="2"/>
          </rPr>
          <t>Threshold for "%busy CPU" when server CPU utilization is high enough to imply "thrashing"</t>
        </r>
      </text>
    </comment>
    <comment ref="D23" authorId="0" shapeId="0" xr:uid="{D7427406-F23F-4D5F-80D5-ED4D30FD5BE5}">
      <text>
        <r>
          <rPr>
            <b/>
            <sz val="9"/>
            <color indexed="81"/>
            <rFont val="Tahoma"/>
            <family val="2"/>
          </rPr>
          <t>If "%busy CPU" is higher than threshold, use this multiplier when calculating Azure vCPUs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Timothy Gorman</author>
  </authors>
  <commentList>
    <comment ref="C7" authorId="0" shapeId="0" xr:uid="{6BAA05F8-624D-4588-8522-CC11285F9D58}">
      <text>
        <r>
          <rPr>
            <b/>
            <sz val="9"/>
            <color indexed="81"/>
            <rFont val="Tahoma"/>
            <family val="2"/>
          </rPr>
          <t>Copied from "Database Summary" section at very top of AWR report</t>
        </r>
      </text>
    </comment>
  </commentList>
</comments>
</file>

<file path=xl/sharedStrings.xml><?xml version="1.0" encoding="utf-8"?>
<sst xmlns="http://schemas.openxmlformats.org/spreadsheetml/2006/main" count="93" uniqueCount="66">
  <si>
    <t>DB Name</t>
  </si>
  <si>
    <t>Instance Name</t>
  </si>
  <si>
    <t>Host Name</t>
  </si>
  <si>
    <t>Read IOPS</t>
  </si>
  <si>
    <t>Write IOPS</t>
  </si>
  <si>
    <t>Total IOPS</t>
  </si>
  <si>
    <t>Est'd Azure vCPUs</t>
  </si>
  <si>
    <t>Total</t>
  </si>
  <si>
    <t>Est'd Azure vCPUs for avg load</t>
  </si>
  <si>
    <t>Est'd Azure vCPUs for peak load</t>
  </si>
  <si>
    <t>Elapsed Time (mins)</t>
  </si>
  <si>
    <t>DB Time (mins)</t>
  </si>
  <si>
    <t>Memory (GB)</t>
  </si>
  <si>
    <t>CPUs</t>
  </si>
  <si>
    <t>Cores</t>
  </si>
  <si>
    <t>AWR detail collected by database instance</t>
  </si>
  <si>
    <t>%busy CPU</t>
  </si>
  <si>
    <t>SGA use (MB)</t>
  </si>
  <si>
    <t>PGA use (MB)</t>
  </si>
  <si>
    <t>DB CPU (s)</t>
  </si>
  <si>
    <t>CPU total capacity (s)</t>
  </si>
  <si>
    <t>ORA use (GB)</t>
  </si>
  <si>
    <t>source CPU HT factor</t>
  </si>
  <si>
    <t>Add information from the AWR report, one row for each instance</t>
  </si>
  <si>
    <t>Please add rows by specifying DB Name, Instance Name, or Host Name as appropriate.</t>
  </si>
  <si>
    <t xml:space="preserve"> The calculated cells already have formulas to aggregate the AWR information added on the other worksheet appropriately.</t>
  </si>
  <si>
    <t>Name</t>
  </si>
  <si>
    <t>Host</t>
  </si>
  <si>
    <t>Read Throughput (MB/s)</t>
  </si>
  <si>
    <t>Write Throughput (MB/s)</t>
  </si>
  <si>
    <t>Total Throughput (MB/s)</t>
  </si>
  <si>
    <t>Est'd Azure IOPS for peak load</t>
  </si>
  <si>
    <t>Est'd Azure Throughput (MB/s) for peak load</t>
  </si>
  <si>
    <t>Est'd Azure vRAM for server</t>
  </si>
  <si>
    <t>Observed memory use (GB)</t>
  </si>
  <si>
    <t>Observed IOPS</t>
  </si>
  <si>
    <t>Observed Throughput (MB/s)</t>
  </si>
  <si>
    <t>%DB Time of Elapsed Time (aka Avg Active Sessions or "AAS")</t>
  </si>
  <si>
    <t>Observed memory (GiB) consumed only by Oracle</t>
  </si>
  <si>
    <t>Observed I/O throughput (MB/s)</t>
  </si>
  <si>
    <t>This worksheet should be password-protected when shared to prevent inadvertent erasure of formulas</t>
  </si>
  <si>
    <t>Calculated detail by database instance from AWR information</t>
  </si>
  <si>
    <t>Aggregated calculations by host from AWR information</t>
  </si>
  <si>
    <t>Aggregated calculations by database from AWR information</t>
  </si>
  <si>
    <t>Please enter specific information from the AWR report on this worksheet.</t>
  </si>
  <si>
    <t>Hint: please mouse-over column headers to view notes suggesting where to find metrics in AWR report</t>
  </si>
  <si>
    <t>Average Active Sessions</t>
  </si>
  <si>
    <t>EXAMPLE</t>
  </si>
  <si>
    <t>example1</t>
  </si>
  <si>
    <t>example2</t>
  </si>
  <si>
    <t>example3</t>
  </si>
  <si>
    <t>example4</t>
  </si>
  <si>
    <t>dbserver1</t>
  </si>
  <si>
    <t>dbserver2</t>
  </si>
  <si>
    <t>dbserver3</t>
  </si>
  <si>
    <t>dbserver4</t>
  </si>
  <si>
    <t>Est'd Peak CPU factor</t>
  </si>
  <si>
    <t>Est'd Peak RAM factor</t>
  </si>
  <si>
    <t>Est'd Peak I/O factor</t>
  </si>
  <si>
    <t>%Busy CPU-thrashing threshold</t>
  </si>
  <si>
    <t>%Busy CPU-thrashing multiplier</t>
  </si>
  <si>
    <t>vCPU HT multiplier</t>
  </si>
  <si>
    <t>Name of "fudge factor" adjustable</t>
  </si>
  <si>
    <t>Setting</t>
  </si>
  <si>
    <t>Default value</t>
  </si>
  <si>
    <t>Please do not change the default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</si>
</sst>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_-* #,##0_-;\-* #,##0_-;_-* &quot;-&quot;??_-;_-@_-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9"/>
      <color indexed="81"/>
      <name val="Tahoma"/>
      <family val="2"/>
    </font>
    <font>
      <i/>
      <sz val="11"/>
      <color rgb="FFC0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4"/>
      <color theme="4" tint="-0.249977111117893"/>
      <name val="Calibri"/>
      <family val="2"/>
      <scheme val="minor"/>
    </font>
    <font>
      <b/>
      <i/>
      <sz val="14"/>
      <color rgb="FF0070C0"/>
      <name val="Calibri"/>
      <family val="2"/>
      <scheme val="minor"/>
    </font>
    <font>
      <i/>
      <sz val="11"/>
      <color theme="4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3" fillId="0" borderId="0" xfId="0" applyFont="1"/>
    <xf numFmtId="0" fontId="1" fillId="0" borderId="0" xfId="0" applyFont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164" fontId="6" fillId="0" borderId="0" xfId="0" applyNumberFormat="1" applyFont="1"/>
    <xf numFmtId="164" fontId="6" fillId="2" borderId="0" xfId="0" applyNumberFormat="1" applyFont="1" applyFill="1"/>
    <xf numFmtId="4" fontId="6" fillId="0" borderId="0" xfId="0" applyNumberFormat="1" applyFont="1"/>
    <xf numFmtId="4" fontId="6" fillId="2" borderId="0" xfId="0" applyNumberFormat="1" applyFont="1" applyFill="1"/>
    <xf numFmtId="3" fontId="6" fillId="2" borderId="0" xfId="0" applyNumberFormat="1" applyFont="1" applyFill="1"/>
    <xf numFmtId="3" fontId="6" fillId="0" borderId="0" xfId="0" applyNumberFormat="1" applyFont="1"/>
    <xf numFmtId="0" fontId="9" fillId="2" borderId="0" xfId="0" applyFont="1" applyFill="1" applyAlignment="1">
      <alignment horizontal="left" vertical="top" wrapText="1"/>
    </xf>
    <xf numFmtId="3" fontId="10" fillId="0" borderId="0" xfId="0" applyNumberFormat="1" applyFont="1"/>
    <xf numFmtId="3" fontId="10" fillId="2" borderId="0" xfId="0" applyNumberFormat="1" applyFont="1" applyFill="1"/>
    <xf numFmtId="0" fontId="8" fillId="0" borderId="0" xfId="0" applyFont="1"/>
    <xf numFmtId="0" fontId="11" fillId="0" borderId="0" xfId="0" applyFont="1"/>
    <xf numFmtId="4" fontId="8" fillId="0" borderId="0" xfId="0" applyNumberFormat="1" applyFont="1"/>
    <xf numFmtId="164" fontId="11" fillId="0" borderId="0" xfId="0" applyNumberFormat="1" applyFont="1"/>
    <xf numFmtId="0" fontId="8" fillId="0" borderId="0" xfId="0" applyFont="1" applyFill="1"/>
    <xf numFmtId="0" fontId="11" fillId="0" borderId="0" xfId="0" applyFont="1" applyFill="1"/>
    <xf numFmtId="0" fontId="11" fillId="0" borderId="0" xfId="0" applyFont="1" applyFill="1" applyAlignment="1">
      <alignment horizontal="right"/>
    </xf>
    <xf numFmtId="164" fontId="11" fillId="0" borderId="0" xfId="0" applyNumberFormat="1" applyFont="1" applyFill="1"/>
    <xf numFmtId="4" fontId="6" fillId="0" borderId="0" xfId="0" applyNumberFormat="1" applyFont="1" applyFill="1"/>
    <xf numFmtId="3" fontId="6" fillId="0" borderId="0" xfId="0" applyNumberFormat="1" applyFont="1" applyFill="1"/>
    <xf numFmtId="164" fontId="6" fillId="0" borderId="0" xfId="0" applyNumberFormat="1" applyFont="1" applyFill="1"/>
    <xf numFmtId="165" fontId="6" fillId="0" borderId="0" xfId="0" applyNumberFormat="1" applyFont="1" applyFill="1"/>
    <xf numFmtId="4" fontId="12" fillId="0" borderId="0" xfId="0" applyNumberFormat="1" applyFont="1" applyFill="1"/>
    <xf numFmtId="3" fontId="12" fillId="0" borderId="0" xfId="0" applyNumberFormat="1" applyFont="1" applyFill="1"/>
    <xf numFmtId="164" fontId="12" fillId="0" borderId="0" xfId="0" applyNumberFormat="1" applyFont="1" applyFill="1"/>
    <xf numFmtId="165" fontId="12" fillId="0" borderId="0" xfId="0" applyNumberFormat="1" applyFont="1" applyFill="1"/>
    <xf numFmtId="0" fontId="0" fillId="0" borderId="0" xfId="0" applyFill="1"/>
    <xf numFmtId="10" fontId="6" fillId="0" borderId="0" xfId="0" applyNumberFormat="1" applyFont="1" applyFill="1"/>
    <xf numFmtId="1" fontId="13" fillId="0" borderId="0" xfId="0" applyNumberFormat="1" applyFont="1"/>
    <xf numFmtId="3" fontId="3" fillId="0" borderId="0" xfId="0" applyNumberFormat="1" applyFont="1" applyFill="1"/>
    <xf numFmtId="3" fontId="10" fillId="0" borderId="0" xfId="0" applyNumberFormat="1" applyFont="1" applyFill="1"/>
    <xf numFmtId="1" fontId="3" fillId="0" borderId="0" xfId="0" applyNumberFormat="1" applyFont="1" applyFill="1"/>
    <xf numFmtId="1" fontId="5" fillId="0" borderId="0" xfId="0" applyNumberFormat="1" applyFont="1" applyFill="1"/>
    <xf numFmtId="0" fontId="6" fillId="0" borderId="0" xfId="0" applyFont="1" applyFill="1"/>
    <xf numFmtId="0" fontId="0" fillId="0" borderId="0" xfId="0" applyFont="1" applyAlignment="1">
      <alignment horizontal="right" wrapText="1"/>
    </xf>
    <xf numFmtId="3" fontId="13" fillId="0" borderId="0" xfId="0" applyNumberFormat="1" applyFont="1" applyAlignment="1">
      <alignment horizontal="right" vertical="top"/>
    </xf>
    <xf numFmtId="4" fontId="13" fillId="0" borderId="0" xfId="0" applyNumberFormat="1" applyFont="1" applyAlignment="1">
      <alignment horizontal="right"/>
    </xf>
    <xf numFmtId="4" fontId="13" fillId="0" borderId="0" xfId="0" applyNumberFormat="1" applyFont="1" applyAlignment="1">
      <alignment horizontal="right" vertical="top"/>
    </xf>
    <xf numFmtId="1" fontId="10" fillId="0" borderId="0" xfId="0" applyNumberFormat="1" applyFont="1"/>
    <xf numFmtId="10" fontId="12" fillId="0" borderId="0" xfId="0" applyNumberFormat="1" applyFont="1" applyFill="1"/>
    <xf numFmtId="0" fontId="1" fillId="0" borderId="0" xfId="0" applyFont="1" applyAlignment="1">
      <alignment horizontal="right" vertical="top" wrapText="1"/>
    </xf>
    <xf numFmtId="0" fontId="14" fillId="0" borderId="0" xfId="0" applyFont="1"/>
    <xf numFmtId="0" fontId="15" fillId="0" borderId="0" xfId="0" applyFont="1" applyAlignment="1">
      <alignment horizontal="left" vertical="top" wrapText="1"/>
    </xf>
    <xf numFmtId="0" fontId="16" fillId="0" borderId="0" xfId="0" applyFont="1"/>
    <xf numFmtId="0" fontId="17" fillId="2" borderId="0" xfId="0" applyFont="1" applyFill="1" applyAlignment="1">
      <alignment horizontal="left" vertical="top" wrapText="1"/>
    </xf>
    <xf numFmtId="4" fontId="10" fillId="0" borderId="0" xfId="0" applyNumberFormat="1" applyFont="1"/>
    <xf numFmtId="4" fontId="10" fillId="2" borderId="0" xfId="0" applyNumberFormat="1" applyFont="1" applyFill="1"/>
    <xf numFmtId="1" fontId="10" fillId="2" borderId="0" xfId="0" applyNumberFormat="1" applyFont="1" applyFill="1"/>
    <xf numFmtId="0" fontId="17" fillId="2" borderId="0" xfId="0" applyFont="1" applyFill="1" applyAlignment="1">
      <alignment horizontal="right" vertical="top" wrapText="1"/>
    </xf>
    <xf numFmtId="164" fontId="13" fillId="0" borderId="0" xfId="0" applyNumberFormat="1" applyFont="1"/>
    <xf numFmtId="2" fontId="13" fillId="0" borderId="0" xfId="0" applyNumberFormat="1" applyFont="1"/>
    <xf numFmtId="164" fontId="13" fillId="2" borderId="0" xfId="0" applyNumberFormat="1" applyFont="1" applyFill="1"/>
    <xf numFmtId="2" fontId="13" fillId="2" borderId="0" xfId="0" applyNumberFormat="1" applyFont="1" applyFill="1"/>
    <xf numFmtId="4" fontId="13" fillId="0" borderId="0" xfId="0" applyNumberFormat="1" applyFont="1"/>
    <xf numFmtId="3" fontId="13" fillId="0" borderId="0" xfId="0" applyNumberFormat="1" applyFont="1"/>
    <xf numFmtId="4" fontId="13" fillId="2" borderId="0" xfId="0" applyNumberFormat="1" applyFont="1" applyFill="1"/>
    <xf numFmtId="10" fontId="13" fillId="2" borderId="0" xfId="0" applyNumberFormat="1" applyFont="1" applyFill="1"/>
    <xf numFmtId="3" fontId="13" fillId="2" borderId="0" xfId="0" applyNumberFormat="1" applyFont="1" applyFill="1"/>
    <xf numFmtId="1" fontId="13" fillId="2" borderId="0" xfId="0" applyNumberFormat="1" applyFont="1" applyFill="1"/>
    <xf numFmtId="0" fontId="14" fillId="0" borderId="0" xfId="0" applyFont="1" applyFill="1"/>
    <xf numFmtId="0" fontId="18" fillId="0" borderId="0" xfId="0" applyFont="1" applyFill="1"/>
    <xf numFmtId="0" fontId="16" fillId="0" borderId="0" xfId="0" applyFont="1" applyFill="1"/>
    <xf numFmtId="0" fontId="19" fillId="0" borderId="0" xfId="0" applyFont="1"/>
    <xf numFmtId="0" fontId="18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top" wrapText="1"/>
    </xf>
    <xf numFmtId="164" fontId="0" fillId="0" borderId="0" xfId="0" applyNumberFormat="1"/>
    <xf numFmtId="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Font="1" applyAlignment="1">
      <alignment horizontal="right" vertical="top"/>
    </xf>
    <xf numFmtId="4" fontId="0" fillId="0" borderId="0" xfId="0" applyNumberFormat="1" applyAlignment="1">
      <alignment horizontal="right"/>
    </xf>
    <xf numFmtId="4" fontId="23" fillId="3" borderId="1" xfId="0" applyNumberFormat="1" applyFont="1" applyFill="1" applyBorder="1" applyAlignment="1">
      <alignment shrinkToFit="1"/>
    </xf>
    <xf numFmtId="2" fontId="23" fillId="3" borderId="1" xfId="0" applyNumberFormat="1" applyFont="1" applyFill="1" applyBorder="1"/>
    <xf numFmtId="3" fontId="23" fillId="3" borderId="1" xfId="0" applyNumberFormat="1" applyFont="1" applyFill="1" applyBorder="1" applyAlignment="1">
      <alignment shrinkToFit="1"/>
    </xf>
    <xf numFmtId="0" fontId="1" fillId="2" borderId="3" xfId="0" applyFont="1" applyFill="1" applyBorder="1"/>
    <xf numFmtId="0" fontId="22" fillId="2" borderId="7" xfId="0" applyFont="1" applyFill="1" applyBorder="1"/>
    <xf numFmtId="0" fontId="1" fillId="3" borderId="8" xfId="0" applyFont="1" applyFill="1" applyBorder="1" applyAlignment="1">
      <alignment shrinkToFit="1"/>
    </xf>
    <xf numFmtId="0" fontId="1" fillId="3" borderId="9" xfId="0" applyFont="1" applyFill="1" applyBorder="1" applyAlignment="1">
      <alignment shrinkToFit="1"/>
    </xf>
    <xf numFmtId="4" fontId="23" fillId="3" borderId="10" xfId="0" applyNumberFormat="1" applyFont="1" applyFill="1" applyBorder="1" applyAlignment="1">
      <alignment shrinkToFit="1"/>
    </xf>
    <xf numFmtId="0" fontId="1" fillId="2" borderId="2" xfId="0" applyFont="1" applyFill="1" applyBorder="1" applyAlignment="1"/>
    <xf numFmtId="0" fontId="24" fillId="0" borderId="0" xfId="0" applyFont="1" applyFill="1" applyBorder="1" applyAlignment="1">
      <alignment shrinkToFit="1"/>
    </xf>
    <xf numFmtId="4" fontId="0" fillId="4" borderId="6" xfId="0" applyNumberFormat="1" applyFill="1" applyBorder="1" applyAlignment="1">
      <alignment shrinkToFit="1"/>
    </xf>
    <xf numFmtId="4" fontId="0" fillId="4" borderId="4" xfId="0" applyNumberFormat="1" applyFill="1" applyBorder="1" applyAlignment="1">
      <alignment shrinkToFit="1"/>
    </xf>
    <xf numFmtId="2" fontId="0" fillId="4" borderId="4" xfId="0" applyNumberFormat="1" applyFill="1" applyBorder="1"/>
    <xf numFmtId="3" fontId="0" fillId="4" borderId="4" xfId="0" applyNumberFormat="1" applyFill="1" applyBorder="1" applyAlignment="1">
      <alignment shrinkToFit="1"/>
    </xf>
    <xf numFmtId="4" fontId="0" fillId="4" borderId="5" xfId="0" applyNumberFormat="1" applyFill="1" applyBorder="1" applyAlignment="1">
      <alignment shrinkToFit="1"/>
    </xf>
  </cellXfs>
  <cellStyles count="1">
    <cellStyle name="Normal" xfId="0" builtinId="0"/>
  </cellStyles>
  <dxfs count="89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font>
        <i/>
        <color rgb="FF0070C0"/>
      </font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64" formatCode="0.000%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64" formatCode="0.0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" formatCode="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" formatCode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" formatCode="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" formatCode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4" formatCode="0.00%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64" formatCode="0.000%"/>
    </dxf>
    <dxf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2" formatCode="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64" formatCode="0.000%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164" formatCode="0.000%"/>
    </dxf>
    <dxf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alignment horizontal="right" vertical="top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3" formatCode="#,##0"/>
      <alignment horizontal="right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3" formatCode="#,##0"/>
      <alignment horizontal="right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i/>
        <strike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numFmt numFmtId="4" formatCode="#,##0.00"/>
      <alignment horizontal="righ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alignment horizontal="right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4" formatCode="0.00%"/>
      <fill>
        <patternFill patternType="solid">
          <fgColor indexed="64"/>
          <bgColor theme="0" tint="-0.34998626667073579"/>
        </patternFill>
      </fill>
    </dxf>
    <dxf>
      <numFmt numFmtId="14" formatCode="0.00%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3" formatCode="#,##0"/>
      <fill>
        <patternFill patternType="solid">
          <fgColor indexed="64"/>
          <bgColor theme="0" tint="-0.34998626667073579"/>
        </patternFill>
      </fill>
    </dxf>
    <dxf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0.34998626667073579"/>
        </patternFill>
      </fill>
    </dxf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599EA96-9BF1-4ABD-A598-2B06611B48B2}" name="AWRData" displayName="AWRData" ref="B7:W15" headerRowDxfId="88">
  <autoFilter ref="B7:W15" xr:uid="{BAFCDA4E-1455-4186-B446-55AD7B6FF08E}"/>
  <tableColumns count="22">
    <tableColumn id="1" xr3:uid="{12DBE624-1E4C-43DE-8EBA-89FC03FB8A2E}" name="DB Name" totalsRowLabel="Total" dataDxfId="87" totalsRowDxfId="86"/>
    <tableColumn id="2" xr3:uid="{12EF2CB8-2718-4987-B485-71AAC2C42177}" name="Instance Name" dataDxfId="85" totalsRowDxfId="84"/>
    <tableColumn id="3" xr3:uid="{EE4D87CE-B854-4D79-98B0-4B433DE0DFC5}" name="Host Name" dataDxfId="83" totalsRowDxfId="82"/>
    <tableColumn id="18" xr3:uid="{9652353C-76B4-424D-B14E-4474B1D2E864}" name="Elapsed Time (mins)" totalsRowFunction="custom" dataDxfId="81" totalsRowDxfId="80">
      <totalsRowFormula>SUM(E8:E15)</totalsRowFormula>
    </tableColumn>
    <tableColumn id="4" xr3:uid="{E245B233-16D0-4175-B2B6-7CC6C7D5EC1E}" name="DB Time (mins)" totalsRowFunction="sum" dataDxfId="79" totalsRowDxfId="78"/>
    <tableColumn id="5" xr3:uid="{18DE2E70-642F-48C7-8588-E203573FBC6C}" name="DB CPU (s)" totalsRowFunction="sum" dataDxfId="77" totalsRowDxfId="76"/>
    <tableColumn id="17" xr3:uid="{CB45C1E7-36C0-4529-BD9C-742C452F7BAB}" name="CPUs" totalsRowFunction="custom" dataDxfId="75" totalsRowDxfId="74">
      <totalsRowFormula>SUM(H8:H15)</totalsRowFormula>
    </tableColumn>
    <tableColumn id="16" xr3:uid="{8DEF82EF-8D6D-43C8-9A6E-479EF081F1C5}" name="Cores" totalsRowFunction="custom" dataDxfId="73" totalsRowDxfId="72">
      <totalsRowFormula>SUM(I8:I15)</totalsRowFormula>
    </tableColumn>
    <tableColumn id="19" xr3:uid="{6CC3E0A3-0D85-416B-B5E5-E013322B324E}" name="Memory (GB)" totalsRowFunction="custom" dataDxfId="71" totalsRowDxfId="70">
      <totalsRowFormula>SUM(J8:J15)</totalsRowFormula>
    </tableColumn>
    <tableColumn id="20" xr3:uid="{801E69F7-F685-4E5B-89E7-B8236A24C142}" name="%busy CPU" totalsRowFunction="custom" dataDxfId="69" totalsRowDxfId="68">
      <totalsRowFormula>SUM(K8:K15)</totalsRowFormula>
    </tableColumn>
    <tableColumn id="8" xr3:uid="{D9D9DE5D-BFAF-4BB6-9C57-68AD5D802EE2}" name="SGA use (MB)" totalsRowFunction="sum" dataDxfId="67" totalsRowDxfId="66"/>
    <tableColumn id="9" xr3:uid="{12911006-64ED-4042-B1A5-C18EC5E137FE}" name="PGA use (MB)" totalsRowFunction="sum" dataDxfId="65" totalsRowDxfId="64"/>
    <tableColumn id="6" xr3:uid="{D6E85EB5-7EE1-48F6-A66E-B76E4EECD483}" name="Read Throughput (MB/s)" dataDxfId="63" totalsRowDxfId="62"/>
    <tableColumn id="7" xr3:uid="{F3F3AB13-35F9-4DE8-BCED-CC8576E3F23E}" name="Write Throughput (MB/s)" dataDxfId="61" totalsRowDxfId="60"/>
    <tableColumn id="10" xr3:uid="{BE4DE103-F7E4-4B9E-A27F-11EFFA4A99BF}" name="Read IOPS" totalsRowFunction="sum" dataDxfId="59" totalsRowDxfId="58"/>
    <tableColumn id="11" xr3:uid="{A52E7F8E-4721-4010-BECE-F070E24DDA1F}" name="Write IOPS" totalsRowFunction="sum" dataDxfId="57" totalsRowDxfId="56"/>
    <tableColumn id="15" xr3:uid="{F0C74357-6F45-494C-B3DC-D3215156DFFB}" name="Total Throughput (MB/s)" dataDxfId="55" totalsRowDxfId="54">
      <calculatedColumnFormula>N8+O8</calculatedColumnFormula>
    </tableColumn>
    <tableColumn id="12" xr3:uid="{A0F8EBD1-73A3-4ABE-B0BE-D33E8C7ADD32}" name="Total IOPS" totalsRowFunction="sum" dataDxfId="53" totalsRowDxfId="52">
      <calculatedColumnFormula>(P8+Q8)</calculatedColumnFormula>
    </tableColumn>
    <tableColumn id="22" xr3:uid="{12A4389A-523C-421D-BD24-6272B453F2CD}" name="Average Active Sessions" dataDxfId="51" totalsRowDxfId="50">
      <calculatedColumnFormula>F8/E8</calculatedColumnFormula>
    </tableColumn>
    <tableColumn id="13" xr3:uid="{3F2ED276-F76A-423E-8069-892C6C886ED0}" name="CPU total capacity (s)" totalsRowFunction="custom" dataDxfId="49">
      <calculatedColumnFormula>(E8*60)*H8</calculatedColumnFormula>
      <totalsRowFormula>SUM(U8:U15)</totalsRowFormula>
    </tableColumn>
    <tableColumn id="14" xr3:uid="{6D50E1DB-D2A8-4634-9623-2B8FF9FB8B97}" name="ORA use (GB)" totalsRowFunction="custom" dataDxfId="48">
      <calculatedColumnFormula>(L8+M8)/1024</calculatedColumnFormula>
      <totalsRowFormula>SUBTOTAL(109,#REF!)</totalsRowFormula>
    </tableColumn>
    <tableColumn id="21" xr3:uid="{06271738-5AFB-4416-88EC-0F36A42588B4}" name="source CPU HT factor" dataDxfId="47">
      <calculatedColumnFormula>H8/I8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22BF7B-4FDB-4416-A371-AA5DC723FDB7}" name="HostSummary" displayName="HostSummary" ref="B19:H28" totalsRowCount="1" headerRowDxfId="46" dataDxfId="45">
  <autoFilter ref="B19:H27" xr:uid="{2131DD88-95A4-4546-AD92-E31ADE17AE10}"/>
  <tableColumns count="7">
    <tableColumn id="1" xr3:uid="{E48AF7E1-022E-4559-9DF8-AA91B706DE37}" name="Host" totalsRowLabel="Total" dataDxfId="44"/>
    <tableColumn id="6" xr3:uid="{E7152265-984C-41C1-985E-AC0ACC8400BD}" name="Name"/>
    <tableColumn id="3" xr3:uid="{042A02F8-3035-4F96-B880-FF705D8AF8AD}" name="%DB Time of Elapsed Time (aka Avg Active Sessions or &quot;AAS&quot;)" totalsRowFunction="sum" dataDxfId="43" totalsRowDxfId="42">
      <calculatedColumnFormula>IF(HostSummary[[#This Row],[Host]]="","",SUMIFS(AWRData[Average Active Sessions],AWRData[Host Name],HostSummary[[#This Row],[Host]]))</calculatedColumnFormula>
    </tableColumn>
    <tableColumn id="10" xr3:uid="{85E8367C-F408-44E2-8D1A-47BCF5A88ABE}" name="Observed memory use (GB)" totalsRowFunction="sum" dataDxfId="41" totalsRowDxfId="40">
      <calculatedColumnFormula>IF(HostSummary[[#This Row],[Host]]="","",SUMIFS(AWRData[ORA use (GB)],AWRData[Host Name],HostSummary[[#This Row],[Host]]))</calculatedColumnFormula>
    </tableColumn>
    <tableColumn id="2" xr3:uid="{2617E88C-0FF4-4484-A29F-7A570C9BB22A}" name="Observed IOPS" totalsRowFunction="sum" dataDxfId="39" totalsRowDxfId="38">
      <calculatedColumnFormula>IF(HostSummary[[#This Row],[Host]]="","",SUMIFS(AWRData[Total IOPS],AWRData[Host Name],HostSummary[[#This Row],[Host]]))</calculatedColumnFormula>
    </tableColumn>
    <tableColumn id="4" xr3:uid="{D2224B36-6E90-4845-81DA-1DB10E1661B4}" name="Observed Throughput (MB/s)" totalsRowFunction="sum" dataDxfId="37" totalsRowDxfId="36">
      <calculatedColumnFormula>IF(HostSummary[[#This Row],[Host]]="","",SUMIFS(AWRData[Total Throughput (MB/s)],AWRData[Host Name],HostSummary[[#This Row],[Host]]))</calculatedColumnFormula>
    </tableColumn>
    <tableColumn id="7" xr3:uid="{5F50BA59-DA9E-4081-A285-AF05AEA4D31D}" name="Est'd Azure vCPUs" totalsRowFunction="sum" dataDxfId="35" totalsRowDxfId="34">
      <calculatedColumnFormula>IF(HostSummary[[#This Row],[Host]]="","",ROUND(HostSummary[[#This Row],[%DB Time of Elapsed Time (aka Avg Active Sessions or "AAS")]]+0.5,0)*(vCPUHTFactor/AVERAGEIFS(AWRData[source CPU HT factor],AWRData[Host Name],HostSummary[[#This Row],[Host]])))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6A110F-4E35-4288-9661-A9C3BFF6A5DE}" name="DBSummary" displayName="DBSummary" ref="B31:K36" totalsRowCount="1" headerRowDxfId="33" dataDxfId="32">
  <autoFilter ref="B31:K35" xr:uid="{49AD5955-00E8-4584-8ED2-B99212AE569A}"/>
  <tableColumns count="10">
    <tableColumn id="1" xr3:uid="{F79507E8-49B9-479A-B974-70532B5FC009}" name="DB Name" totalsRowLabel="Total" dataDxfId="31"/>
    <tableColumn id="3" xr3:uid="{D14FF7E7-B38D-4451-8EE3-64724E717E5F}" name="%DB Time of Elapsed Time (aka Avg Active Sessions or &quot;AAS&quot;)" totalsRowFunction="sum" dataDxfId="30" totalsRowDxfId="29">
      <calculatedColumnFormula>IF(DBSummary[[#This Row],[DB Name]]="","",SUMIFS(AWRData[DB Time (mins)],AWRData[DB Name],DBSummary[[#This Row],[DB Name]])/SUMIFS(AWRData[Elapsed Time (mins)],AWRData[DB Name],DBSummary[[#This Row],[DB Name]]))</calculatedColumnFormula>
    </tableColumn>
    <tableColumn id="16" xr3:uid="{97990710-F178-485D-9D23-E739F22255D6}" name="Observed memory (GiB) consumed only by Oracle" totalsRowFunction="sum" dataDxfId="28" totalsRowDxfId="27">
      <calculatedColumnFormula>IF(DBSummary[[#This Row],[DB Name]]="","",SUMIFS(AWRData[ORA use (GB)],AWRData[DB Name],DBSummary[[#This Row],[DB Name]]))</calculatedColumnFormula>
    </tableColumn>
    <tableColumn id="12" xr3:uid="{FC52058A-56D5-46D8-B939-711474E1E53B}" name="Est'd Azure vRAM for server" totalsRowFunction="sum" dataDxfId="26" totalsRowDxfId="25">
      <calculatedColumnFormula>IF(DBSummary[[#This Row],[DB Name]]="","",PeakRAMfactor*DBSummary[[#This Row],[Observed memory (GiB) consumed only by Oracle]])</calculatedColumnFormula>
    </tableColumn>
    <tableColumn id="11" xr3:uid="{AB2CFCBB-C7A4-4993-BFD0-A84164ED0160}" name="Observed IOPS" totalsRowFunction="sum" dataDxfId="24" totalsRowDxfId="23">
      <calculatedColumnFormula>IF(DBSummary[[#This Row],[DB Name]]="","",SUMIFS(AWRData[Total IOPS],AWRData[DB Name],DBSummary[[#This Row],[DB Name]]))</calculatedColumnFormula>
    </tableColumn>
    <tableColumn id="5" xr3:uid="{28273868-E127-405F-B656-70C478E70B07}" name="Observed I/O throughput (MB/s)" totalsRowFunction="sum" dataDxfId="22" totalsRowDxfId="21">
      <calculatedColumnFormula>IF(DBSummary[[#This Row],[DB Name]]="","",SUMIFS(AWRData[Total Throughput (MB/s)],AWRData[DB Name],DBSummary[[#This Row],[DB Name]]))</calculatedColumnFormula>
    </tableColumn>
    <tableColumn id="10" xr3:uid="{80BD2CB6-EA97-4295-9D59-E9A2E6BF0BE9}" name="Est'd Azure IOPS for peak load" totalsRowFunction="sum" dataDxfId="20" totalsRowDxfId="19">
      <calculatedColumnFormula>IF(DBSummary[[#This Row],[DB Name]]="","",DBSummary[[#This Row],[Observed IOPS]]*IoMetricsFactor)</calculatedColumnFormula>
    </tableColumn>
    <tableColumn id="8" xr3:uid="{C38DB1AD-B018-489B-B3E6-31BE998C2B17}" name="Est'd Azure Throughput (MB/s) for peak load" totalsRowFunction="sum" dataDxfId="18" totalsRowDxfId="17">
      <calculatedColumnFormula>IF(DBSummary[[#This Row],[DB Name]]="","",DBSummary[[#This Row],[Observed I/O throughput (MB/s)]]*IoMetricsFactor)</calculatedColumnFormula>
    </tableColumn>
    <tableColumn id="6" xr3:uid="{AAFEF038-B223-49E2-B515-EC61D231972F}" name="Est'd Azure vCPUs for avg load" totalsRowFunction="sum" dataDxfId="16" totalsRowDxfId="15">
      <calculatedColumnFormula>IF(DBSummary[[#This Row],[DB Name]]="","",ROUND(SUMIFS(InstSummary[Est''d Azure vCPUs],InstSummary[DB Name],DBSummary[[#This Row],[DB Name]])+0.5,0))</calculatedColumnFormula>
    </tableColumn>
    <tableColumn id="13" xr3:uid="{C2AC7AFC-A986-44E6-BF2C-D020472151CF}" name="Est'd Azure vCPUs for peak load" totalsRowFunction="sum" dataDxfId="14" totalsRowDxfId="13">
      <calculatedColumnFormula>IF(DBSummary[[#This Row],[DB Name]]="","",IF(SUMIFS(AWRData[%busy CPU],AWRData[DB Name],DBSummary[[#This Row],[DB Name]])&lt;BusyCPUfactor,PeakCpuFactor*DBSummary[[#This Row],[Est''d Azure vCPUs for avg load]],(BusyCPUmultiplier*PeakCpuFactor)*DBSummary[[#This Row],[Est''d Azure vCPUs for avg load]]))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E88EA0-C4A2-40CE-A0C2-1348922960F7}" name="InstSummary" displayName="InstSummary" ref="B7:H16" totalsRowCount="1" headerRowDxfId="12">
  <autoFilter ref="B7:H15" xr:uid="{DDC9EB0F-FC45-450E-9D91-FB84A3B2BFF9}"/>
  <tableColumns count="7">
    <tableColumn id="19" xr3:uid="{9D996974-BBE3-4BD2-A49E-7636AF84D9BD}" name="DB Name" dataDxfId="11"/>
    <tableColumn id="2" xr3:uid="{1EB02893-C83E-48B5-937F-61E7D4A0C092}" name="Instance Name" dataDxfId="10"/>
    <tableColumn id="5" xr3:uid="{FFDD672E-0E4E-4ADB-9E76-1EB11CF3E627}" name="%DB Time of Elapsed Time (aka Avg Active Sessions or &quot;AAS&quot;)" totalsRowFunction="sum" dataDxfId="9" totalsRowDxfId="8">
      <calculatedColumnFormula>IF(InstSummary[[#This Row],[Instance Name]]="","",SUMIFS(AWRData[DB Time (mins)],AWRData[Instance Name],InstSummary[[#This Row],[Instance Name]])/SUMIFS(AWRData[Elapsed Time (mins)],AWRData[Instance Name],InstSummary[[#This Row],[Instance Name]]))</calculatedColumnFormula>
    </tableColumn>
    <tableColumn id="14" xr3:uid="{EE92F036-09CB-4182-9F1C-C53D87FDFEA7}" name="Observed memory use (GB)" totalsRowFunction="sum" dataDxfId="7" totalsRowDxfId="6">
      <calculatedColumnFormula>IF(InstSummary[[#This Row],[Instance Name]]="","",SUMIFS(AWRData[ORA use (GB)],AWRData[Instance Name],InstSummary[[#This Row],[Instance Name]]))</calculatedColumnFormula>
    </tableColumn>
    <tableColumn id="12" xr3:uid="{E37AA9A5-8343-4F5A-BC1B-7C2420A8489D}" name="Observed IOPS" totalsRowFunction="sum" dataDxfId="5" totalsRowDxfId="4">
      <calculatedColumnFormula>IF(InstSummary[[#This Row],[Instance Name]]="","",SUMIFS(AWRData[Total IOPS],AWRData[Instance Name],InstSummary[[#This Row],[Instance Name]]))</calculatedColumnFormula>
    </tableColumn>
    <tableColumn id="3" xr3:uid="{0224C75E-ED5E-4C3C-9DED-03BD06F08298}" name="Observed Throughput (MB/s)" totalsRowFunction="sum" dataDxfId="3" totalsRowDxfId="2">
      <calculatedColumnFormula>IF(InstSummary[[#This Row],[Instance Name]]="","",SUMIFS(AWRData[Total Throughput (MB/s)],AWRData[Instance Name],InstSummary[[#This Row],[Instance Name]]))</calculatedColumnFormula>
    </tableColumn>
    <tableColumn id="13" xr3:uid="{8924F8A8-A9A4-4E8F-A3E7-F991630D6750}" name="Est'd Azure vCPUs" totalsRowFunction="sum" dataDxfId="1" totalsRowDxfId="0">
      <calculatedColumnFormula>IF(InstSummary[[#This Row],[Instance Name]]="","",InstSummary[[#This Row],[%DB Time of Elapsed Time (aka Avg Active Sessions or "AAS")]]*(vCPUHTFactor/SUMIFS(AWRData[source CPU HT factor],AWRData[Instance Name],InstSummary[[#This Row],[Instance Name]])))</calculatedColumnFormula>
    </tableColumn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InstanceCalculations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FA2F3-E8D6-461E-A2BF-3D4E8A581296}">
  <dimension ref="B1:W24"/>
  <sheetViews>
    <sheetView tabSelected="1" zoomScaleNormal="100" workbookViewId="0">
      <selection activeCell="G21" sqref="G21"/>
    </sheetView>
  </sheetViews>
  <sheetFormatPr defaultRowHeight="15" x14ac:dyDescent="0.25"/>
  <cols>
    <col min="1" max="1" width="4.140625" customWidth="1"/>
    <col min="2" max="2" width="10.5703125" customWidth="1"/>
    <col min="3" max="3" width="15.42578125" customWidth="1"/>
    <col min="4" max="4" width="32.28515625" customWidth="1"/>
    <col min="5" max="5" width="14.5703125" customWidth="1"/>
    <col min="6" max="6" width="12.5703125" style="3" customWidth="1"/>
    <col min="7" max="7" width="14.42578125" customWidth="1"/>
    <col min="8" max="8" width="12.5703125" style="3" customWidth="1"/>
    <col min="9" max="17" width="12.5703125" customWidth="1"/>
    <col min="18" max="18" width="12.5703125" style="48" hidden="1" customWidth="1"/>
    <col min="19" max="20" width="12.5703125" hidden="1" customWidth="1"/>
    <col min="21" max="21" width="13.85546875" hidden="1" customWidth="1"/>
    <col min="22" max="22" width="10.42578125" hidden="1" customWidth="1"/>
    <col min="23" max="23" width="11.140625" hidden="1" customWidth="1"/>
    <col min="24" max="24" width="12.5703125" customWidth="1"/>
  </cols>
  <sheetData>
    <row r="1" spans="2:23" s="15" customFormat="1" ht="18.75" x14ac:dyDescent="0.3">
      <c r="B1" s="15" t="s">
        <v>23</v>
      </c>
      <c r="F1" s="16"/>
      <c r="H1" s="16"/>
      <c r="R1" s="46"/>
    </row>
    <row r="3" spans="2:23" ht="21" x14ac:dyDescent="0.35">
      <c r="B3" s="67" t="s">
        <v>44</v>
      </c>
    </row>
    <row r="4" spans="2:23" s="69" customFormat="1" ht="15.75" x14ac:dyDescent="0.25">
      <c r="B4" s="68" t="s">
        <v>45</v>
      </c>
      <c r="F4" s="70"/>
      <c r="H4" s="70"/>
    </row>
    <row r="6" spans="2:23" s="15" customFormat="1" ht="18.75" x14ac:dyDescent="0.3">
      <c r="B6" s="15" t="s">
        <v>15</v>
      </c>
      <c r="F6" s="16"/>
      <c r="H6" s="16"/>
      <c r="R6" s="46"/>
    </row>
    <row r="7" spans="2:23" s="2" customFormat="1" ht="45" x14ac:dyDescent="0.25">
      <c r="B7" s="4" t="s">
        <v>0</v>
      </c>
      <c r="C7" s="4" t="s">
        <v>1</v>
      </c>
      <c r="D7" s="4" t="s">
        <v>2</v>
      </c>
      <c r="E7" s="4" t="s">
        <v>10</v>
      </c>
      <c r="F7" s="4" t="s">
        <v>11</v>
      </c>
      <c r="G7" s="4" t="s">
        <v>19</v>
      </c>
      <c r="H7" s="4" t="s">
        <v>13</v>
      </c>
      <c r="I7" s="4" t="s">
        <v>14</v>
      </c>
      <c r="J7" s="4" t="s">
        <v>12</v>
      </c>
      <c r="K7" s="4" t="s">
        <v>16</v>
      </c>
      <c r="L7" s="4" t="s">
        <v>17</v>
      </c>
      <c r="M7" s="4" t="s">
        <v>18</v>
      </c>
      <c r="N7" s="4" t="s">
        <v>28</v>
      </c>
      <c r="O7" s="4" t="s">
        <v>29</v>
      </c>
      <c r="P7" s="4" t="s">
        <v>3</v>
      </c>
      <c r="Q7" s="4" t="s">
        <v>4</v>
      </c>
      <c r="R7" s="47" t="s">
        <v>30</v>
      </c>
      <c r="S7" s="4" t="s">
        <v>5</v>
      </c>
      <c r="T7" s="4" t="s">
        <v>46</v>
      </c>
      <c r="U7" s="4" t="s">
        <v>20</v>
      </c>
      <c r="V7" s="4" t="s">
        <v>21</v>
      </c>
      <c r="W7" s="4" t="s">
        <v>22</v>
      </c>
    </row>
    <row r="8" spans="2:23" s="39" customFormat="1" x14ac:dyDescent="0.25">
      <c r="B8" s="71" t="s">
        <v>47</v>
      </c>
      <c r="C8" s="71" t="s">
        <v>48</v>
      </c>
      <c r="D8" s="71" t="s">
        <v>52</v>
      </c>
      <c r="E8" s="72">
        <v>10080</v>
      </c>
      <c r="F8" s="72">
        <v>98003.47</v>
      </c>
      <c r="G8" s="72">
        <v>254308.2</v>
      </c>
      <c r="H8" s="73">
        <v>96</v>
      </c>
      <c r="I8" s="73">
        <v>48</v>
      </c>
      <c r="J8" s="72">
        <v>2040</v>
      </c>
      <c r="K8" s="72">
        <v>55</v>
      </c>
      <c r="L8" s="72">
        <v>409810.3</v>
      </c>
      <c r="M8" s="72">
        <v>38805.4</v>
      </c>
      <c r="N8" s="72">
        <v>3200</v>
      </c>
      <c r="O8" s="72">
        <v>83.153999999999996</v>
      </c>
      <c r="P8" s="72">
        <v>16759.37</v>
      </c>
      <c r="Q8" s="72">
        <v>1743.18</v>
      </c>
      <c r="R8" s="41">
        <f t="shared" ref="R8:R15" si="0">N8+O8</f>
        <v>3283.154</v>
      </c>
      <c r="S8" s="41">
        <f t="shared" ref="S8:S15" si="1">(P8+Q8)</f>
        <v>18502.55</v>
      </c>
      <c r="T8" s="41">
        <f t="shared" ref="T8:T15" si="2">F8/E8</f>
        <v>9.7225664682539676</v>
      </c>
      <c r="U8" s="40">
        <f t="shared" ref="U8:U15" si="3">(E8*60)*H8</f>
        <v>58060800</v>
      </c>
      <c r="V8" s="40">
        <f t="shared" ref="V8:V15" si="4">(L8+M8)/1024</f>
        <v>438.10126953125001</v>
      </c>
      <c r="W8" s="42">
        <f t="shared" ref="W8:W15" si="5">H8/I8</f>
        <v>2</v>
      </c>
    </row>
    <row r="9" spans="2:23" x14ac:dyDescent="0.25">
      <c r="B9" s="71" t="s">
        <v>47</v>
      </c>
      <c r="C9" s="71" t="s">
        <v>49</v>
      </c>
      <c r="D9" s="71" t="s">
        <v>53</v>
      </c>
      <c r="E9" s="72">
        <v>10080</v>
      </c>
      <c r="F9" s="72">
        <v>111222.33</v>
      </c>
      <c r="G9" s="72">
        <v>287333.09999999998</v>
      </c>
      <c r="H9" s="73">
        <v>96</v>
      </c>
      <c r="I9" s="73">
        <v>48</v>
      </c>
      <c r="J9" s="72">
        <v>2040</v>
      </c>
      <c r="K9" s="72">
        <v>56</v>
      </c>
      <c r="L9" s="72">
        <v>409810.3</v>
      </c>
      <c r="M9" s="72">
        <v>15977.2</v>
      </c>
      <c r="N9" s="72">
        <v>1100</v>
      </c>
      <c r="O9" s="72">
        <v>14.391999999999999</v>
      </c>
      <c r="P9" s="72">
        <v>5781.49</v>
      </c>
      <c r="Q9" s="72">
        <v>308.27999999999997</v>
      </c>
      <c r="R9" s="41">
        <f t="shared" si="0"/>
        <v>1114.3920000000001</v>
      </c>
      <c r="S9" s="41">
        <f t="shared" si="1"/>
        <v>6089.7699999999995</v>
      </c>
      <c r="T9" s="41">
        <f t="shared" si="2"/>
        <v>11.033961309523809</v>
      </c>
      <c r="U9" s="40">
        <f t="shared" si="3"/>
        <v>58060800</v>
      </c>
      <c r="V9" s="40">
        <f t="shared" si="4"/>
        <v>415.80810546875</v>
      </c>
      <c r="W9" s="42">
        <f t="shared" si="5"/>
        <v>2</v>
      </c>
    </row>
    <row r="10" spans="2:23" s="39" customFormat="1" x14ac:dyDescent="0.25">
      <c r="B10" s="71" t="s">
        <v>47</v>
      </c>
      <c r="C10" s="74" t="s">
        <v>50</v>
      </c>
      <c r="D10" s="71" t="s">
        <v>54</v>
      </c>
      <c r="E10" s="72">
        <v>10080</v>
      </c>
      <c r="F10" s="72">
        <v>101232.44</v>
      </c>
      <c r="G10" s="72">
        <v>275757.57</v>
      </c>
      <c r="H10" s="73">
        <v>96</v>
      </c>
      <c r="I10" s="73">
        <v>48</v>
      </c>
      <c r="J10" s="72">
        <v>2040</v>
      </c>
      <c r="K10" s="72">
        <v>60.18</v>
      </c>
      <c r="L10" s="72">
        <v>409810.3</v>
      </c>
      <c r="M10" s="72">
        <v>20480</v>
      </c>
      <c r="N10" s="72">
        <v>2487.5300000000002</v>
      </c>
      <c r="O10" s="72">
        <v>41.24</v>
      </c>
      <c r="P10" s="72">
        <v>9191.73</v>
      </c>
      <c r="Q10" s="72">
        <v>545.54</v>
      </c>
      <c r="R10" s="41">
        <f t="shared" si="0"/>
        <v>2528.77</v>
      </c>
      <c r="S10" s="41">
        <f t="shared" si="1"/>
        <v>9737.27</v>
      </c>
      <c r="T10" s="41">
        <f t="shared" si="2"/>
        <v>10.042900793650794</v>
      </c>
      <c r="U10" s="40">
        <f t="shared" si="3"/>
        <v>58060800</v>
      </c>
      <c r="V10" s="40">
        <f t="shared" si="4"/>
        <v>420.20537109374999</v>
      </c>
      <c r="W10" s="42">
        <f t="shared" si="5"/>
        <v>2</v>
      </c>
    </row>
    <row r="11" spans="2:23" s="39" customFormat="1" x14ac:dyDescent="0.25">
      <c r="B11" s="71" t="s">
        <v>47</v>
      </c>
      <c r="C11" s="74" t="s">
        <v>51</v>
      </c>
      <c r="D11" s="71" t="s">
        <v>55</v>
      </c>
      <c r="E11" s="72">
        <v>10080</v>
      </c>
      <c r="F11" s="72">
        <v>154575.88</v>
      </c>
      <c r="G11" s="72">
        <v>303404.55</v>
      </c>
      <c r="H11" s="73">
        <v>96</v>
      </c>
      <c r="I11" s="73">
        <v>48</v>
      </c>
      <c r="J11" s="72">
        <v>2040</v>
      </c>
      <c r="K11" s="72">
        <v>66.739999999999995</v>
      </c>
      <c r="L11" s="72">
        <v>409810.3</v>
      </c>
      <c r="M11" s="72">
        <v>30760</v>
      </c>
      <c r="N11" s="72">
        <v>4028.67</v>
      </c>
      <c r="O11" s="72">
        <v>23.45</v>
      </c>
      <c r="P11" s="72">
        <v>7861.45</v>
      </c>
      <c r="Q11" s="72">
        <v>211.81</v>
      </c>
      <c r="R11" s="41">
        <f t="shared" si="0"/>
        <v>4052.12</v>
      </c>
      <c r="S11" s="41">
        <f t="shared" si="1"/>
        <v>8073.26</v>
      </c>
      <c r="T11" s="41">
        <f t="shared" si="2"/>
        <v>15.33490873015873</v>
      </c>
      <c r="U11" s="40">
        <f t="shared" si="3"/>
        <v>58060800</v>
      </c>
      <c r="V11" s="40">
        <f t="shared" si="4"/>
        <v>430.24443359374999</v>
      </c>
      <c r="W11" s="42">
        <f t="shared" si="5"/>
        <v>2</v>
      </c>
    </row>
    <row r="12" spans="2:23" s="39" customFormat="1" x14ac:dyDescent="0.25">
      <c r="B12" s="71"/>
      <c r="C12" s="71"/>
      <c r="D12" s="71"/>
      <c r="E12" s="72"/>
      <c r="F12" s="72"/>
      <c r="G12" s="72"/>
      <c r="H12" s="73"/>
      <c r="I12" s="73"/>
      <c r="J12" s="72"/>
      <c r="K12" s="72"/>
      <c r="L12" s="72"/>
      <c r="M12" s="72"/>
      <c r="N12" s="72"/>
      <c r="O12" s="72"/>
      <c r="P12" s="72"/>
      <c r="Q12" s="72"/>
      <c r="R12" s="41">
        <f t="shared" si="0"/>
        <v>0</v>
      </c>
      <c r="S12" s="41">
        <f t="shared" si="1"/>
        <v>0</v>
      </c>
      <c r="T12" s="41" t="e">
        <f t="shared" si="2"/>
        <v>#DIV/0!</v>
      </c>
      <c r="U12" s="40">
        <f t="shared" si="3"/>
        <v>0</v>
      </c>
      <c r="V12" s="40">
        <f t="shared" si="4"/>
        <v>0</v>
      </c>
      <c r="W12" s="42" t="e">
        <f t="shared" si="5"/>
        <v>#DIV/0!</v>
      </c>
    </row>
    <row r="13" spans="2:23" s="39" customFormat="1" x14ac:dyDescent="0.25">
      <c r="B13" s="76"/>
      <c r="C13" s="76"/>
      <c r="D13" s="76"/>
      <c r="E13" s="72"/>
      <c r="F13" s="72"/>
      <c r="G13" s="73"/>
      <c r="H13" s="73"/>
      <c r="I13" s="73"/>
      <c r="J13" s="72"/>
      <c r="K13" s="77"/>
      <c r="L13" s="73"/>
      <c r="M13" s="73"/>
      <c r="N13" s="78"/>
      <c r="O13" s="78"/>
      <c r="P13" s="72"/>
      <c r="Q13" s="79"/>
      <c r="R13" s="41">
        <f>N13+O13</f>
        <v>0</v>
      </c>
      <c r="S13" s="41">
        <f>(P13+Q13)</f>
        <v>0</v>
      </c>
      <c r="T13" s="41" t="e">
        <f>F13/E13</f>
        <v>#DIV/0!</v>
      </c>
      <c r="U13" s="40">
        <f>(E13*60)*H13</f>
        <v>0</v>
      </c>
      <c r="V13" s="40">
        <f>(L13+M13)/1024</f>
        <v>0</v>
      </c>
      <c r="W13" s="42" t="e">
        <f>H13/I13</f>
        <v>#DIV/0!</v>
      </c>
    </row>
    <row r="14" spans="2:23" s="39" customFormat="1" x14ac:dyDescent="0.25">
      <c r="B14" s="76"/>
      <c r="C14" s="76"/>
      <c r="D14" s="76"/>
      <c r="E14" s="72"/>
      <c r="F14" s="72"/>
      <c r="G14" s="73"/>
      <c r="H14" s="73"/>
      <c r="I14" s="73"/>
      <c r="J14" s="72"/>
      <c r="K14" s="77"/>
      <c r="L14" s="73"/>
      <c r="M14" s="73"/>
      <c r="N14" s="78"/>
      <c r="O14" s="78"/>
      <c r="P14" s="72"/>
      <c r="Q14" s="79"/>
      <c r="R14" s="41">
        <f>N14+O14</f>
        <v>0</v>
      </c>
      <c r="S14" s="41">
        <f>(P14+Q14)</f>
        <v>0</v>
      </c>
      <c r="T14" s="41" t="e">
        <f>F14/E14</f>
        <v>#DIV/0!</v>
      </c>
      <c r="U14" s="40">
        <f>(E14*60)*H14</f>
        <v>0</v>
      </c>
      <c r="V14" s="40">
        <f>(L14+M14)/1024</f>
        <v>0</v>
      </c>
      <c r="W14" s="42" t="e">
        <f>H14/I14</f>
        <v>#DIV/0!</v>
      </c>
    </row>
    <row r="15" spans="2:23" s="39" customFormat="1" x14ac:dyDescent="0.25">
      <c r="B15" s="74"/>
      <c r="C15" s="74"/>
      <c r="D15" s="71"/>
      <c r="E15" s="72"/>
      <c r="F15" s="72"/>
      <c r="G15" s="72"/>
      <c r="H15" s="73"/>
      <c r="I15" s="73"/>
      <c r="J15" s="72"/>
      <c r="K15" s="72"/>
      <c r="L15" s="72"/>
      <c r="M15" s="72"/>
      <c r="N15" s="72"/>
      <c r="O15" s="72"/>
      <c r="P15" s="72"/>
      <c r="Q15" s="72"/>
      <c r="R15" s="41">
        <f t="shared" si="0"/>
        <v>0</v>
      </c>
      <c r="S15" s="41">
        <f t="shared" si="1"/>
        <v>0</v>
      </c>
      <c r="T15" s="41" t="e">
        <f t="shared" si="2"/>
        <v>#DIV/0!</v>
      </c>
      <c r="U15" s="40">
        <f t="shared" si="3"/>
        <v>0</v>
      </c>
      <c r="V15" s="40">
        <f t="shared" si="4"/>
        <v>0</v>
      </c>
      <c r="W15" s="42" t="e">
        <f t="shared" si="5"/>
        <v>#DIV/0!</v>
      </c>
    </row>
    <row r="16" spans="2:23" ht="19.149999999999999" customHeight="1" thickBot="1" x14ac:dyDescent="0.3"/>
    <row r="17" spans="4:18" ht="19.149999999999999" customHeight="1" x14ac:dyDescent="0.25">
      <c r="D17" s="83" t="s">
        <v>62</v>
      </c>
      <c r="E17" s="88" t="s">
        <v>64</v>
      </c>
      <c r="F17" s="84" t="s">
        <v>63</v>
      </c>
    </row>
    <row r="18" spans="4:18" s="15" customFormat="1" ht="18.75" x14ac:dyDescent="0.3">
      <c r="D18" s="85" t="s">
        <v>56</v>
      </c>
      <c r="E18" s="80">
        <v>2</v>
      </c>
      <c r="F18" s="90">
        <v>2</v>
      </c>
      <c r="H18" s="16"/>
      <c r="R18" s="46"/>
    </row>
    <row r="19" spans="4:18" ht="12.4" customHeight="1" x14ac:dyDescent="0.25">
      <c r="D19" s="85" t="s">
        <v>57</v>
      </c>
      <c r="E19" s="80">
        <v>2</v>
      </c>
      <c r="F19" s="91">
        <v>2</v>
      </c>
    </row>
    <row r="20" spans="4:18" ht="12.4" customHeight="1" x14ac:dyDescent="0.25">
      <c r="D20" s="85" t="s">
        <v>58</v>
      </c>
      <c r="E20" s="81">
        <v>2</v>
      </c>
      <c r="F20" s="92">
        <v>2</v>
      </c>
    </row>
    <row r="21" spans="4:18" ht="13.15" customHeight="1" x14ac:dyDescent="0.25">
      <c r="D21" s="85" t="s">
        <v>61</v>
      </c>
      <c r="E21" s="82">
        <v>2</v>
      </c>
      <c r="F21" s="93">
        <v>2</v>
      </c>
    </row>
    <row r="22" spans="4:18" x14ac:dyDescent="0.25">
      <c r="D22" s="85" t="s">
        <v>59</v>
      </c>
      <c r="E22" s="80">
        <v>0.75</v>
      </c>
      <c r="F22" s="91">
        <v>0.75</v>
      </c>
    </row>
    <row r="23" spans="4:18" ht="13.15" customHeight="1" thickBot="1" x14ac:dyDescent="0.3">
      <c r="D23" s="86" t="s">
        <v>60</v>
      </c>
      <c r="E23" s="87">
        <v>1.25</v>
      </c>
      <c r="F23" s="94">
        <v>1.25</v>
      </c>
    </row>
    <row r="24" spans="4:18" x14ac:dyDescent="0.25">
      <c r="D24" s="89" t="s">
        <v>65</v>
      </c>
    </row>
  </sheetData>
  <phoneticPr fontId="2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750E-AE5D-4A47-94AB-E0FC4862066E}">
  <sheetPr codeName="Sheet1"/>
  <dimension ref="B1:S38"/>
  <sheetViews>
    <sheetView zoomScaleNormal="100" workbookViewId="0">
      <selection activeCell="E13" sqref="E13"/>
    </sheetView>
  </sheetViews>
  <sheetFormatPr defaultRowHeight="15" x14ac:dyDescent="0.25"/>
  <cols>
    <col min="2" max="3" width="15.42578125" customWidth="1"/>
    <col min="4" max="4" width="19.42578125" customWidth="1"/>
    <col min="5" max="5" width="14.5703125" customWidth="1"/>
    <col min="6" max="6" width="15.140625" style="3" customWidth="1"/>
    <col min="7" max="7" width="14.42578125" customWidth="1"/>
    <col min="8" max="8" width="12.5703125" style="3" customWidth="1"/>
    <col min="9" max="15" width="12.5703125" customWidth="1"/>
    <col min="16" max="19" width="12.5703125" hidden="1" customWidth="1"/>
    <col min="20" max="20" width="13.85546875" customWidth="1"/>
    <col min="21" max="21" width="10.42578125" customWidth="1"/>
    <col min="22" max="22" width="11.140625" bestFit="1" customWidth="1"/>
    <col min="23" max="23" width="12.5703125" customWidth="1"/>
  </cols>
  <sheetData>
    <row r="1" spans="2:17" s="31" customFormat="1" x14ac:dyDescent="0.25">
      <c r="E1" s="23"/>
      <c r="F1" s="23"/>
      <c r="G1" s="24"/>
      <c r="H1" s="24"/>
      <c r="I1" s="24"/>
      <c r="J1" s="32"/>
      <c r="K1" s="26"/>
      <c r="L1" s="24"/>
      <c r="M1" s="23"/>
      <c r="N1" s="23"/>
      <c r="O1" s="23"/>
      <c r="P1" s="23"/>
      <c r="Q1" s="23"/>
    </row>
    <row r="2" spans="2:17" s="19" customFormat="1" ht="18.75" x14ac:dyDescent="0.3">
      <c r="B2" s="19" t="s">
        <v>24</v>
      </c>
      <c r="E2" s="27"/>
      <c r="F2" s="27"/>
      <c r="G2" s="28"/>
      <c r="H2" s="28"/>
      <c r="I2" s="28"/>
      <c r="J2" s="44"/>
      <c r="K2" s="30"/>
      <c r="L2" s="28"/>
      <c r="M2" s="27"/>
      <c r="N2" s="27"/>
      <c r="O2" s="27"/>
      <c r="P2" s="27"/>
      <c r="Q2" s="27"/>
    </row>
    <row r="3" spans="2:17" s="64" customFormat="1" ht="18.75" x14ac:dyDescent="0.3">
      <c r="B3" s="65" t="s">
        <v>25</v>
      </c>
      <c r="E3" s="27"/>
      <c r="F3" s="27"/>
      <c r="G3" s="28"/>
      <c r="H3" s="28"/>
      <c r="I3" s="28"/>
      <c r="J3" s="44"/>
      <c r="K3" s="30"/>
      <c r="L3" s="28"/>
      <c r="M3" s="27"/>
      <c r="N3" s="27"/>
      <c r="O3" s="27"/>
      <c r="P3" s="27"/>
      <c r="Q3" s="27"/>
    </row>
    <row r="4" spans="2:17" s="66" customFormat="1" ht="15.75" x14ac:dyDescent="0.25">
      <c r="B4" s="65" t="s">
        <v>40</v>
      </c>
      <c r="E4" s="23"/>
      <c r="F4" s="23"/>
      <c r="G4" s="24"/>
      <c r="H4" s="24"/>
      <c r="I4" s="24"/>
      <c r="J4" s="32"/>
      <c r="K4" s="26"/>
      <c r="L4" s="24"/>
      <c r="M4" s="23"/>
      <c r="N4" s="23"/>
      <c r="O4" s="23"/>
      <c r="P4" s="23"/>
      <c r="Q4" s="23"/>
    </row>
    <row r="5" spans="2:17" s="31" customFormat="1" ht="18.75" x14ac:dyDescent="0.3">
      <c r="B5" s="19"/>
      <c r="E5" s="23"/>
      <c r="F5" s="23"/>
      <c r="G5" s="24"/>
      <c r="H5" s="24"/>
      <c r="I5" s="24"/>
      <c r="J5" s="32"/>
      <c r="K5" s="26"/>
      <c r="L5" s="24"/>
      <c r="M5" s="23"/>
      <c r="N5" s="23"/>
      <c r="O5" s="23"/>
      <c r="P5" s="23"/>
      <c r="Q5" s="23"/>
    </row>
    <row r="6" spans="2:17" s="15" customFormat="1" ht="18.75" x14ac:dyDescent="0.3">
      <c r="B6" s="15" t="s">
        <v>41</v>
      </c>
      <c r="E6" s="27"/>
      <c r="F6" s="28"/>
      <c r="G6" s="28"/>
      <c r="H6" s="29"/>
      <c r="I6" s="27"/>
      <c r="J6" s="29"/>
      <c r="K6" s="30"/>
      <c r="L6" s="28"/>
      <c r="M6" s="28"/>
      <c r="N6" s="27"/>
      <c r="O6" s="27"/>
      <c r="P6" s="27"/>
      <c r="Q6" s="27"/>
    </row>
    <row r="7" spans="2:17" s="2" customFormat="1" ht="60" x14ac:dyDescent="0.25">
      <c r="B7" s="4" t="s">
        <v>0</v>
      </c>
      <c r="C7" s="4" t="s">
        <v>1</v>
      </c>
      <c r="D7" s="5" t="s">
        <v>37</v>
      </c>
      <c r="E7" s="5" t="s">
        <v>34</v>
      </c>
      <c r="F7" s="5" t="s">
        <v>35</v>
      </c>
      <c r="G7" s="5" t="s">
        <v>36</v>
      </c>
      <c r="H7" s="5" t="s">
        <v>6</v>
      </c>
    </row>
    <row r="8" spans="2:17" x14ac:dyDescent="0.25">
      <c r="B8" s="71" t="s">
        <v>47</v>
      </c>
      <c r="C8" s="71" t="s">
        <v>48</v>
      </c>
      <c r="D8" s="6">
        <f>IF(InstSummary[[#This Row],[Instance Name]]="","",SUMIFS(AWRData[DB Time (mins)],AWRData[Instance Name],InstSummary[[#This Row],[Instance Name]])/SUMIFS(AWRData[Elapsed Time (mins)],AWRData[Instance Name],InstSummary[[#This Row],[Instance Name]]))</f>
        <v>9.7225664682539676</v>
      </c>
      <c r="E8" s="11">
        <f>IF(InstSummary[[#This Row],[Instance Name]]="","",SUMIFS(AWRData[ORA use (GB)],AWRData[Instance Name],InstSummary[[#This Row],[Instance Name]]))</f>
        <v>438.10126953125001</v>
      </c>
      <c r="F8" s="8">
        <f>IF(InstSummary[[#This Row],[Instance Name]]="","",SUMIFS(AWRData[Total IOPS],AWRData[Instance Name],InstSummary[[#This Row],[Instance Name]]))</f>
        <v>18502.55</v>
      </c>
      <c r="G8" s="8">
        <f>IF(InstSummary[[#This Row],[Instance Name]]="","",SUMIFS(AWRData[Total Throughput (MB/s)],AWRData[Instance Name],InstSummary[[#This Row],[Instance Name]]))</f>
        <v>3283.154</v>
      </c>
      <c r="H8" s="8">
        <f>IF(InstSummary[[#This Row],[Instance Name]]="","",InstSummary[[#This Row],[%DB Time of Elapsed Time (aka Avg Active Sessions or "AAS")]]*(vCPUHTFactor/SUMIFS(AWRData[source CPU HT factor],AWRData[Instance Name],InstSummary[[#This Row],[Instance Name]])))</f>
        <v>9.7225664682539676</v>
      </c>
    </row>
    <row r="9" spans="2:17" x14ac:dyDescent="0.25">
      <c r="B9" s="71" t="s">
        <v>47</v>
      </c>
      <c r="C9" s="71" t="s">
        <v>49</v>
      </c>
      <c r="D9" s="6">
        <f>IF(InstSummary[[#This Row],[Instance Name]]="","",SUMIFS(AWRData[DB Time (mins)],AWRData[Instance Name],InstSummary[[#This Row],[Instance Name]])/SUMIFS(AWRData[Elapsed Time (mins)],AWRData[Instance Name],InstSummary[[#This Row],[Instance Name]]))</f>
        <v>11.033961309523809</v>
      </c>
      <c r="E9" s="11">
        <f>IF(InstSummary[[#This Row],[Instance Name]]="","",SUMIFS(AWRData[ORA use (GB)],AWRData[Instance Name],InstSummary[[#This Row],[Instance Name]]))</f>
        <v>415.80810546875</v>
      </c>
      <c r="F9" s="8">
        <f>IF(InstSummary[[#This Row],[Instance Name]]="","",SUMIFS(AWRData[Total IOPS],AWRData[Instance Name],InstSummary[[#This Row],[Instance Name]]))</f>
        <v>6089.7699999999995</v>
      </c>
      <c r="G9" s="8">
        <f>IF(InstSummary[[#This Row],[Instance Name]]="","",SUMIFS(AWRData[Total Throughput (MB/s)],AWRData[Instance Name],InstSummary[[#This Row],[Instance Name]]))</f>
        <v>1114.3920000000001</v>
      </c>
      <c r="H9" s="8">
        <f>IF(InstSummary[[#This Row],[Instance Name]]="","",InstSummary[[#This Row],[%DB Time of Elapsed Time (aka Avg Active Sessions or "AAS")]]*(vCPUHTFactor/SUMIFS(AWRData[source CPU HT factor],AWRData[Instance Name],InstSummary[[#This Row],[Instance Name]])))</f>
        <v>11.033961309523809</v>
      </c>
    </row>
    <row r="10" spans="2:17" x14ac:dyDescent="0.25">
      <c r="B10" s="71" t="s">
        <v>47</v>
      </c>
      <c r="C10" s="74" t="s">
        <v>50</v>
      </c>
      <c r="D10" s="6">
        <f>IF(InstSummary[[#This Row],[Instance Name]]="","",SUMIFS(AWRData[DB Time (mins)],AWRData[Instance Name],InstSummary[[#This Row],[Instance Name]])/SUMIFS(AWRData[Elapsed Time (mins)],AWRData[Instance Name],InstSummary[[#This Row],[Instance Name]]))</f>
        <v>10.042900793650794</v>
      </c>
      <c r="E10" s="11">
        <f>IF(InstSummary[[#This Row],[Instance Name]]="","",SUMIFS(AWRData[ORA use (GB)],AWRData[Instance Name],InstSummary[[#This Row],[Instance Name]]))</f>
        <v>420.20537109374999</v>
      </c>
      <c r="F10" s="8">
        <f>IF(InstSummary[[#This Row],[Instance Name]]="","",SUMIFS(AWRData[Total IOPS],AWRData[Instance Name],InstSummary[[#This Row],[Instance Name]]))</f>
        <v>9737.27</v>
      </c>
      <c r="G10" s="8">
        <f>IF(InstSummary[[#This Row],[Instance Name]]="","",SUMIFS(AWRData[Total Throughput (MB/s)],AWRData[Instance Name],InstSummary[[#This Row],[Instance Name]]))</f>
        <v>2528.77</v>
      </c>
      <c r="H10" s="8">
        <f>IF(InstSummary[[#This Row],[Instance Name]]="","",InstSummary[[#This Row],[%DB Time of Elapsed Time (aka Avg Active Sessions or "AAS")]]*(vCPUHTFactor/SUMIFS(AWRData[source CPU HT factor],AWRData[Instance Name],InstSummary[[#This Row],[Instance Name]])))</f>
        <v>10.042900793650794</v>
      </c>
    </row>
    <row r="11" spans="2:17" x14ac:dyDescent="0.25">
      <c r="B11" s="71" t="s">
        <v>47</v>
      </c>
      <c r="C11" s="74" t="s">
        <v>51</v>
      </c>
      <c r="D11" s="6">
        <f>IF(InstSummary[[#This Row],[Instance Name]]="","",SUMIFS(AWRData[DB Time (mins)],AWRData[Instance Name],InstSummary[[#This Row],[Instance Name]])/SUMIFS(AWRData[Elapsed Time (mins)],AWRData[Instance Name],InstSummary[[#This Row],[Instance Name]]))</f>
        <v>15.33490873015873</v>
      </c>
      <c r="E11" s="11">
        <f>IF(InstSummary[[#This Row],[Instance Name]]="","",SUMIFS(AWRData[ORA use (GB)],AWRData[Instance Name],InstSummary[[#This Row],[Instance Name]]))</f>
        <v>430.24443359374999</v>
      </c>
      <c r="F11" s="8">
        <f>IF(InstSummary[[#This Row],[Instance Name]]="","",SUMIFS(AWRData[Total IOPS],AWRData[Instance Name],InstSummary[[#This Row],[Instance Name]]))</f>
        <v>8073.26</v>
      </c>
      <c r="G11" s="8">
        <f>IF(InstSummary[[#This Row],[Instance Name]]="","",SUMIFS(AWRData[Total Throughput (MB/s)],AWRData[Instance Name],InstSummary[[#This Row],[Instance Name]]))</f>
        <v>4052.12</v>
      </c>
      <c r="H11" s="8">
        <f>IF(InstSummary[[#This Row],[Instance Name]]="","",InstSummary[[#This Row],[%DB Time of Elapsed Time (aka Avg Active Sessions or "AAS")]]*(vCPUHTFactor/SUMIFS(AWRData[source CPU HT factor],AWRData[Instance Name],InstSummary[[#This Row],[Instance Name]])))</f>
        <v>15.33490873015873</v>
      </c>
    </row>
    <row r="12" spans="2:17" x14ac:dyDescent="0.25">
      <c r="B12" s="71"/>
      <c r="C12" s="71"/>
      <c r="D12" s="6" t="str">
        <f>IF(InstSummary[[#This Row],[Instance Name]]="","",SUMIFS(AWRData[DB Time (mins)],AWRData[Instance Name],InstSummary[[#This Row],[Instance Name]])/SUMIFS(AWRData[Elapsed Time (mins)],AWRData[Instance Name],InstSummary[[#This Row],[Instance Name]]))</f>
        <v/>
      </c>
      <c r="E12" s="11" t="str">
        <f>IF(InstSummary[[#This Row],[Instance Name]]="","",SUMIFS(AWRData[ORA use (GB)],AWRData[Instance Name],InstSummary[[#This Row],[Instance Name]]))</f>
        <v/>
      </c>
      <c r="F12" s="8" t="str">
        <f>IF(InstSummary[[#This Row],[Instance Name]]="","",SUMIFS(AWRData[Total IOPS],AWRData[Instance Name],InstSummary[[#This Row],[Instance Name]]))</f>
        <v/>
      </c>
      <c r="G12" s="8" t="str">
        <f>IF(InstSummary[[#This Row],[Instance Name]]="","",SUMIFS(AWRData[Total Throughput (MB/s)],AWRData[Instance Name],InstSummary[[#This Row],[Instance Name]]))</f>
        <v/>
      </c>
      <c r="H12" s="8" t="str">
        <f>IF(InstSummary[[#This Row],[Instance Name]]="","",InstSummary[[#This Row],[%DB Time of Elapsed Time (aka Avg Active Sessions or "AAS")]]*(vCPUHTFactor/SUMIFS(AWRData[source CPU HT factor],AWRData[Instance Name],InstSummary[[#This Row],[Instance Name]])))</f>
        <v/>
      </c>
    </row>
    <row r="13" spans="2:17" x14ac:dyDescent="0.25">
      <c r="B13" s="71"/>
      <c r="C13" s="71"/>
      <c r="D13" s="6" t="str">
        <f>IF(InstSummary[[#This Row],[Instance Name]]="","",SUMIFS(AWRData[DB Time (mins)],AWRData[Instance Name],InstSummary[[#This Row],[Instance Name]])/SUMIFS(AWRData[Elapsed Time (mins)],AWRData[Instance Name],InstSummary[[#This Row],[Instance Name]]))</f>
        <v/>
      </c>
      <c r="E13" s="11" t="str">
        <f>IF(InstSummary[[#This Row],[Instance Name]]="","",SUMIFS(AWRData[ORA use (GB)],AWRData[Instance Name],InstSummary[[#This Row],[Instance Name]]))</f>
        <v/>
      </c>
      <c r="F13" s="8" t="str">
        <f>IF(InstSummary[[#This Row],[Instance Name]]="","",SUMIFS(AWRData[Total IOPS],AWRData[Instance Name],InstSummary[[#This Row],[Instance Name]]))</f>
        <v/>
      </c>
      <c r="G13" s="8" t="str">
        <f>IF(InstSummary[[#This Row],[Instance Name]]="","",SUMIFS(AWRData[Total Throughput (MB/s)],AWRData[Instance Name],InstSummary[[#This Row],[Instance Name]]))</f>
        <v/>
      </c>
      <c r="H13" s="8" t="str">
        <f>IF(InstSummary[[#This Row],[Instance Name]]="","",InstSummary[[#This Row],[%DB Time of Elapsed Time (aka Avg Active Sessions or "AAS")]]*(vCPUHTFactor/SUMIFS(AWRData[source CPU HT factor],AWRData[Instance Name],InstSummary[[#This Row],[Instance Name]])))</f>
        <v/>
      </c>
    </row>
    <row r="14" spans="2:17" x14ac:dyDescent="0.25">
      <c r="B14" s="71"/>
      <c r="C14" s="71"/>
      <c r="D14" s="6" t="str">
        <f>IF(InstSummary[[#This Row],[Instance Name]]="","",SUMIFS(AWRData[DB Time (mins)],AWRData[Instance Name],InstSummary[[#This Row],[Instance Name]])/SUMIFS(AWRData[Elapsed Time (mins)],AWRData[Instance Name],InstSummary[[#This Row],[Instance Name]]))</f>
        <v/>
      </c>
      <c r="E14" s="11" t="str">
        <f>IF(InstSummary[[#This Row],[Instance Name]]="","",SUMIFS(AWRData[ORA use (GB)],AWRData[Instance Name],InstSummary[[#This Row],[Instance Name]]))</f>
        <v/>
      </c>
      <c r="F14" s="8" t="str">
        <f>IF(InstSummary[[#This Row],[Instance Name]]="","",SUMIFS(AWRData[Total IOPS],AWRData[Instance Name],InstSummary[[#This Row],[Instance Name]]))</f>
        <v/>
      </c>
      <c r="G14" s="8" t="str">
        <f>IF(InstSummary[[#This Row],[Instance Name]]="","",SUMIFS(AWRData[Total Throughput (MB/s)],AWRData[Instance Name],InstSummary[[#This Row],[Instance Name]]))</f>
        <v/>
      </c>
      <c r="H14" s="8" t="str">
        <f>IF(InstSummary[[#This Row],[Instance Name]]="","",InstSummary[[#This Row],[%DB Time of Elapsed Time (aka Avg Active Sessions or "AAS")]]*(vCPUHTFactor/SUMIFS(AWRData[source CPU HT factor],AWRData[Instance Name],InstSummary[[#This Row],[Instance Name]])))</f>
        <v/>
      </c>
    </row>
    <row r="15" spans="2:17" x14ac:dyDescent="0.25">
      <c r="B15" s="71"/>
      <c r="C15" s="71"/>
      <c r="D15" s="6" t="str">
        <f>IF(InstSummary[[#This Row],[Instance Name]]="","",SUMIFS(AWRData[DB Time (mins)],AWRData[Instance Name],InstSummary[[#This Row],[Instance Name]])/SUMIFS(AWRData[Elapsed Time (mins)],AWRData[Instance Name],InstSummary[[#This Row],[Instance Name]]))</f>
        <v/>
      </c>
      <c r="E15" s="11" t="str">
        <f>IF(InstSummary[[#This Row],[Instance Name]]="","",SUMIFS(AWRData[ORA use (GB)],AWRData[Instance Name],InstSummary[[#This Row],[Instance Name]]))</f>
        <v/>
      </c>
      <c r="F15" s="8" t="str">
        <f>IF(InstSummary[[#This Row],[Instance Name]]="","",SUMIFS(AWRData[Total IOPS],AWRData[Instance Name],InstSummary[[#This Row],[Instance Name]]))</f>
        <v/>
      </c>
      <c r="G15" s="8" t="str">
        <f>IF(InstSummary[[#This Row],[Instance Name]]="","",SUMIFS(AWRData[Total Throughput (MB/s)],AWRData[Instance Name],InstSummary[[#This Row],[Instance Name]]))</f>
        <v/>
      </c>
      <c r="H15" s="8" t="str">
        <f>IF(InstSummary[[#This Row],[Instance Name]]="","",InstSummary[[#This Row],[%DB Time of Elapsed Time (aka Avg Active Sessions or "AAS")]]*(vCPUHTFactor/SUMIFS(AWRData[source CPU HT factor],AWRData[Instance Name],InstSummary[[#This Row],[Instance Name]])))</f>
        <v/>
      </c>
    </row>
    <row r="16" spans="2:17" x14ac:dyDescent="0.25">
      <c r="D16" s="7">
        <f>SUBTOTAL(109,InstSummary[%DB Time of Elapsed Time (aka Avg Active Sessions or "AAS")])</f>
        <v>46.134337301587301</v>
      </c>
      <c r="E16" s="10">
        <f>SUBTOTAL(109,InstSummary[Observed memory use (GB)])</f>
        <v>1704.3591796875</v>
      </c>
      <c r="F16" s="9">
        <f>SUBTOTAL(109,InstSummary[Observed IOPS])</f>
        <v>42402.85</v>
      </c>
      <c r="G16" s="9">
        <f>SUBTOTAL(109,InstSummary[Observed Throughput (MB/s)])</f>
        <v>10978.436000000002</v>
      </c>
      <c r="H16" s="9">
        <f>SUBTOTAL(109,InstSummary[Est''d Azure vCPUs])</f>
        <v>46.134337301587301</v>
      </c>
    </row>
    <row r="17" spans="2:17" s="31" customFormat="1" x14ac:dyDescent="0.25">
      <c r="E17" s="23"/>
      <c r="F17" s="24"/>
      <c r="G17" s="24"/>
      <c r="H17" s="25"/>
      <c r="I17" s="23"/>
      <c r="J17" s="25"/>
      <c r="K17"/>
      <c r="L17" s="24"/>
      <c r="M17" s="24"/>
      <c r="N17" s="23"/>
      <c r="O17" s="23"/>
      <c r="P17" s="23"/>
      <c r="Q17" s="23"/>
    </row>
    <row r="18" spans="2:17" s="15" customFormat="1" ht="17.649999999999999" customHeight="1" x14ac:dyDescent="0.3">
      <c r="B18" s="15" t="s">
        <v>42</v>
      </c>
      <c r="E18" s="17"/>
      <c r="F18" s="18"/>
      <c r="G18" s="17"/>
      <c r="H18" s="18"/>
    </row>
    <row r="19" spans="2:17" s="1" customFormat="1" ht="60" x14ac:dyDescent="0.25">
      <c r="B19" s="45" t="s">
        <v>27</v>
      </c>
      <c r="C19" s="4" t="s">
        <v>26</v>
      </c>
      <c r="D19" s="5" t="s">
        <v>37</v>
      </c>
      <c r="E19" s="5" t="s">
        <v>34</v>
      </c>
      <c r="F19" s="5" t="s">
        <v>35</v>
      </c>
      <c r="G19" s="5" t="s">
        <v>36</v>
      </c>
      <c r="H19" s="53" t="s">
        <v>6</v>
      </c>
    </row>
    <row r="20" spans="2:17" x14ac:dyDescent="0.25">
      <c r="B20" s="71" t="s">
        <v>52</v>
      </c>
      <c r="D20" s="54">
        <f>IF(HostSummary[[#This Row],[Host]]="","",SUMIFS(AWRData[Average Active Sessions],AWRData[Host Name],HostSummary[[#This Row],[Host]]))</f>
        <v>9.7225664682539676</v>
      </c>
      <c r="E20" s="55">
        <f>IF(HostSummary[[#This Row],[Host]]="","",SUMIFS(AWRData[ORA use (GB)],AWRData[Host Name],HostSummary[[#This Row],[Host]]))</f>
        <v>438.10126953125001</v>
      </c>
      <c r="F20" s="55">
        <f>IF(HostSummary[[#This Row],[Host]]="","",SUMIFS(AWRData[Total IOPS],AWRData[Host Name],HostSummary[[#This Row],[Host]]))</f>
        <v>18502.55</v>
      </c>
      <c r="G20" s="55">
        <f>IF(HostSummary[[#This Row],[Host]]="","",SUMIFS(AWRData[Total Throughput (MB/s)],AWRData[Host Name],HostSummary[[#This Row],[Host]]))</f>
        <v>3283.154</v>
      </c>
      <c r="H20" s="55">
        <f>IF(HostSummary[[#This Row],[Host]]="","",ROUND(HostSummary[[#This Row],[%DB Time of Elapsed Time (aka Avg Active Sessions or "AAS")]]+0.5,0)*(vCPUHTFactor/AVERAGEIFS(AWRData[source CPU HT factor],AWRData[Host Name],HostSummary[[#This Row],[Host]])))</f>
        <v>10</v>
      </c>
    </row>
    <row r="21" spans="2:17" x14ac:dyDescent="0.25">
      <c r="B21" s="71" t="s">
        <v>53</v>
      </c>
      <c r="D21" s="54">
        <f>IF(HostSummary[[#This Row],[Host]]="","",SUMIFS(AWRData[Average Active Sessions],AWRData[Host Name],HostSummary[[#This Row],[Host]]))</f>
        <v>11.033961309523809</v>
      </c>
      <c r="E21" s="55">
        <f>IF(HostSummary[[#This Row],[Host]]="","",SUMIFS(AWRData[ORA use (GB)],AWRData[Host Name],HostSummary[[#This Row],[Host]]))</f>
        <v>415.80810546875</v>
      </c>
      <c r="F21" s="55">
        <f>IF(HostSummary[[#This Row],[Host]]="","",SUMIFS(AWRData[Total IOPS],AWRData[Host Name],HostSummary[[#This Row],[Host]]))</f>
        <v>6089.7699999999995</v>
      </c>
      <c r="G21" s="55">
        <f>IF(HostSummary[[#This Row],[Host]]="","",SUMIFS(AWRData[Total Throughput (MB/s)],AWRData[Host Name],HostSummary[[#This Row],[Host]]))</f>
        <v>1114.3920000000001</v>
      </c>
      <c r="H21" s="55">
        <f>IF(HostSummary[[#This Row],[Host]]="","",ROUND(HostSummary[[#This Row],[%DB Time of Elapsed Time (aka Avg Active Sessions or "AAS")]]+0.5,0)*(vCPUHTFactor/AVERAGEIFS(AWRData[source CPU HT factor],AWRData[Host Name],HostSummary[[#This Row],[Host]])))</f>
        <v>12</v>
      </c>
    </row>
    <row r="22" spans="2:17" x14ac:dyDescent="0.25">
      <c r="B22" s="71" t="s">
        <v>54</v>
      </c>
      <c r="D22" s="54">
        <f>IF(HostSummary[[#This Row],[Host]]="","",SUMIFS(AWRData[Average Active Sessions],AWRData[Host Name],HostSummary[[#This Row],[Host]]))</f>
        <v>10.042900793650794</v>
      </c>
      <c r="E22" s="55">
        <f>IF(HostSummary[[#This Row],[Host]]="","",SUMIFS(AWRData[ORA use (GB)],AWRData[Host Name],HostSummary[[#This Row],[Host]]))</f>
        <v>420.20537109374999</v>
      </c>
      <c r="F22" s="55">
        <f>IF(HostSummary[[#This Row],[Host]]="","",SUMIFS(AWRData[Total IOPS],AWRData[Host Name],HostSummary[[#This Row],[Host]]))</f>
        <v>9737.27</v>
      </c>
      <c r="G22" s="55">
        <f>IF(HostSummary[[#This Row],[Host]]="","",SUMIFS(AWRData[Total Throughput (MB/s)],AWRData[Host Name],HostSummary[[#This Row],[Host]]))</f>
        <v>2528.77</v>
      </c>
      <c r="H22" s="55">
        <f>IF(HostSummary[[#This Row],[Host]]="","",ROUND(HostSummary[[#This Row],[%DB Time of Elapsed Time (aka Avg Active Sessions or "AAS")]]+0.5,0)*(vCPUHTFactor/AVERAGEIFS(AWRData[source CPU HT factor],AWRData[Host Name],HostSummary[[#This Row],[Host]])))</f>
        <v>11</v>
      </c>
    </row>
    <row r="23" spans="2:17" x14ac:dyDescent="0.25">
      <c r="B23" s="71" t="s">
        <v>55</v>
      </c>
      <c r="D23" s="54">
        <f>IF(HostSummary[[#This Row],[Host]]="","",SUMIFS(AWRData[Average Active Sessions],AWRData[Host Name],HostSummary[[#This Row],[Host]]))</f>
        <v>15.33490873015873</v>
      </c>
      <c r="E23" s="55">
        <f>IF(HostSummary[[#This Row],[Host]]="","",SUMIFS(AWRData[ORA use (GB)],AWRData[Host Name],HostSummary[[#This Row],[Host]]))</f>
        <v>430.24443359374999</v>
      </c>
      <c r="F23" s="55">
        <f>IF(HostSummary[[#This Row],[Host]]="","",SUMIFS(AWRData[Total IOPS],AWRData[Host Name],HostSummary[[#This Row],[Host]]))</f>
        <v>8073.26</v>
      </c>
      <c r="G23" s="55">
        <f>IF(HostSummary[[#This Row],[Host]]="","",SUMIFS(AWRData[Total Throughput (MB/s)],AWRData[Host Name],HostSummary[[#This Row],[Host]]))</f>
        <v>4052.12</v>
      </c>
      <c r="H23" s="55">
        <f>IF(HostSummary[[#This Row],[Host]]="","",ROUND(HostSummary[[#This Row],[%DB Time of Elapsed Time (aka Avg Active Sessions or "AAS")]]+0.5,0)*(vCPUHTFactor/AVERAGEIFS(AWRData[source CPU HT factor],AWRData[Host Name],HostSummary[[#This Row],[Host]])))</f>
        <v>16</v>
      </c>
    </row>
    <row r="24" spans="2:17" x14ac:dyDescent="0.25">
      <c r="B24" s="71"/>
      <c r="D24" s="54" t="str">
        <f>IF(HostSummary[[#This Row],[Host]]="","",SUMIFS(AWRData[Average Active Sessions],AWRData[Host Name],HostSummary[[#This Row],[Host]]))</f>
        <v/>
      </c>
      <c r="E24" s="55" t="str">
        <f>IF(HostSummary[[#This Row],[Host]]="","",SUMIFS(AWRData[ORA use (GB)],AWRData[Host Name],HostSummary[[#This Row],[Host]]))</f>
        <v/>
      </c>
      <c r="F24" s="55" t="str">
        <f>IF(HostSummary[[#This Row],[Host]]="","",SUMIFS(AWRData[Total IOPS],AWRData[Host Name],HostSummary[[#This Row],[Host]]))</f>
        <v/>
      </c>
      <c r="G24" s="55" t="str">
        <f>IF(HostSummary[[#This Row],[Host]]="","",SUMIFS(AWRData[Total Throughput (MB/s)],AWRData[Host Name],HostSummary[[#This Row],[Host]]))</f>
        <v/>
      </c>
      <c r="H24" s="55" t="str">
        <f>IF(HostSummary[[#This Row],[Host]]="","",ROUND(HostSummary[[#This Row],[%DB Time of Elapsed Time (aka Avg Active Sessions or "AAS")]]+0.5,0)*(vCPUHTFactor/AVERAGEIFS(AWRData[source CPU HT factor],AWRData[Host Name],HostSummary[[#This Row],[Host]])))</f>
        <v/>
      </c>
    </row>
    <row r="25" spans="2:17" x14ac:dyDescent="0.25">
      <c r="B25" s="71"/>
      <c r="D25" s="54" t="str">
        <f>IF(HostSummary[[#This Row],[Host]]="","",SUMIFS(AWRData[Average Active Sessions],AWRData[Host Name],HostSummary[[#This Row],[Host]]))</f>
        <v/>
      </c>
      <c r="E25" s="55" t="str">
        <f>IF(HostSummary[[#This Row],[Host]]="","",SUMIFS(AWRData[ORA use (GB)],AWRData[Host Name],HostSummary[[#This Row],[Host]]))</f>
        <v/>
      </c>
      <c r="F25" s="55" t="str">
        <f>IF(HostSummary[[#This Row],[Host]]="","",SUMIFS(AWRData[Total IOPS],AWRData[Host Name],HostSummary[[#This Row],[Host]]))</f>
        <v/>
      </c>
      <c r="G25" s="55" t="str">
        <f>IF(HostSummary[[#This Row],[Host]]="","",SUMIFS(AWRData[Total Throughput (MB/s)],AWRData[Host Name],HostSummary[[#This Row],[Host]]))</f>
        <v/>
      </c>
      <c r="H25" s="55" t="str">
        <f>IF(HostSummary[[#This Row],[Host]]="","",ROUND(HostSummary[[#This Row],[%DB Time of Elapsed Time (aka Avg Active Sessions or "AAS")]]+0.5,0)*(vCPUHTFactor/AVERAGEIFS(AWRData[source CPU HT factor],AWRData[Host Name],HostSummary[[#This Row],[Host]])))</f>
        <v/>
      </c>
    </row>
    <row r="26" spans="2:17" x14ac:dyDescent="0.25">
      <c r="B26" s="71"/>
      <c r="D26" s="54" t="str">
        <f>IF(HostSummary[[#This Row],[Host]]="","",SUMIFS(AWRData[Average Active Sessions],AWRData[Host Name],HostSummary[[#This Row],[Host]]))</f>
        <v/>
      </c>
      <c r="E26" s="55" t="str">
        <f>IF(HostSummary[[#This Row],[Host]]="","",SUMIFS(AWRData[ORA use (GB)],AWRData[Host Name],HostSummary[[#This Row],[Host]]))</f>
        <v/>
      </c>
      <c r="F26" s="55" t="str">
        <f>IF(HostSummary[[#This Row],[Host]]="","",SUMIFS(AWRData[Total IOPS],AWRData[Host Name],HostSummary[[#This Row],[Host]]))</f>
        <v/>
      </c>
      <c r="G26" s="55" t="str">
        <f>IF(HostSummary[[#This Row],[Host]]="","",SUMIFS(AWRData[Total Throughput (MB/s)],AWRData[Host Name],HostSummary[[#This Row],[Host]]))</f>
        <v/>
      </c>
      <c r="H26" s="55" t="str">
        <f>IF(HostSummary[[#This Row],[Host]]="","",ROUND(HostSummary[[#This Row],[%DB Time of Elapsed Time (aka Avg Active Sessions or "AAS")]]+0.5,0)*(vCPUHTFactor/AVERAGEIFS(AWRData[source CPU HT factor],AWRData[Host Name],HostSummary[[#This Row],[Host]])))</f>
        <v/>
      </c>
    </row>
    <row r="27" spans="2:17" x14ac:dyDescent="0.25">
      <c r="B27" s="71"/>
      <c r="D27" s="54" t="str">
        <f>IF(HostSummary[[#This Row],[Host]]="","",SUMIFS(AWRData[Average Active Sessions],AWRData[Host Name],HostSummary[[#This Row],[Host]]))</f>
        <v/>
      </c>
      <c r="E27" s="55" t="str">
        <f>IF(HostSummary[[#This Row],[Host]]="","",SUMIFS(AWRData[ORA use (GB)],AWRData[Host Name],HostSummary[[#This Row],[Host]]))</f>
        <v/>
      </c>
      <c r="F27" s="55" t="str">
        <f>IF(HostSummary[[#This Row],[Host]]="","",SUMIFS(AWRData[Total IOPS],AWRData[Host Name],HostSummary[[#This Row],[Host]]))</f>
        <v/>
      </c>
      <c r="G27" s="55" t="str">
        <f>IF(HostSummary[[#This Row],[Host]]="","",SUMIFS(AWRData[Total Throughput (MB/s)],AWRData[Host Name],HostSummary[[#This Row],[Host]]))</f>
        <v/>
      </c>
      <c r="H27" s="55" t="str">
        <f>IF(HostSummary[[#This Row],[Host]]="","",ROUND(HostSummary[[#This Row],[%DB Time of Elapsed Time (aka Avg Active Sessions or "AAS")]]+0.5,0)*(vCPUHTFactor/AVERAGEIFS(AWRData[source CPU HT factor],AWRData[Host Name],HostSummary[[#This Row],[Host]])))</f>
        <v/>
      </c>
    </row>
    <row r="28" spans="2:17" x14ac:dyDescent="0.25">
      <c r="B28" t="s">
        <v>7</v>
      </c>
      <c r="D28" s="56">
        <f>SUBTOTAL(109,HostSummary[%DB Time of Elapsed Time (aka Avg Active Sessions or "AAS")])</f>
        <v>46.134337301587301</v>
      </c>
      <c r="E28" s="57">
        <f>SUBTOTAL(109,HostSummary[Observed memory use (GB)])</f>
        <v>1704.3591796875</v>
      </c>
      <c r="F28" s="57">
        <f>SUBTOTAL(109,HostSummary[Observed IOPS])</f>
        <v>42402.85</v>
      </c>
      <c r="G28" s="57">
        <f>SUBTOTAL(109,HostSummary[Observed Throughput (MB/s)])</f>
        <v>10978.436000000002</v>
      </c>
      <c r="H28" s="57">
        <f>SUBTOTAL(109,HostSummary[Est''d Azure vCPUs])</f>
        <v>49</v>
      </c>
      <c r="J28" s="75"/>
    </row>
    <row r="29" spans="2:17" x14ac:dyDescent="0.25">
      <c r="F29"/>
      <c r="H29"/>
    </row>
    <row r="30" spans="2:17" s="19" customFormat="1" ht="18.75" x14ac:dyDescent="0.3">
      <c r="B30" s="19" t="s">
        <v>43</v>
      </c>
      <c r="D30" s="20"/>
      <c r="F30" s="21"/>
      <c r="G30" s="22"/>
    </row>
    <row r="31" spans="2:17" s="2" customFormat="1" ht="75" x14ac:dyDescent="0.25">
      <c r="B31" s="4" t="s">
        <v>0</v>
      </c>
      <c r="C31" s="5" t="s">
        <v>37</v>
      </c>
      <c r="D31" s="49" t="s">
        <v>38</v>
      </c>
      <c r="E31" s="12" t="s">
        <v>33</v>
      </c>
      <c r="F31" s="49" t="s">
        <v>35</v>
      </c>
      <c r="G31" s="49" t="s">
        <v>39</v>
      </c>
      <c r="H31" s="12" t="s">
        <v>31</v>
      </c>
      <c r="I31" s="12" t="s">
        <v>32</v>
      </c>
      <c r="J31" s="49" t="s">
        <v>8</v>
      </c>
      <c r="K31" s="12" t="s">
        <v>9</v>
      </c>
    </row>
    <row r="32" spans="2:17" x14ac:dyDescent="0.25">
      <c r="B32" s="71" t="s">
        <v>47</v>
      </c>
      <c r="C32" s="54">
        <f>IF(DBSummary[[#This Row],[DB Name]]="","",SUMIFS(AWRData[DB Time (mins)],AWRData[DB Name],DBSummary[[#This Row],[DB Name]])/SUMIFS(AWRData[Elapsed Time (mins)],AWRData[DB Name],DBSummary[[#This Row],[DB Name]]))</f>
        <v>11.533584325396825</v>
      </c>
      <c r="D32" s="59">
        <f>IF(DBSummary[[#This Row],[DB Name]]="","",SUMIFS(AWRData[ORA use (GB)],AWRData[DB Name],DBSummary[[#This Row],[DB Name]]))</f>
        <v>1704.3591796875</v>
      </c>
      <c r="E32" s="13">
        <f>IF(DBSummary[[#This Row],[DB Name]]="","",PeakRAMfactor*DBSummary[[#This Row],[Observed memory (GiB) consumed only by Oracle]])</f>
        <v>3408.7183593750001</v>
      </c>
      <c r="F32" s="58">
        <f>IF(DBSummary[[#This Row],[DB Name]]="","",SUMIFS(AWRData[Total IOPS],AWRData[DB Name],DBSummary[[#This Row],[DB Name]]))</f>
        <v>42402.85</v>
      </c>
      <c r="G32" s="58">
        <f>IF(DBSummary[[#This Row],[DB Name]]="","",SUMIFS(AWRData[Total Throughput (MB/s)],AWRData[DB Name],DBSummary[[#This Row],[DB Name]]))</f>
        <v>10978.436000000002</v>
      </c>
      <c r="H32" s="50">
        <f>IF(DBSummary[[#This Row],[DB Name]]="","",DBSummary[[#This Row],[Observed IOPS]]*IoMetricsFactor)</f>
        <v>84805.7</v>
      </c>
      <c r="I32" s="50">
        <f>IF(DBSummary[[#This Row],[DB Name]]="","",DBSummary[[#This Row],[Observed I/O throughput (MB/s)]]*IoMetricsFactor)</f>
        <v>21956.872000000003</v>
      </c>
      <c r="J32" s="33">
        <f>IF(DBSummary[[#This Row],[DB Name]]="","",ROUND(SUMIFS(InstSummary[Est''d Azure vCPUs],InstSummary[DB Name],DBSummary[[#This Row],[DB Name]])+0.5,0))</f>
        <v>47</v>
      </c>
      <c r="K32" s="43">
        <f>IF(DBSummary[[#This Row],[DB Name]]="","",IF(SUMIFS(AWRData[%busy CPU],AWRData[DB Name],DBSummary[[#This Row],[DB Name]])&lt;BusyCPUfactor,PeakCpuFactor*DBSummary[[#This Row],[Est''d Azure vCPUs for avg load]],(BusyCPUmultiplier*PeakCpuFactor)*DBSummary[[#This Row],[Est''d Azure vCPUs for avg load]]))</f>
        <v>117.5</v>
      </c>
    </row>
    <row r="33" spans="2:14" x14ac:dyDescent="0.25">
      <c r="B33" s="74"/>
      <c r="C33" s="54" t="str">
        <f>IF(DBSummary[[#This Row],[DB Name]]="","",SUMIFS(AWRData[DB Time (mins)],AWRData[DB Name],DBSummary[[#This Row],[DB Name]])/SUMIFS(AWRData[Elapsed Time (mins)],AWRData[DB Name],DBSummary[[#This Row],[DB Name]]))</f>
        <v/>
      </c>
      <c r="D33" s="59" t="str">
        <f>IF(DBSummary[[#This Row],[DB Name]]="","",SUMIFS(AWRData[ORA use (GB)],AWRData[DB Name],DBSummary[[#This Row],[DB Name]]))</f>
        <v/>
      </c>
      <c r="E33" s="13" t="str">
        <f>IF(DBSummary[[#This Row],[DB Name]]="","",PeakRAMfactor*DBSummary[[#This Row],[Observed memory (GiB) consumed only by Oracle]])</f>
        <v/>
      </c>
      <c r="F33" s="58" t="str">
        <f>IF(DBSummary[[#This Row],[DB Name]]="","",SUMIFS(AWRData[Total IOPS],AWRData[DB Name],DBSummary[[#This Row],[DB Name]]))</f>
        <v/>
      </c>
      <c r="G33" s="58" t="str">
        <f>IF(DBSummary[[#This Row],[DB Name]]="","",SUMIFS(AWRData[Total Throughput (MB/s)],AWRData[DB Name],DBSummary[[#This Row],[DB Name]]))</f>
        <v/>
      </c>
      <c r="H33" s="50" t="str">
        <f>IF(DBSummary[[#This Row],[DB Name]]="","",DBSummary[[#This Row],[Observed IOPS]]*IoMetricsFactor)</f>
        <v/>
      </c>
      <c r="I33" s="50" t="str">
        <f>IF(DBSummary[[#This Row],[DB Name]]="","",DBSummary[[#This Row],[Observed I/O throughput (MB/s)]]*IoMetricsFactor)</f>
        <v/>
      </c>
      <c r="J33" s="33" t="str">
        <f>IF(DBSummary[[#This Row],[DB Name]]="","",ROUND(SUMIFS(InstSummary[Est''d Azure vCPUs],InstSummary[DB Name],DBSummary[[#This Row],[DB Name]])+0.5,0))</f>
        <v/>
      </c>
      <c r="K33" s="43" t="str">
        <f>IF(DBSummary[[#This Row],[DB Name]]="","",IF(SUMIFS(AWRData[%busy CPU],AWRData[DB Name],DBSummary[[#This Row],[DB Name]])&lt;BusyCPUfactor,PeakCpuFactor*DBSummary[[#This Row],[Est''d Azure vCPUs for avg load]],(BusyCPUmultiplier*PeakCpuFactor)*DBSummary[[#This Row],[Est''d Azure vCPUs for avg load]]))</f>
        <v/>
      </c>
    </row>
    <row r="34" spans="2:14" x14ac:dyDescent="0.25">
      <c r="B34" s="71"/>
      <c r="C34" s="54" t="str">
        <f>IF(DBSummary[[#This Row],[DB Name]]="","",SUMIFS(AWRData[DB Time (mins)],AWRData[DB Name],DBSummary[[#This Row],[DB Name]])/SUMIFS(AWRData[Elapsed Time (mins)],AWRData[DB Name],DBSummary[[#This Row],[DB Name]]))</f>
        <v/>
      </c>
      <c r="D34" s="59" t="str">
        <f>IF(DBSummary[[#This Row],[DB Name]]="","",SUMIFS(AWRData[ORA use (GB)],AWRData[DB Name],DBSummary[[#This Row],[DB Name]]))</f>
        <v/>
      </c>
      <c r="E34" s="13" t="str">
        <f>IF(DBSummary[[#This Row],[DB Name]]="","",PeakRAMfactor*DBSummary[[#This Row],[Observed memory (GiB) consumed only by Oracle]])</f>
        <v/>
      </c>
      <c r="F34" s="58" t="str">
        <f>IF(DBSummary[[#This Row],[DB Name]]="","",SUMIFS(AWRData[Total IOPS],AWRData[DB Name],DBSummary[[#This Row],[DB Name]]))</f>
        <v/>
      </c>
      <c r="G34" s="58" t="str">
        <f>IF(DBSummary[[#This Row],[DB Name]]="","",SUMIFS(AWRData[Total Throughput (MB/s)],AWRData[DB Name],DBSummary[[#This Row],[DB Name]]))</f>
        <v/>
      </c>
      <c r="H34" s="50" t="str">
        <f>IF(DBSummary[[#This Row],[DB Name]]="","",DBSummary[[#This Row],[Observed IOPS]]*IoMetricsFactor)</f>
        <v/>
      </c>
      <c r="I34" s="50" t="str">
        <f>IF(DBSummary[[#This Row],[DB Name]]="","",DBSummary[[#This Row],[Observed I/O throughput (MB/s)]]*IoMetricsFactor)</f>
        <v/>
      </c>
      <c r="J34" s="33" t="str">
        <f>IF(DBSummary[[#This Row],[DB Name]]="","",ROUND(SUMIFS(InstSummary[Est''d Azure vCPUs],InstSummary[DB Name],DBSummary[[#This Row],[DB Name]])+0.5,0))</f>
        <v/>
      </c>
      <c r="K34" s="43" t="str">
        <f>IF(DBSummary[[#This Row],[DB Name]]="","",IF(SUMIFS(AWRData[%busy CPU],AWRData[DB Name],DBSummary[[#This Row],[DB Name]])&lt;BusyCPUfactor,PeakCpuFactor*DBSummary[[#This Row],[Est''d Azure vCPUs for avg load]],(BusyCPUmultiplier*PeakCpuFactor)*DBSummary[[#This Row],[Est''d Azure vCPUs for avg load]]))</f>
        <v/>
      </c>
    </row>
    <row r="35" spans="2:14" x14ac:dyDescent="0.25">
      <c r="B35" s="74"/>
      <c r="C35" s="54" t="str">
        <f>IF(DBSummary[[#This Row],[DB Name]]="","",SUMIFS(AWRData[DB Time (mins)],AWRData[DB Name],DBSummary[[#This Row],[DB Name]])/SUMIFS(AWRData[Elapsed Time (mins)],AWRData[DB Name],DBSummary[[#This Row],[DB Name]]))</f>
        <v/>
      </c>
      <c r="D35" s="59" t="str">
        <f>IF(DBSummary[[#This Row],[DB Name]]="","",SUMIFS(AWRData[ORA use (GB)],AWRData[DB Name],DBSummary[[#This Row],[DB Name]]))</f>
        <v/>
      </c>
      <c r="E35" s="13" t="str">
        <f>IF(DBSummary[[#This Row],[DB Name]]="","",PeakRAMfactor*DBSummary[[#This Row],[Observed memory (GiB) consumed only by Oracle]])</f>
        <v/>
      </c>
      <c r="F35" s="58" t="str">
        <f>IF(DBSummary[[#This Row],[DB Name]]="","",SUMIFS(AWRData[Total IOPS],AWRData[DB Name],DBSummary[[#This Row],[DB Name]]))</f>
        <v/>
      </c>
      <c r="G35" s="58" t="str">
        <f>IF(DBSummary[[#This Row],[DB Name]]="","",SUMIFS(AWRData[Total Throughput (MB/s)],AWRData[DB Name],DBSummary[[#This Row],[DB Name]]))</f>
        <v/>
      </c>
      <c r="H35" s="50" t="str">
        <f>IF(DBSummary[[#This Row],[DB Name]]="","",DBSummary[[#This Row],[Observed IOPS]]*IoMetricsFactor)</f>
        <v/>
      </c>
      <c r="I35" s="50" t="str">
        <f>IF(DBSummary[[#This Row],[DB Name]]="","",DBSummary[[#This Row],[Observed I/O throughput (MB/s)]]*IoMetricsFactor)</f>
        <v/>
      </c>
      <c r="J35" s="33" t="str">
        <f>IF(DBSummary[[#This Row],[DB Name]]="","",ROUND(SUMIFS(InstSummary[Est''d Azure vCPUs],InstSummary[DB Name],DBSummary[[#This Row],[DB Name]])+0.5,0))</f>
        <v/>
      </c>
      <c r="K35" s="43" t="str">
        <f>IF(DBSummary[[#This Row],[DB Name]]="","",IF(SUMIFS(AWRData[%busy CPU],AWRData[DB Name],DBSummary[[#This Row],[DB Name]])&lt;BusyCPUfactor,PeakCpuFactor*DBSummary[[#This Row],[Est''d Azure vCPUs for avg load]],(BusyCPUmultiplier*PeakCpuFactor)*DBSummary[[#This Row],[Est''d Azure vCPUs for avg load]]))</f>
        <v/>
      </c>
    </row>
    <row r="36" spans="2:14" s="31" customFormat="1" x14ac:dyDescent="0.25">
      <c r="B36" t="s">
        <v>7</v>
      </c>
      <c r="C36" s="61">
        <f>SUBTOTAL(109,DBSummary[%DB Time of Elapsed Time (aka Avg Active Sessions or "AAS")])</f>
        <v>11.533584325396825</v>
      </c>
      <c r="D36" s="62">
        <f>SUBTOTAL(109,DBSummary[Observed memory (GiB) consumed only by Oracle])</f>
        <v>1704.3591796875</v>
      </c>
      <c r="E36" s="14">
        <f>SUBTOTAL(109,DBSummary[Est''d Azure vRAM for server])</f>
        <v>3408.7183593750001</v>
      </c>
      <c r="F36" s="60">
        <f>SUBTOTAL(109,DBSummary[Observed IOPS])</f>
        <v>42402.85</v>
      </c>
      <c r="G36" s="60">
        <f>SUBTOTAL(109,DBSummary[Observed I/O throughput (MB/s)])</f>
        <v>10978.436000000002</v>
      </c>
      <c r="H36" s="51">
        <f>SUBTOTAL(109,DBSummary[Est''d Azure IOPS for peak load])</f>
        <v>84805.7</v>
      </c>
      <c r="I36" s="51">
        <f>SUBTOTAL(109,DBSummary[Est''d Azure Throughput (MB/s) for peak load])</f>
        <v>21956.872000000003</v>
      </c>
      <c r="J36" s="63">
        <f>SUBTOTAL(109,DBSummary[Est''d Azure vCPUs for avg load])</f>
        <v>47</v>
      </c>
      <c r="K36" s="52">
        <f>SUBTOTAL(109,DBSummary[Est''d Azure vCPUs for peak load])</f>
        <v>117.5</v>
      </c>
    </row>
    <row r="37" spans="2:14" s="31" customFormat="1" x14ac:dyDescent="0.25">
      <c r="C37" s="23"/>
      <c r="D37" s="32"/>
      <c r="E37" s="24"/>
      <c r="F37" s="24"/>
      <c r="G37" s="34"/>
      <c r="H37" s="35"/>
      <c r="I37" s="23"/>
      <c r="J37" s="23"/>
      <c r="K37" s="23"/>
      <c r="L37" s="36"/>
      <c r="M37" s="37"/>
      <c r="N37" s="38"/>
    </row>
    <row r="38" spans="2:14" s="31" customFormat="1" x14ac:dyDescent="0.25">
      <c r="C38" s="23"/>
      <c r="D38" s="32"/>
      <c r="E38" s="24"/>
      <c r="F38" s="24"/>
      <c r="G38" s="34"/>
      <c r="H38" s="35"/>
      <c r="I38" s="23"/>
      <c r="J38" s="23"/>
      <c r="K38" s="23"/>
      <c r="L38" s="36"/>
      <c r="M38" s="37"/>
      <c r="N38" s="38"/>
    </row>
  </sheetData>
  <sheetProtection algorithmName="SHA-512" hashValue="BBYvxQN8J3GDm3OH2nwBTNkJOaRkmdAknS54z1CXgM5v5PUIWxXeWz/GADkO3ZvdBUMdNvegWE++AjRV4GO+3Q==" saltValue="tpjvcNEPNwMm2K5xjJPMjw==" spinCount="100000" sheet="1" objects="1" scenarios="1"/>
  <phoneticPr fontId="2" type="noConversion"/>
  <pageMargins left="0.7" right="0.7" top="0.75" bottom="0.75" header="0.3" footer="0.3"/>
  <pageSetup orientation="portrait" r:id="rId1"/>
  <legacy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z k Y 4 U I H Z F q 6 n A A A A + A A A A B I A H A B D b 2 5 m a W c v U G F j a 2 F n Z S 5 4 b W w g o h g A K K A U A A A A A A A A A A A A A A A A A A A A A A A A A A A A h Y + 9 D o I w G E V f h X S n L R h + Q j 7 K 4 C q J C d G 4 N r V C I x R D i + X d H H w k X 0 E S R d 0 c 7 8 k Z z n 3 c 7 l B M X e t d 5 W B U r 3 M U Y I o 8 q U V / V L r O 0 W h P f o o K B l s u z r y W 3 i x r k 0 3 m m K P G 2 k t G i H M O u x X u h 5 q E l A b k U G 4 q 0 c i O o 4 + s / s u + 0 s Z y L S R i s H / F s B A n M Y 7 i J M V R G g B Z M J R K f 5 V w L s Y U y A + E 9 d j a c Z B M a n 9 X A V k m k P c L 9 g R Q S w M E F A A C A A g A z k Y 4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5 G O F A o i k e 4 D g A A A B E A A A A T A B w A R m 9 y b X V s Y X M v U 2 V j d G l v b j E u b S C i G A A o o B Q A A A A A A A A A A A A A A A A A A A A A A A A A A A A r T k 0 u y c z P U w i G 0 I b W A F B L A Q I t A B Q A A g A I A M 5 G O F C B 2 R a u p w A A A P g A A A A S A A A A A A A A A A A A A A A A A A A A A A B D b 2 5 m a W c v U G F j a 2 F n Z S 5 4 b W x Q S w E C L Q A U A A I A C A D O R j h Q D 8 r p q 6 Q A A A D p A A A A E w A A A A A A A A A A A A A A A A D z A A A A W 0 N v b n R l b n R f V H l w Z X N d L n h t b F B L A Q I t A B Q A A g A I A M 5 G O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c C 5 t e a y n T 4 n f n n 3 e L 9 g n A A A A A A I A A A A A A B B m A A A A A Q A A I A A A A K Q 7 7 y 7 l y t 9 L L e 3 G P / t 3 P F 4 2 j X x x W 1 w x o 3 F J H a L P E X H b A A A A A A 6 A A A A A A g A A I A A A A A 4 F b o L H y d 7 f n E P 7 E c m + V t E V 1 G Z + K m c h 9 O l Q x A z 9 E P M T U A A A A H R I 9 D 4 D I + G + Q b U f 6 m e R 8 1 J J O w H r r K C X i l z n E D 0 8 F Q o e f Y C J j 2 n m p 8 6 1 J V 4 M R c L + Q u u 5 s 0 e A 8 o Y B H y x m L e y 7 k j a B j r r R b Y q z P r H W 8 N t j 8 f C L Q A A A A J G W f c v N 9 J n X U d Q V B U + J l V S 5 w w C 9 I i q g k n / y D M R a G b 8 x / 3 U J 8 O M O Y / A 2 Q E B K H b d P O e y X 5 U C b R D 9 j J 1 f 1 z L 2 b C m I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MediaServiceKeyPoints xmlns="709bd4f9-040f-4cca-82ee-85e01badb8b3" xsi:nil="true"/>
    <_ip_UnifiedCompliancePolicyProperties xmlns="http://schemas.microsoft.com/sharepoint/v3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66490EF29A8047ADC3474B21C0D5D2" ma:contentTypeVersion="16" ma:contentTypeDescription="Create a new document." ma:contentTypeScope="" ma:versionID="b1ba9ada44db26285f25ae59fe6753d3">
  <xsd:schema xmlns:xsd="http://www.w3.org/2001/XMLSchema" xmlns:xs="http://www.w3.org/2001/XMLSchema" xmlns:p="http://schemas.microsoft.com/office/2006/metadata/properties" xmlns:ns1="http://schemas.microsoft.com/sharepoint/v3" xmlns:ns2="709bd4f9-040f-4cca-82ee-85e01badb8b3" xmlns:ns3="83981cbb-c48d-49a8-924d-c522c711d780" targetNamespace="http://schemas.microsoft.com/office/2006/metadata/properties" ma:root="true" ma:fieldsID="56a803f29a92f7465b533ec2296193fd" ns1:_="" ns2:_="" ns3:_="">
    <xsd:import namespace="http://schemas.microsoft.com/sharepoint/v3"/>
    <xsd:import namespace="709bd4f9-040f-4cca-82ee-85e01badb8b3"/>
    <xsd:import namespace="83981cbb-c48d-49a8-924d-c522c711d7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9bd4f9-040f-4cca-82ee-85e01badb8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6" nillable="true" ma:displayName="MediaServiceAutoTags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2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981cbb-c48d-49a8-924d-c522c711d78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3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52EF7B-3670-4E03-878B-51C8ACBF2DB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B732D79-BF18-4F6E-BC47-1A6C6745ED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30638A-4889-4E15-9F6E-ED97FA1166E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09bd4f9-040f-4cca-82ee-85e01badb8b3"/>
  </ds:schemaRefs>
</ds:datastoreItem>
</file>

<file path=customXml/itemProps4.xml><?xml version="1.0" encoding="utf-8"?>
<ds:datastoreItem xmlns:ds="http://schemas.openxmlformats.org/officeDocument/2006/customXml" ds:itemID="{0E063D0E-B104-4273-A903-1BD29421A6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09bd4f9-040f-4cca-82ee-85e01badb8b3"/>
    <ds:schemaRef ds:uri="83981cbb-c48d-49a8-924d-c522c711d7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AWR</vt:lpstr>
      <vt:lpstr>Calculations</vt:lpstr>
      <vt:lpstr>BusyCPUfactor</vt:lpstr>
      <vt:lpstr>BusyCPUmultiplier</vt:lpstr>
      <vt:lpstr>HighCpuThreshold</vt:lpstr>
      <vt:lpstr>IoMetricsFactor</vt:lpstr>
      <vt:lpstr>AWR!PeakCPUfactor</vt:lpstr>
      <vt:lpstr>PeakCpuFactor</vt:lpstr>
      <vt:lpstr>AWR!PeakRAMfactor</vt:lpstr>
      <vt:lpstr>PeakRAMfactor</vt:lpstr>
      <vt:lpstr>vCPUHTFactor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Timothy Gorman</dc:creator>
  <cp:keywords/>
  <dc:description/>
  <cp:lastModifiedBy>Timothy Gorman</cp:lastModifiedBy>
  <cp:revision/>
  <dcterms:created xsi:type="dcterms:W3CDTF">2020-01-17T18:08:18Z</dcterms:created>
  <dcterms:modified xsi:type="dcterms:W3CDTF">2022-02-23T18:19:30Z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2020-01-17T18:08:19Z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6a007b27-0aa1-42be-8cfa-00007f045610</vt:lpwstr>
  </property>
  <property fmtid="{D5CDD505-2E9C-101B-9397-08002B2CF9AE}" pid="8" name="MSIP_Label_f42aa342-8706-4288-bd11-ebb85995028c_ContentBits">
    <vt:lpwstr>0</vt:lpwstr>
  </property>
  <property fmtid="{D5CDD505-2E9C-101B-9397-08002B2CF9AE}" pid="9" name="ContentTypeId">
    <vt:lpwstr>0x010100EF66490EF29A8047ADC3474B21C0D5D2</vt:lpwstr>
  </property>
</Properties>
</file>