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quanker\Documents\Biotech Analysis\"/>
    </mc:Choice>
  </mc:AlternateContent>
  <xr:revisionPtr revIDLastSave="0" documentId="13_ncr:1_{657A71DD-5F7B-49E2-A293-2D31EC45DAA8}" xr6:coauthVersionLast="47" xr6:coauthVersionMax="47" xr10:uidLastSave="{00000000-0000-0000-0000-000000000000}"/>
  <bookViews>
    <workbookView xWindow="60255" yWindow="4950" windowWidth="34740" windowHeight="20235" activeTab="1" xr2:uid="{6D4D1A5F-5E91-4447-80A5-9605EA3B3AB3}"/>
  </bookViews>
  <sheets>
    <sheet name="Notes n Model " sheetId="1" r:id="rId1"/>
    <sheet name="DCF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7" i="2" l="1"/>
  <c r="E6" i="2"/>
  <c r="E10" i="2"/>
  <c r="E18" i="2"/>
  <c r="T46" i="2"/>
  <c r="T49" i="2" s="1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E40" i="2" s="1"/>
  <c r="AB36" i="2"/>
  <c r="AB40" i="2" s="1"/>
  <c r="AA36" i="2"/>
  <c r="AA40" i="2" s="1"/>
  <c r="Z36" i="2"/>
  <c r="Z40" i="2" s="1"/>
  <c r="Y36" i="2"/>
  <c r="Y40" i="2" s="1"/>
  <c r="X36" i="2"/>
  <c r="X40" i="2" s="1"/>
  <c r="W36" i="2"/>
  <c r="W40" i="2" s="1"/>
  <c r="V36" i="2"/>
  <c r="V40" i="2" s="1"/>
  <c r="U36" i="2"/>
  <c r="U40" i="2" s="1"/>
  <c r="T36" i="2"/>
  <c r="T40" i="2" s="1"/>
  <c r="S36" i="2"/>
  <c r="S40" i="2" s="1"/>
  <c r="R36" i="2"/>
  <c r="R40" i="2" s="1"/>
  <c r="Q36" i="2"/>
  <c r="Q40" i="2" s="1"/>
  <c r="P36" i="2"/>
  <c r="P40" i="2" s="1"/>
  <c r="O36" i="2"/>
  <c r="O40" i="2" s="1"/>
  <c r="N36" i="2"/>
  <c r="N40" i="2" s="1"/>
  <c r="M36" i="2"/>
  <c r="M40" i="2" s="1"/>
  <c r="L36" i="2"/>
  <c r="L40" i="2" s="1"/>
  <c r="K36" i="2"/>
  <c r="K40" i="2" s="1"/>
  <c r="J36" i="2"/>
  <c r="J40" i="2" s="1"/>
  <c r="I36" i="2"/>
  <c r="I40" i="2" s="1"/>
  <c r="H36" i="2"/>
  <c r="H40" i="2" s="1"/>
  <c r="G36" i="2"/>
  <c r="G40" i="2" s="1"/>
  <c r="F36" i="2"/>
  <c r="F40" i="2" s="1"/>
  <c r="E36" i="2"/>
  <c r="D40" i="2"/>
  <c r="D37" i="2"/>
  <c r="D36" i="2"/>
  <c r="U35" i="2"/>
  <c r="V35" i="2" s="1"/>
  <c r="W35" i="2" s="1"/>
  <c r="X35" i="2" s="1"/>
  <c r="Y35" i="2" s="1"/>
  <c r="Z35" i="2" s="1"/>
  <c r="AA35" i="2" s="1"/>
  <c r="AB35" i="2" s="1"/>
  <c r="T35" i="2"/>
  <c r="M35" i="2"/>
  <c r="N35" i="2" s="1"/>
  <c r="O35" i="2" s="1"/>
  <c r="P35" i="2" s="1"/>
  <c r="Q35" i="2" s="1"/>
  <c r="R35" i="2" s="1"/>
  <c r="S35" i="2" s="1"/>
  <c r="L35" i="2"/>
  <c r="K35" i="2"/>
  <c r="J35" i="2"/>
  <c r="I35" i="2"/>
  <c r="H35" i="2"/>
  <c r="D34" i="2"/>
  <c r="E34" i="2" s="1"/>
  <c r="F34" i="2" s="1"/>
  <c r="G34" i="2" s="1"/>
  <c r="H34" i="2" s="1"/>
  <c r="I34" i="2" s="1"/>
  <c r="J34" i="2" s="1"/>
  <c r="K34" i="2" s="1"/>
  <c r="L34" i="2" s="1"/>
  <c r="M34" i="2" s="1"/>
  <c r="N34" i="2" s="1"/>
  <c r="O34" i="2" s="1"/>
  <c r="P34" i="2" s="1"/>
  <c r="Q34" i="2" s="1"/>
  <c r="R34" i="2" s="1"/>
  <c r="S34" i="2" s="1"/>
  <c r="T34" i="2" s="1"/>
  <c r="U34" i="2" s="1"/>
  <c r="V34" i="2" s="1"/>
  <c r="W34" i="2" s="1"/>
  <c r="X34" i="2" s="1"/>
  <c r="Y34" i="2" s="1"/>
  <c r="Z34" i="2" s="1"/>
  <c r="AA34" i="2" s="1"/>
  <c r="AB34" i="2" s="1"/>
  <c r="F41" i="2" l="1"/>
  <c r="F42" i="2" s="1"/>
  <c r="R41" i="2"/>
  <c r="R42" i="2" s="1"/>
  <c r="G41" i="2"/>
  <c r="G42" i="2" s="1"/>
  <c r="S41" i="2"/>
  <c r="S42" i="2" s="1"/>
  <c r="H41" i="2"/>
  <c r="H42" i="2" s="1"/>
  <c r="T41" i="2"/>
  <c r="T42" i="2" s="1"/>
  <c r="I41" i="2"/>
  <c r="I42" i="2" s="1"/>
  <c r="U41" i="2"/>
  <c r="U42" i="2" s="1"/>
  <c r="E41" i="2"/>
  <c r="E42" i="2" s="1"/>
  <c r="J41" i="2"/>
  <c r="J42" i="2" s="1"/>
  <c r="V41" i="2"/>
  <c r="V42" i="2" s="1"/>
  <c r="K41" i="2"/>
  <c r="K42" i="2" s="1"/>
  <c r="W41" i="2"/>
  <c r="W42" i="2" s="1"/>
  <c r="L41" i="2"/>
  <c r="L42" i="2" s="1"/>
  <c r="X41" i="2"/>
  <c r="X42" i="2" s="1"/>
  <c r="M41" i="2"/>
  <c r="M42" i="2" s="1"/>
  <c r="Y41" i="2"/>
  <c r="Y42" i="2" s="1"/>
  <c r="Q41" i="2"/>
  <c r="Q42" i="2" s="1"/>
  <c r="N41" i="2"/>
  <c r="N42" i="2" s="1"/>
  <c r="Z41" i="2"/>
  <c r="Z42" i="2" s="1"/>
  <c r="O41" i="2"/>
  <c r="O42" i="2" s="1"/>
  <c r="AA41" i="2"/>
  <c r="AA42" i="2" s="1"/>
  <c r="P41" i="2"/>
  <c r="P42" i="2" s="1"/>
  <c r="AB41" i="2"/>
  <c r="AB42" i="2" s="1"/>
  <c r="D41" i="2"/>
  <c r="D42" i="2" s="1"/>
  <c r="K18" i="2" l="1"/>
  <c r="J18" i="2"/>
  <c r="I18" i="2"/>
  <c r="H18" i="2"/>
  <c r="G18" i="2"/>
  <c r="F18" i="2"/>
  <c r="K17" i="2"/>
  <c r="K21" i="2" s="1"/>
  <c r="J17" i="2"/>
  <c r="J21" i="2" s="1"/>
  <c r="I17" i="2"/>
  <c r="H17" i="2"/>
  <c r="H21" i="2" s="1"/>
  <c r="G17" i="2"/>
  <c r="G21" i="2" s="1"/>
  <c r="F17" i="2"/>
  <c r="E17" i="2"/>
  <c r="L16" i="2"/>
  <c r="M16" i="2" s="1"/>
  <c r="D15" i="2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K6" i="2"/>
  <c r="J6" i="2"/>
  <c r="I6" i="2"/>
  <c r="H6" i="2"/>
  <c r="G6" i="2"/>
  <c r="G9" i="2" s="1"/>
  <c r="G10" i="2" s="1"/>
  <c r="F6" i="2"/>
  <c r="F9" i="2" s="1"/>
  <c r="F10" i="2" s="1"/>
  <c r="F11" i="2" s="1"/>
  <c r="K5" i="2"/>
  <c r="J5" i="2"/>
  <c r="J9" i="2" s="1"/>
  <c r="J10" i="2" s="1"/>
  <c r="I5" i="2"/>
  <c r="H5" i="2"/>
  <c r="G5" i="2"/>
  <c r="F5" i="2"/>
  <c r="E5" i="2"/>
  <c r="S13" i="1"/>
  <c r="S12" i="1"/>
  <c r="T19" i="1"/>
  <c r="U23" i="1"/>
  <c r="V23" i="1" s="1"/>
  <c r="W23" i="1" s="1"/>
  <c r="X23" i="1" s="1"/>
  <c r="Y23" i="1" s="1"/>
  <c r="Z23" i="1" s="1"/>
  <c r="AA23" i="1" s="1"/>
  <c r="AB23" i="1" s="1"/>
  <c r="AC23" i="1" s="1"/>
  <c r="AD23" i="1" s="1"/>
  <c r="AB9" i="1"/>
  <c r="AC9" i="1" s="1"/>
  <c r="AD9" i="1" s="1"/>
  <c r="V17" i="1"/>
  <c r="W17" i="1" s="1"/>
  <c r="X17" i="1" s="1"/>
  <c r="Y17" i="1" s="1"/>
  <c r="Z17" i="1" s="1"/>
  <c r="AA17" i="1" s="1"/>
  <c r="U17" i="1"/>
  <c r="V9" i="1"/>
  <c r="W9" i="1" s="1"/>
  <c r="X9" i="1" s="1"/>
  <c r="Y9" i="1" s="1"/>
  <c r="Z9" i="1" s="1"/>
  <c r="AA9" i="1" s="1"/>
  <c r="U9" i="1"/>
  <c r="T15" i="1"/>
  <c r="L4" i="2"/>
  <c r="L5" i="2" s="1"/>
  <c r="D3" i="2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P10" i="1"/>
  <c r="P11" i="1" s="1"/>
  <c r="K9" i="2" l="1"/>
  <c r="K10" i="2" s="1"/>
  <c r="I21" i="2"/>
  <c r="H9" i="2"/>
  <c r="H10" i="2" s="1"/>
  <c r="H11" i="2" s="1"/>
  <c r="I9" i="2"/>
  <c r="I10" i="2" s="1"/>
  <c r="I11" i="2" s="1"/>
  <c r="M4" i="2"/>
  <c r="L6" i="2"/>
  <c r="L9" i="2" s="1"/>
  <c r="L10" i="2" s="1"/>
  <c r="E21" i="2"/>
  <c r="E22" i="2" s="1"/>
  <c r="E23" i="2" s="1"/>
  <c r="F21" i="2"/>
  <c r="F22" i="2" s="1"/>
  <c r="J22" i="2"/>
  <c r="J23" i="2" s="1"/>
  <c r="H22" i="2"/>
  <c r="H23" i="2" s="1"/>
  <c r="I22" i="2"/>
  <c r="I23" i="2" s="1"/>
  <c r="K22" i="2"/>
  <c r="K23" i="2" s="1"/>
  <c r="N16" i="2"/>
  <c r="M18" i="2"/>
  <c r="M17" i="2"/>
  <c r="G22" i="2"/>
  <c r="G23" i="2" s="1"/>
  <c r="L17" i="2"/>
  <c r="L18" i="2"/>
  <c r="L21" i="2"/>
  <c r="G11" i="2"/>
  <c r="J11" i="2"/>
  <c r="K11" i="2"/>
  <c r="E9" i="2"/>
  <c r="T16" i="1"/>
  <c r="T17" i="1" s="1"/>
  <c r="M21" i="2" l="1"/>
  <c r="F23" i="2"/>
  <c r="N4" i="2"/>
  <c r="M5" i="2"/>
  <c r="M6" i="2"/>
  <c r="L11" i="2"/>
  <c r="E11" i="2"/>
  <c r="M22" i="2"/>
  <c r="M23" i="2" s="1"/>
  <c r="L22" i="2"/>
  <c r="L23" i="2" s="1"/>
  <c r="O16" i="2"/>
  <c r="N18" i="2"/>
  <c r="N17" i="2"/>
  <c r="M9" i="2" l="1"/>
  <c r="N21" i="2"/>
  <c r="M10" i="2"/>
  <c r="M11" i="2"/>
  <c r="O4" i="2"/>
  <c r="N6" i="2"/>
  <c r="N5" i="2"/>
  <c r="N22" i="2"/>
  <c r="N23" i="2" s="1"/>
  <c r="P16" i="2"/>
  <c r="O18" i="2"/>
  <c r="O17" i="2"/>
  <c r="O21" i="2" s="1"/>
  <c r="N9" i="2" l="1"/>
  <c r="N10" i="2"/>
  <c r="N11" i="2" s="1"/>
  <c r="P4" i="2"/>
  <c r="O5" i="2"/>
  <c r="O6" i="2"/>
  <c r="O22" i="2"/>
  <c r="O23" i="2" s="1"/>
  <c r="P18" i="2"/>
  <c r="P17" i="2"/>
  <c r="P21" i="2" s="1"/>
  <c r="Q16" i="2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O9" i="2" l="1"/>
  <c r="O10" i="2" s="1"/>
  <c r="O11" i="2" s="1"/>
  <c r="Q4" i="2"/>
  <c r="P6" i="2"/>
  <c r="P5" i="2"/>
  <c r="P9" i="2" s="1"/>
  <c r="P10" i="2" s="1"/>
  <c r="P11" i="2" s="1"/>
  <c r="P22" i="2"/>
  <c r="P23" i="2" s="1"/>
  <c r="Q17" i="2"/>
  <c r="Q21" i="2" s="1"/>
  <c r="Q18" i="2"/>
  <c r="R4" i="2" l="1"/>
  <c r="Q6" i="2"/>
  <c r="Q5" i="2"/>
  <c r="Q9" i="2" s="1"/>
  <c r="Q10" i="2" s="1"/>
  <c r="Q11" i="2" s="1"/>
  <c r="Q22" i="2"/>
  <c r="Q23" i="2" s="1"/>
  <c r="R17" i="2"/>
  <c r="R18" i="2"/>
  <c r="S4" i="2" l="1"/>
  <c r="R5" i="2"/>
  <c r="R6" i="2"/>
  <c r="R21" i="2"/>
  <c r="R22" i="2" s="1"/>
  <c r="S17" i="2"/>
  <c r="S18" i="2"/>
  <c r="R9" i="2" l="1"/>
  <c r="R10" i="2" s="1"/>
  <c r="R11" i="2" s="1"/>
  <c r="S5" i="2"/>
  <c r="T4" i="2"/>
  <c r="S6" i="2"/>
  <c r="S9" i="2" s="1"/>
  <c r="S21" i="2"/>
  <c r="S22" i="2" s="1"/>
  <c r="S23" i="2" s="1"/>
  <c r="R23" i="2"/>
  <c r="T18" i="2"/>
  <c r="T17" i="2"/>
  <c r="T21" i="2" s="1"/>
  <c r="S10" i="2" l="1"/>
  <c r="S11" i="2" s="1"/>
  <c r="T5" i="2"/>
  <c r="T6" i="2"/>
  <c r="U4" i="2"/>
  <c r="T22" i="2"/>
  <c r="T23" i="2" s="1"/>
  <c r="U18" i="2"/>
  <c r="U17" i="2"/>
  <c r="U21" i="2" s="1"/>
  <c r="T9" i="2" l="1"/>
  <c r="T10" i="2" s="1"/>
  <c r="T11" i="2" s="1"/>
  <c r="V4" i="2"/>
  <c r="U5" i="2"/>
  <c r="U6" i="2"/>
  <c r="U9" i="2" s="1"/>
  <c r="U22" i="2"/>
  <c r="U23" i="2" s="1"/>
  <c r="V18" i="2"/>
  <c r="V17" i="2"/>
  <c r="V21" i="2" l="1"/>
  <c r="U10" i="2"/>
  <c r="U11" i="2" s="1"/>
  <c r="W4" i="2"/>
  <c r="V5" i="2"/>
  <c r="V6" i="2"/>
  <c r="V22" i="2"/>
  <c r="V23" i="2" s="1"/>
  <c r="W18" i="2"/>
  <c r="W17" i="2"/>
  <c r="V9" i="2" l="1"/>
  <c r="W21" i="2"/>
  <c r="V10" i="2"/>
  <c r="V11" i="2" s="1"/>
  <c r="X4" i="2"/>
  <c r="W6" i="2"/>
  <c r="W5" i="2"/>
  <c r="W9" i="2" s="1"/>
  <c r="W22" i="2"/>
  <c r="W23" i="2" s="1"/>
  <c r="X18" i="2"/>
  <c r="X17" i="2"/>
  <c r="X21" i="2" s="1"/>
  <c r="W10" i="2" l="1"/>
  <c r="W11" i="2"/>
  <c r="Y4" i="2"/>
  <c r="X5" i="2"/>
  <c r="X6" i="2"/>
  <c r="X9" i="2" s="1"/>
  <c r="X22" i="2"/>
  <c r="X23" i="2" s="1"/>
  <c r="Y18" i="2"/>
  <c r="Y17" i="2"/>
  <c r="Y21" i="2" l="1"/>
  <c r="X10" i="2"/>
  <c r="X11" i="2" s="1"/>
  <c r="Z4" i="2"/>
  <c r="Y5" i="2"/>
  <c r="Y6" i="2"/>
  <c r="Y22" i="2"/>
  <c r="Y23" i="2" s="1"/>
  <c r="Z18" i="2"/>
  <c r="Z17" i="2"/>
  <c r="Z21" i="2" l="1"/>
  <c r="Y9" i="2"/>
  <c r="Y10" i="2" s="1"/>
  <c r="Y11" i="2" s="1"/>
  <c r="AA4" i="2"/>
  <c r="Z6" i="2"/>
  <c r="Z5" i="2"/>
  <c r="Z9" i="2" s="1"/>
  <c r="Z22" i="2"/>
  <c r="Z23" i="2" s="1"/>
  <c r="AA18" i="2"/>
  <c r="AA17" i="2"/>
  <c r="AA21" i="2" l="1"/>
  <c r="Z10" i="2"/>
  <c r="Z11" i="2" s="1"/>
  <c r="AB4" i="2"/>
  <c r="AA6" i="2"/>
  <c r="AA5" i="2"/>
  <c r="AA9" i="2" s="1"/>
  <c r="AA22" i="2"/>
  <c r="AA23" i="2" s="1"/>
  <c r="AB18" i="2"/>
  <c r="AB17" i="2"/>
  <c r="AB21" i="2" s="1"/>
  <c r="AA10" i="2" l="1"/>
  <c r="AA11" i="2"/>
  <c r="AB6" i="2"/>
  <c r="AB5" i="2"/>
  <c r="AB22" i="2"/>
  <c r="AB23" i="2" s="1"/>
  <c r="W30" i="2" s="1"/>
  <c r="AB9" i="2" l="1"/>
  <c r="AB10" i="2" s="1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BJ11" i="2" s="1"/>
  <c r="BK11" i="2" s="1"/>
  <c r="BL11" i="2" s="1"/>
  <c r="BM11" i="2" s="1"/>
  <c r="BN11" i="2" s="1"/>
  <c r="BO11" i="2" s="1"/>
  <c r="BP11" i="2" s="1"/>
  <c r="BQ11" i="2" s="1"/>
  <c r="BR11" i="2" s="1"/>
  <c r="BS11" i="2" s="1"/>
  <c r="BT11" i="2" s="1"/>
  <c r="BU11" i="2" s="1"/>
  <c r="BV11" i="2" s="1"/>
  <c r="BW11" i="2" s="1"/>
  <c r="T27" i="2" s="1"/>
  <c r="T30" i="2" s="1"/>
</calcChain>
</file>

<file path=xl/sharedStrings.xml><?xml version="1.0" encoding="utf-8"?>
<sst xmlns="http://schemas.openxmlformats.org/spreadsheetml/2006/main" count="106" uniqueCount="74">
  <si>
    <t>Aquestive Therapeutics</t>
  </si>
  <si>
    <t xml:space="preserve">Anaphylm </t>
  </si>
  <si>
    <t>Rvenue Generating</t>
  </si>
  <si>
    <t>have 5 drugs on market</t>
  </si>
  <si>
    <t xml:space="preserve">Lbervant </t>
  </si>
  <si>
    <t>Ex approval 2025</t>
  </si>
  <si>
    <t xml:space="preserve">Say they have a new tech that can backfill the pipeline </t>
  </si>
  <si>
    <t xml:space="preserve">think they will get PDUFA approval from 2-5 yr olds in the next couple months </t>
  </si>
  <si>
    <t xml:space="preserve">505(b)2 submission </t>
  </si>
  <si>
    <t>ph3 readout coming in march</t>
  </si>
  <si>
    <t>NDA filing thereafter, 10mths to hear back, expect approval mid 2025</t>
  </si>
  <si>
    <t xml:space="preserve">PD @2mins post tx is as good or better than auto injector </t>
  </si>
  <si>
    <t>tmax @18mins as good or better than auto injector</t>
  </si>
  <si>
    <t>BP, heart rate (PD) readouts look like the other solutions so it's having an effect in serum comparable to SOC</t>
  </si>
  <si>
    <t>Competitor w nasal spray</t>
  </si>
  <si>
    <t xml:space="preserve">in clin trial did 1 dose, no repeat dose, and the FDA was concerned about the dropoff and potential need for a second dose w ppl that are congested. They got a CRL (rejection) letter </t>
  </si>
  <si>
    <t xml:space="preserve">They are arguing that ppl don't actually carry the epipen/ solution. Don’t use it when it's there. Large unmet medical need. </t>
  </si>
  <si>
    <t xml:space="preserve">some +20M ppl that have risk of anaphylactic shock </t>
  </si>
  <si>
    <t>5M scripts atm in US/yr for autoinjectors</t>
  </si>
  <si>
    <t xml:space="preserve">Patents on composistion of matter for prodrug formulation into 2040s </t>
  </si>
  <si>
    <t>AQST108 topical cream. Use in dermatology</t>
  </si>
  <si>
    <t xml:space="preserve">Conditionally approved, full approval expected Jan,11 2027 </t>
  </si>
  <si>
    <t xml:space="preserve">Libervant rescue seizure market ~$250M/yr market </t>
  </si>
  <si>
    <t xml:space="preserve">currently 3 players </t>
  </si>
  <si>
    <t xml:space="preserve">they say they can ABSOLUTELY launch anaphylm, need ~100 sales reps </t>
  </si>
  <si>
    <t>epinephrine. Works w adrenergic receptors. Mast  cells. ADRA1, Beta 2 adrenoreceptor agonist (ADRB2)</t>
  </si>
  <si>
    <t xml:space="preserve">Epipen Market </t>
  </si>
  <si>
    <t>442M in sales 2023</t>
  </si>
  <si>
    <t>they think annual global peak sales for anaphylm could surpass $1B</t>
  </si>
  <si>
    <t>they think annual peak global sales for libervant could be between $100-200M</t>
  </si>
  <si>
    <t>FY2023 rev</t>
  </si>
  <si>
    <t xml:space="preserve">50.6M </t>
  </si>
  <si>
    <t xml:space="preserve">increase in mfg, license and royalty revenue </t>
  </si>
  <si>
    <t>Revenue</t>
  </si>
  <si>
    <t>COGS</t>
  </si>
  <si>
    <t>R&amp;D</t>
  </si>
  <si>
    <t>SG&amp;A</t>
  </si>
  <si>
    <t>Taxes</t>
  </si>
  <si>
    <t xml:space="preserve">Other </t>
  </si>
  <si>
    <t>Operating Profit</t>
  </si>
  <si>
    <t xml:space="preserve">Revenue </t>
  </si>
  <si>
    <t xml:space="preserve">COGS </t>
  </si>
  <si>
    <t xml:space="preserve">Taxes </t>
  </si>
  <si>
    <t>Net</t>
  </si>
  <si>
    <t>WAC</t>
  </si>
  <si>
    <t>Per EpiPen</t>
  </si>
  <si>
    <t xml:space="preserve">EpiPen Sales </t>
  </si>
  <si>
    <t>Margin</t>
  </si>
  <si>
    <t>NPV</t>
  </si>
  <si>
    <t>Discount rate</t>
  </si>
  <si>
    <t>Case 2</t>
  </si>
  <si>
    <t>Case 1</t>
  </si>
  <si>
    <t>Shares</t>
  </si>
  <si>
    <t>EPS</t>
  </si>
  <si>
    <t>Anaphylm Case 1</t>
  </si>
  <si>
    <t>Anaphylm Case 2</t>
  </si>
  <si>
    <t xml:space="preserve">Libervant </t>
  </si>
  <si>
    <t>patent expire</t>
  </si>
  <si>
    <t>Diastat Acudial (rectal)</t>
  </si>
  <si>
    <t>Valtoco (nasal)</t>
  </si>
  <si>
    <t>there were ~528k TRx in 2023</t>
  </si>
  <si>
    <t xml:space="preserve">2-5 yr olds 10.6% of market </t>
  </si>
  <si>
    <t xml:space="preserve">worth? </t>
  </si>
  <si>
    <t xml:space="preserve">PDUFA April 28 </t>
  </si>
  <si>
    <t>only rectal approved for ages 2-5. but v few teachers will administer it.</t>
  </si>
  <si>
    <t>Blocked from entering 12+ age market bc of oprhan drug exclusivity granted to nasal spray</t>
  </si>
  <si>
    <t>approval 12+</t>
  </si>
  <si>
    <t xml:space="preserve">they say there's 2 competitors </t>
  </si>
  <si>
    <t>they want to find a partner for that drug so they don’t deploy it and anaphylm at the same time. They want CNS/epilepsy partner</t>
  </si>
  <si>
    <t>peak sales should hit $500m</t>
  </si>
  <si>
    <t xml:space="preserve">they could submit a challenge to orphan drug market </t>
  </si>
  <si>
    <t>nasal spray diazepam patent expires mar 2029 valtoco</t>
  </si>
  <si>
    <t xml:space="preserve">nasal patent expire </t>
  </si>
  <si>
    <t>approval 2-5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</si>
</sst>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3" fontId="0" fillId="0" borderId="0" xfId="0" applyNumberFormat="1"/>
    <xf numFmtId="0" fontId="2" fillId="0" borderId="0" xfId="0" applyFont="1"/>
    <xf numFmtId="44" fontId="0" fillId="0" borderId="0" xfId="0" applyNumberFormat="1"/>
    <xf numFmtId="9" fontId="0" fillId="0" borderId="0" xfId="2" applyFont="1"/>
    <xf numFmtId="9" fontId="0" fillId="0" borderId="0" xfId="0" applyNumberFormat="1"/>
    <xf numFmtId="8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97BC6-8AC3-418A-A216-AD736C42A16C}">
  <dimension ref="A1:AD43"/>
  <sheetViews>
    <sheetView workbookViewId="0">
      <selection activeCell="W28" sqref="W28"/>
    </sheetView>
  </sheetViews>
  <sheetFormatPr defaultRowHeight="14.5" x14ac:dyDescent="0.35"/>
  <cols>
    <col min="18" max="18" width="13.81640625" customWidth="1"/>
    <col min="19" max="19" width="9.1796875" customWidth="1"/>
  </cols>
  <sheetData>
    <row r="1" spans="1:30" x14ac:dyDescent="0.35">
      <c r="A1" t="s">
        <v>0</v>
      </c>
    </row>
    <row r="4" spans="1:30" x14ac:dyDescent="0.35">
      <c r="A4" t="s">
        <v>1</v>
      </c>
      <c r="B4" t="s">
        <v>5</v>
      </c>
    </row>
    <row r="5" spans="1:30" x14ac:dyDescent="0.35">
      <c r="A5" t="s">
        <v>4</v>
      </c>
      <c r="B5" t="s">
        <v>21</v>
      </c>
      <c r="G5" t="s">
        <v>7</v>
      </c>
      <c r="P5" t="s">
        <v>26</v>
      </c>
      <c r="S5" t="s">
        <v>28</v>
      </c>
    </row>
    <row r="6" spans="1:30" x14ac:dyDescent="0.35">
      <c r="A6" t="s">
        <v>6</v>
      </c>
    </row>
    <row r="7" spans="1:30" x14ac:dyDescent="0.35">
      <c r="P7" t="s">
        <v>27</v>
      </c>
      <c r="S7" t="s">
        <v>29</v>
      </c>
    </row>
    <row r="8" spans="1:30" x14ac:dyDescent="0.35">
      <c r="A8" t="s">
        <v>2</v>
      </c>
    </row>
    <row r="9" spans="1:30" x14ac:dyDescent="0.35">
      <c r="A9" t="s">
        <v>3</v>
      </c>
      <c r="P9">
        <v>442000</v>
      </c>
      <c r="R9" s="3" t="s">
        <v>45</v>
      </c>
      <c r="T9" s="3">
        <v>2016</v>
      </c>
      <c r="U9">
        <f>T9+1</f>
        <v>2017</v>
      </c>
      <c r="V9">
        <f t="shared" ref="V9:AD9" si="0">U9+1</f>
        <v>2018</v>
      </c>
      <c r="W9">
        <f t="shared" si="0"/>
        <v>2019</v>
      </c>
      <c r="X9">
        <f t="shared" si="0"/>
        <v>2020</v>
      </c>
      <c r="Y9">
        <f t="shared" si="0"/>
        <v>2021</v>
      </c>
      <c r="Z9">
        <f t="shared" si="0"/>
        <v>2022</v>
      </c>
      <c r="AA9">
        <f t="shared" si="0"/>
        <v>2023</v>
      </c>
      <c r="AB9">
        <f t="shared" si="0"/>
        <v>2024</v>
      </c>
      <c r="AC9">
        <f t="shared" si="0"/>
        <v>2025</v>
      </c>
      <c r="AD9">
        <f t="shared" si="0"/>
        <v>2026</v>
      </c>
    </row>
    <row r="10" spans="1:30" x14ac:dyDescent="0.35">
      <c r="P10">
        <f>0.9*4000</f>
        <v>3600</v>
      </c>
      <c r="R10" t="s">
        <v>44</v>
      </c>
      <c r="T10">
        <v>608</v>
      </c>
    </row>
    <row r="11" spans="1:30" x14ac:dyDescent="0.35">
      <c r="O11" t="s">
        <v>40</v>
      </c>
      <c r="P11" s="1">
        <f>P9/P10</f>
        <v>122.77777777777777</v>
      </c>
      <c r="R11" t="s">
        <v>40</v>
      </c>
      <c r="T11">
        <v>274</v>
      </c>
    </row>
    <row r="12" spans="1:30" x14ac:dyDescent="0.35">
      <c r="A12" t="s">
        <v>1</v>
      </c>
      <c r="R12" t="s">
        <v>41</v>
      </c>
      <c r="S12" s="5">
        <f>T12/T11</f>
        <v>0.2518248175182482</v>
      </c>
      <c r="T12">
        <v>69</v>
      </c>
    </row>
    <row r="13" spans="1:30" x14ac:dyDescent="0.35">
      <c r="A13" t="s">
        <v>8</v>
      </c>
      <c r="R13" t="s">
        <v>36</v>
      </c>
      <c r="S13" s="5">
        <f>T13/T11</f>
        <v>0.38321167883211676</v>
      </c>
      <c r="T13">
        <v>105</v>
      </c>
    </row>
    <row r="14" spans="1:30" x14ac:dyDescent="0.35">
      <c r="A14" t="s">
        <v>9</v>
      </c>
      <c r="R14" t="s">
        <v>35</v>
      </c>
      <c r="T14">
        <v>0</v>
      </c>
    </row>
    <row r="15" spans="1:30" x14ac:dyDescent="0.35">
      <c r="A15" t="s">
        <v>10</v>
      </c>
      <c r="R15" t="s">
        <v>39</v>
      </c>
      <c r="T15">
        <f>T11-T12-T13-T14</f>
        <v>100</v>
      </c>
    </row>
    <row r="16" spans="1:30" x14ac:dyDescent="0.35">
      <c r="A16" t="s">
        <v>11</v>
      </c>
      <c r="R16" t="s">
        <v>42</v>
      </c>
      <c r="S16" s="5">
        <v>0.15</v>
      </c>
      <c r="T16">
        <f>T15*0.15</f>
        <v>15</v>
      </c>
    </row>
    <row r="17" spans="1:30" x14ac:dyDescent="0.35">
      <c r="A17" t="s">
        <v>12</v>
      </c>
      <c r="R17" t="s">
        <v>43</v>
      </c>
      <c r="T17" s="4">
        <f>T15-T16</f>
        <v>85</v>
      </c>
      <c r="U17" s="4">
        <f>T17*1.03</f>
        <v>87.55</v>
      </c>
      <c r="V17" s="4">
        <f t="shared" ref="V17:AA17" si="1">U17*1.03</f>
        <v>90.176500000000004</v>
      </c>
      <c r="W17" s="4">
        <f t="shared" si="1"/>
        <v>92.881795000000011</v>
      </c>
      <c r="X17" s="4">
        <f t="shared" si="1"/>
        <v>95.668248850000012</v>
      </c>
      <c r="Y17" s="4">
        <f t="shared" si="1"/>
        <v>98.53829631550002</v>
      </c>
      <c r="Z17" s="4">
        <f t="shared" si="1"/>
        <v>101.49444520496502</v>
      </c>
      <c r="AA17" s="4">
        <f t="shared" si="1"/>
        <v>104.53927856111397</v>
      </c>
    </row>
    <row r="18" spans="1:30" x14ac:dyDescent="0.35">
      <c r="A18" t="s">
        <v>13</v>
      </c>
    </row>
    <row r="19" spans="1:30" x14ac:dyDescent="0.35">
      <c r="S19" t="s">
        <v>47</v>
      </c>
      <c r="T19" s="5">
        <f>T15/T11</f>
        <v>0.36496350364963503</v>
      </c>
    </row>
    <row r="20" spans="1:30" x14ac:dyDescent="0.35">
      <c r="A20" t="s">
        <v>14</v>
      </c>
    </row>
    <row r="21" spans="1:30" x14ac:dyDescent="0.35">
      <c r="A21" t="s">
        <v>15</v>
      </c>
    </row>
    <row r="22" spans="1:30" x14ac:dyDescent="0.35">
      <c r="Q22" t="s">
        <v>46</v>
      </c>
    </row>
    <row r="23" spans="1:30" x14ac:dyDescent="0.35">
      <c r="A23" t="s">
        <v>16</v>
      </c>
      <c r="P23">
        <v>2012</v>
      </c>
      <c r="Q23">
        <v>2013</v>
      </c>
      <c r="R23">
        <v>2014</v>
      </c>
      <c r="S23">
        <v>2015</v>
      </c>
      <c r="T23" s="3">
        <v>2016</v>
      </c>
      <c r="U23">
        <f>T23+1</f>
        <v>2017</v>
      </c>
      <c r="V23">
        <f t="shared" ref="V23:AD23" si="2">U23+1</f>
        <v>2018</v>
      </c>
      <c r="W23">
        <f t="shared" si="2"/>
        <v>2019</v>
      </c>
      <c r="X23">
        <f t="shared" si="2"/>
        <v>2020</v>
      </c>
      <c r="Y23">
        <f t="shared" si="2"/>
        <v>2021</v>
      </c>
      <c r="Z23">
        <f t="shared" si="2"/>
        <v>2022</v>
      </c>
      <c r="AA23">
        <f t="shared" si="2"/>
        <v>2023</v>
      </c>
      <c r="AB23">
        <f t="shared" si="2"/>
        <v>2024</v>
      </c>
      <c r="AC23">
        <f t="shared" si="2"/>
        <v>2025</v>
      </c>
      <c r="AD23">
        <f t="shared" si="2"/>
        <v>2026</v>
      </c>
    </row>
    <row r="24" spans="1:30" x14ac:dyDescent="0.35">
      <c r="A24" t="s">
        <v>18</v>
      </c>
      <c r="P24">
        <v>741.5</v>
      </c>
      <c r="Q24">
        <v>850.2</v>
      </c>
      <c r="R24">
        <v>1017.5</v>
      </c>
      <c r="Y24">
        <v>391.7</v>
      </c>
      <c r="Z24">
        <v>378</v>
      </c>
      <c r="AA24">
        <v>442.2</v>
      </c>
    </row>
    <row r="25" spans="1:30" x14ac:dyDescent="0.35">
      <c r="A25" t="s">
        <v>17</v>
      </c>
    </row>
    <row r="27" spans="1:30" x14ac:dyDescent="0.35">
      <c r="A27" t="s">
        <v>19</v>
      </c>
      <c r="M27" s="3" t="s">
        <v>56</v>
      </c>
    </row>
    <row r="28" spans="1:30" x14ac:dyDescent="0.35">
      <c r="M28" t="s">
        <v>67</v>
      </c>
    </row>
    <row r="29" spans="1:30" x14ac:dyDescent="0.35">
      <c r="A29" t="s">
        <v>20</v>
      </c>
      <c r="M29" t="s">
        <v>58</v>
      </c>
    </row>
    <row r="30" spans="1:30" x14ac:dyDescent="0.35">
      <c r="A30" t="s">
        <v>25</v>
      </c>
      <c r="M30" t="s">
        <v>59</v>
      </c>
    </row>
    <row r="31" spans="1:30" x14ac:dyDescent="0.35">
      <c r="M31" t="s">
        <v>64</v>
      </c>
    </row>
    <row r="32" spans="1:30" x14ac:dyDescent="0.35">
      <c r="A32" t="s">
        <v>22</v>
      </c>
      <c r="M32" t="s">
        <v>60</v>
      </c>
    </row>
    <row r="33" spans="1:13" x14ac:dyDescent="0.35">
      <c r="A33" t="s">
        <v>23</v>
      </c>
      <c r="M33" t="s">
        <v>61</v>
      </c>
    </row>
    <row r="34" spans="1:13" x14ac:dyDescent="0.35">
      <c r="A34" t="s">
        <v>68</v>
      </c>
      <c r="M34" t="s">
        <v>62</v>
      </c>
    </row>
    <row r="35" spans="1:13" x14ac:dyDescent="0.35">
      <c r="A35" t="s">
        <v>24</v>
      </c>
      <c r="M35" t="s">
        <v>63</v>
      </c>
    </row>
    <row r="37" spans="1:13" x14ac:dyDescent="0.35">
      <c r="M37" t="s">
        <v>65</v>
      </c>
    </row>
    <row r="38" spans="1:13" x14ac:dyDescent="0.35">
      <c r="M38" t="s">
        <v>70</v>
      </c>
    </row>
    <row r="39" spans="1:13" x14ac:dyDescent="0.35">
      <c r="A39" t="s">
        <v>30</v>
      </c>
    </row>
    <row r="40" spans="1:13" x14ac:dyDescent="0.35">
      <c r="I40" t="s">
        <v>71</v>
      </c>
    </row>
    <row r="41" spans="1:13" x14ac:dyDescent="0.35">
      <c r="A41" t="s">
        <v>31</v>
      </c>
      <c r="I41" t="s">
        <v>69</v>
      </c>
    </row>
    <row r="43" spans="1:13" x14ac:dyDescent="0.35">
      <c r="A43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E3252-4A12-4CE2-9424-8B3E65EBE91A}">
  <dimension ref="A2:BW49"/>
  <sheetViews>
    <sheetView tabSelected="1" workbookViewId="0">
      <selection activeCell="AD11" sqref="AD11"/>
    </sheetView>
  </sheetViews>
  <sheetFormatPr defaultRowHeight="14.5" x14ac:dyDescent="0.35"/>
  <cols>
    <col min="20" max="20" width="8.90625" bestFit="1" customWidth="1"/>
    <col min="23" max="23" width="8.90625" bestFit="1" customWidth="1"/>
  </cols>
  <sheetData>
    <row r="2" spans="1:75" x14ac:dyDescent="0.35">
      <c r="A2" s="3" t="s">
        <v>54</v>
      </c>
      <c r="Q2" t="s">
        <v>57</v>
      </c>
    </row>
    <row r="3" spans="1:75" x14ac:dyDescent="0.35">
      <c r="C3" s="3">
        <v>2023</v>
      </c>
      <c r="D3" s="3">
        <f>C3+1</f>
        <v>2024</v>
      </c>
      <c r="E3" s="3">
        <f t="shared" ref="E3:AB3" si="0">D3+1</f>
        <v>2025</v>
      </c>
      <c r="F3" s="3">
        <f t="shared" si="0"/>
        <v>2026</v>
      </c>
      <c r="G3" s="3">
        <f t="shared" si="0"/>
        <v>2027</v>
      </c>
      <c r="H3" s="3">
        <f t="shared" si="0"/>
        <v>2028</v>
      </c>
      <c r="I3" s="3">
        <f t="shared" si="0"/>
        <v>2029</v>
      </c>
      <c r="J3" s="3">
        <f t="shared" si="0"/>
        <v>2030</v>
      </c>
      <c r="K3" s="3">
        <f t="shared" si="0"/>
        <v>2031</v>
      </c>
      <c r="L3" s="3">
        <f t="shared" si="0"/>
        <v>2032</v>
      </c>
      <c r="M3" s="3">
        <f t="shared" si="0"/>
        <v>2033</v>
      </c>
      <c r="N3" s="3">
        <f t="shared" si="0"/>
        <v>2034</v>
      </c>
      <c r="O3" s="3">
        <f t="shared" si="0"/>
        <v>2035</v>
      </c>
      <c r="P3" s="3">
        <f t="shared" si="0"/>
        <v>2036</v>
      </c>
      <c r="Q3" s="3">
        <f t="shared" si="0"/>
        <v>2037</v>
      </c>
      <c r="R3" s="3">
        <f t="shared" si="0"/>
        <v>2038</v>
      </c>
      <c r="S3" s="3">
        <f t="shared" si="0"/>
        <v>2039</v>
      </c>
      <c r="T3" s="3">
        <f t="shared" si="0"/>
        <v>2040</v>
      </c>
      <c r="U3" s="3">
        <f t="shared" si="0"/>
        <v>2041</v>
      </c>
      <c r="V3" s="3">
        <f t="shared" si="0"/>
        <v>2042</v>
      </c>
      <c r="W3" s="3">
        <f t="shared" si="0"/>
        <v>2043</v>
      </c>
      <c r="X3" s="3">
        <f t="shared" si="0"/>
        <v>2044</v>
      </c>
      <c r="Y3" s="3">
        <f t="shared" si="0"/>
        <v>2045</v>
      </c>
      <c r="Z3" s="3">
        <f t="shared" si="0"/>
        <v>2046</v>
      </c>
      <c r="AA3" s="3">
        <f t="shared" si="0"/>
        <v>2047</v>
      </c>
      <c r="AB3" s="3">
        <f t="shared" si="0"/>
        <v>2048</v>
      </c>
    </row>
    <row r="4" spans="1:75" x14ac:dyDescent="0.35">
      <c r="A4" t="s">
        <v>33</v>
      </c>
      <c r="C4" s="2">
        <v>0</v>
      </c>
      <c r="D4" s="2"/>
      <c r="E4" s="2">
        <v>100</v>
      </c>
      <c r="F4" s="2">
        <v>300</v>
      </c>
      <c r="G4" s="2">
        <v>600</v>
      </c>
      <c r="H4" s="2">
        <v>800</v>
      </c>
      <c r="I4" s="2">
        <v>1000</v>
      </c>
      <c r="J4" s="2">
        <v>1100</v>
      </c>
      <c r="K4" s="2">
        <v>1250</v>
      </c>
      <c r="L4" s="2">
        <f>K4*0.95</f>
        <v>1187.5</v>
      </c>
      <c r="M4" s="2">
        <f t="shared" ref="M4:R4" si="1">L4*0.95</f>
        <v>1128.125</v>
      </c>
      <c r="N4" s="2">
        <f t="shared" si="1"/>
        <v>1071.71875</v>
      </c>
      <c r="O4" s="2">
        <f t="shared" si="1"/>
        <v>1018.1328125</v>
      </c>
      <c r="P4" s="2">
        <f t="shared" si="1"/>
        <v>967.22617187499998</v>
      </c>
      <c r="Q4" s="2">
        <f t="shared" si="1"/>
        <v>918.86486328124988</v>
      </c>
      <c r="R4" s="2">
        <f t="shared" si="1"/>
        <v>872.92162011718733</v>
      </c>
      <c r="S4" s="2">
        <f>R4*0.65</f>
        <v>567.39905307617175</v>
      </c>
      <c r="T4" s="2">
        <f>S4*1.03</f>
        <v>584.42102466845688</v>
      </c>
      <c r="U4" s="2">
        <f>T4*1.03</f>
        <v>601.9536554085106</v>
      </c>
      <c r="V4" s="2">
        <f t="shared" ref="V4:AB4" si="2">U4*1.03</f>
        <v>620.01226507076592</v>
      </c>
      <c r="W4" s="2">
        <f t="shared" si="2"/>
        <v>638.61263302288887</v>
      </c>
      <c r="X4" s="2">
        <f t="shared" si="2"/>
        <v>657.7710120135755</v>
      </c>
      <c r="Y4" s="2">
        <f t="shared" si="2"/>
        <v>677.50414237398275</v>
      </c>
      <c r="Z4" s="2">
        <f t="shared" si="2"/>
        <v>697.82926664520221</v>
      </c>
      <c r="AA4" s="2">
        <f t="shared" si="2"/>
        <v>718.76414464455831</v>
      </c>
      <c r="AB4" s="2">
        <f t="shared" si="2"/>
        <v>740.32706898389506</v>
      </c>
    </row>
    <row r="5" spans="1:75" x14ac:dyDescent="0.35">
      <c r="A5" t="s">
        <v>34</v>
      </c>
      <c r="B5" s="5">
        <v>0.2</v>
      </c>
      <c r="C5" s="2"/>
      <c r="D5" s="2"/>
      <c r="E5" s="2">
        <f>E4*$B$5</f>
        <v>20</v>
      </c>
      <c r="F5" s="2">
        <f t="shared" ref="F5:AB5" si="3">F4*$B$5</f>
        <v>60</v>
      </c>
      <c r="G5" s="2">
        <f t="shared" si="3"/>
        <v>120</v>
      </c>
      <c r="H5" s="2">
        <f t="shared" si="3"/>
        <v>160</v>
      </c>
      <c r="I5" s="2">
        <f t="shared" si="3"/>
        <v>200</v>
      </c>
      <c r="J5" s="2">
        <f t="shared" si="3"/>
        <v>220</v>
      </c>
      <c r="K5" s="2">
        <f t="shared" si="3"/>
        <v>250</v>
      </c>
      <c r="L5" s="2">
        <f t="shared" si="3"/>
        <v>237.5</v>
      </c>
      <c r="M5" s="2">
        <f t="shared" si="3"/>
        <v>225.625</v>
      </c>
      <c r="N5" s="2">
        <f t="shared" si="3"/>
        <v>214.34375</v>
      </c>
      <c r="O5" s="2">
        <f t="shared" si="3"/>
        <v>203.62656250000001</v>
      </c>
      <c r="P5" s="2">
        <f t="shared" si="3"/>
        <v>193.44523437500001</v>
      </c>
      <c r="Q5" s="2">
        <f t="shared" si="3"/>
        <v>183.77297265624998</v>
      </c>
      <c r="R5" s="2">
        <f t="shared" si="3"/>
        <v>174.58432402343749</v>
      </c>
      <c r="S5" s="2">
        <f t="shared" si="3"/>
        <v>113.47981061523436</v>
      </c>
      <c r="T5" s="2">
        <f t="shared" si="3"/>
        <v>116.88420493369138</v>
      </c>
      <c r="U5" s="2">
        <f t="shared" si="3"/>
        <v>120.39073108170213</v>
      </c>
      <c r="V5" s="2">
        <f t="shared" si="3"/>
        <v>124.00245301415319</v>
      </c>
      <c r="W5" s="2">
        <f t="shared" si="3"/>
        <v>127.72252660457778</v>
      </c>
      <c r="X5" s="2">
        <f t="shared" si="3"/>
        <v>131.55420240271511</v>
      </c>
      <c r="Y5" s="2">
        <f t="shared" si="3"/>
        <v>135.50082847479655</v>
      </c>
      <c r="Z5" s="2">
        <f t="shared" si="3"/>
        <v>139.56585332904044</v>
      </c>
      <c r="AA5" s="2">
        <f t="shared" si="3"/>
        <v>143.75282892891167</v>
      </c>
      <c r="AB5" s="2">
        <f t="shared" si="3"/>
        <v>148.06541379677901</v>
      </c>
    </row>
    <row r="6" spans="1:75" x14ac:dyDescent="0.35">
      <c r="A6" t="s">
        <v>36</v>
      </c>
      <c r="B6" s="5">
        <v>0.3</v>
      </c>
      <c r="C6" s="2"/>
      <c r="D6" s="2"/>
      <c r="E6" s="2">
        <f>E4*$B$6</f>
        <v>30</v>
      </c>
      <c r="F6" s="2">
        <f t="shared" ref="F6:AB6" si="4">F4*$B$6</f>
        <v>90</v>
      </c>
      <c r="G6" s="2">
        <f t="shared" si="4"/>
        <v>180</v>
      </c>
      <c r="H6" s="2">
        <f t="shared" si="4"/>
        <v>240</v>
      </c>
      <c r="I6" s="2">
        <f t="shared" si="4"/>
        <v>300</v>
      </c>
      <c r="J6" s="2">
        <f t="shared" si="4"/>
        <v>330</v>
      </c>
      <c r="K6" s="2">
        <f t="shared" si="4"/>
        <v>375</v>
      </c>
      <c r="L6" s="2">
        <f t="shared" si="4"/>
        <v>356.25</v>
      </c>
      <c r="M6" s="2">
        <f t="shared" si="4"/>
        <v>338.4375</v>
      </c>
      <c r="N6" s="2">
        <f t="shared" si="4"/>
        <v>321.515625</v>
      </c>
      <c r="O6" s="2">
        <f t="shared" si="4"/>
        <v>305.43984374999997</v>
      </c>
      <c r="P6" s="2">
        <f t="shared" si="4"/>
        <v>290.1678515625</v>
      </c>
      <c r="Q6" s="2">
        <f t="shared" si="4"/>
        <v>275.65945898437496</v>
      </c>
      <c r="R6" s="2">
        <f t="shared" si="4"/>
        <v>261.87648603515618</v>
      </c>
      <c r="S6" s="2">
        <f t="shared" si="4"/>
        <v>170.21971592285152</v>
      </c>
      <c r="T6" s="2">
        <f t="shared" si="4"/>
        <v>175.32630740053705</v>
      </c>
      <c r="U6" s="2">
        <f t="shared" si="4"/>
        <v>180.58609662255319</v>
      </c>
      <c r="V6" s="2">
        <f t="shared" si="4"/>
        <v>186.00367952122977</v>
      </c>
      <c r="W6" s="2">
        <f t="shared" si="4"/>
        <v>191.58378990686666</v>
      </c>
      <c r="X6" s="2">
        <f t="shared" si="4"/>
        <v>197.33130360407264</v>
      </c>
      <c r="Y6" s="2">
        <f t="shared" si="4"/>
        <v>203.25124271219482</v>
      </c>
      <c r="Z6" s="2">
        <f t="shared" si="4"/>
        <v>209.34877999356067</v>
      </c>
      <c r="AA6" s="2">
        <f t="shared" si="4"/>
        <v>215.62924339336749</v>
      </c>
      <c r="AB6" s="2">
        <f t="shared" si="4"/>
        <v>222.09812069516852</v>
      </c>
    </row>
    <row r="7" spans="1:75" x14ac:dyDescent="0.35">
      <c r="A7" t="s">
        <v>35</v>
      </c>
      <c r="C7" s="2"/>
      <c r="D7" s="2">
        <v>20</v>
      </c>
      <c r="E7" s="2">
        <v>10</v>
      </c>
      <c r="F7" s="2">
        <v>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75" x14ac:dyDescent="0.35">
      <c r="A8" t="s">
        <v>38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75" x14ac:dyDescent="0.35">
      <c r="A9" t="s">
        <v>39</v>
      </c>
      <c r="C9" s="2"/>
      <c r="D9" s="2"/>
      <c r="E9" s="2">
        <f>E4-E5-E6-E7</f>
        <v>40</v>
      </c>
      <c r="F9" s="2">
        <f t="shared" ref="F9:AB9" si="5">F4-F5-F6-F7</f>
        <v>150</v>
      </c>
      <c r="G9" s="2">
        <f t="shared" si="5"/>
        <v>300</v>
      </c>
      <c r="H9" s="2">
        <f t="shared" si="5"/>
        <v>400</v>
      </c>
      <c r="I9" s="2">
        <f t="shared" si="5"/>
        <v>500</v>
      </c>
      <c r="J9" s="2">
        <f t="shared" si="5"/>
        <v>550</v>
      </c>
      <c r="K9" s="2">
        <f t="shared" si="5"/>
        <v>625</v>
      </c>
      <c r="L9" s="2">
        <f t="shared" si="5"/>
        <v>593.75</v>
      </c>
      <c r="M9" s="2">
        <f t="shared" si="5"/>
        <v>564.0625</v>
      </c>
      <c r="N9" s="2">
        <f t="shared" si="5"/>
        <v>535.859375</v>
      </c>
      <c r="O9" s="2">
        <f t="shared" si="5"/>
        <v>509.06640625000006</v>
      </c>
      <c r="P9" s="2">
        <f t="shared" si="5"/>
        <v>483.61308593749993</v>
      </c>
      <c r="Q9" s="2">
        <f t="shared" si="5"/>
        <v>459.43243164062494</v>
      </c>
      <c r="R9" s="2">
        <f t="shared" si="5"/>
        <v>436.46081005859367</v>
      </c>
      <c r="S9" s="2">
        <f t="shared" si="5"/>
        <v>283.69952653808593</v>
      </c>
      <c r="T9" s="2">
        <f t="shared" si="5"/>
        <v>292.2105123342285</v>
      </c>
      <c r="U9" s="2">
        <f t="shared" si="5"/>
        <v>300.97682770425524</v>
      </c>
      <c r="V9" s="2">
        <f t="shared" si="5"/>
        <v>310.00613253538302</v>
      </c>
      <c r="W9" s="2">
        <f t="shared" si="5"/>
        <v>319.30631651144449</v>
      </c>
      <c r="X9" s="2">
        <f t="shared" si="5"/>
        <v>328.88550600678775</v>
      </c>
      <c r="Y9" s="2">
        <f t="shared" si="5"/>
        <v>338.75207118699137</v>
      </c>
      <c r="Z9" s="2">
        <f t="shared" si="5"/>
        <v>348.91463332260105</v>
      </c>
      <c r="AA9" s="2">
        <f t="shared" si="5"/>
        <v>359.38207232227921</v>
      </c>
      <c r="AB9" s="2">
        <f t="shared" si="5"/>
        <v>370.16353449194753</v>
      </c>
    </row>
    <row r="10" spans="1:75" x14ac:dyDescent="0.35">
      <c r="A10" t="s">
        <v>37</v>
      </c>
      <c r="B10" s="5">
        <v>0.15</v>
      </c>
      <c r="C10" s="2"/>
      <c r="D10" s="2"/>
      <c r="E10" s="2">
        <f>E9*$B$10</f>
        <v>6</v>
      </c>
      <c r="F10" s="2">
        <f t="shared" ref="F10:AB10" si="6">F9*$B$10</f>
        <v>22.5</v>
      </c>
      <c r="G10" s="2">
        <f t="shared" si="6"/>
        <v>45</v>
      </c>
      <c r="H10" s="2">
        <f t="shared" si="6"/>
        <v>60</v>
      </c>
      <c r="I10" s="2">
        <f t="shared" si="6"/>
        <v>75</v>
      </c>
      <c r="J10" s="2">
        <f t="shared" si="6"/>
        <v>82.5</v>
      </c>
      <c r="K10" s="2">
        <f t="shared" si="6"/>
        <v>93.75</v>
      </c>
      <c r="L10" s="2">
        <f t="shared" si="6"/>
        <v>89.0625</v>
      </c>
      <c r="M10" s="2">
        <f t="shared" si="6"/>
        <v>84.609375</v>
      </c>
      <c r="N10" s="2">
        <f t="shared" si="6"/>
        <v>80.37890625</v>
      </c>
      <c r="O10" s="2">
        <f t="shared" si="6"/>
        <v>76.359960937500006</v>
      </c>
      <c r="P10" s="2">
        <f t="shared" si="6"/>
        <v>72.541962890624987</v>
      </c>
      <c r="Q10" s="2">
        <f t="shared" si="6"/>
        <v>68.914864746093741</v>
      </c>
      <c r="R10" s="2">
        <f t="shared" si="6"/>
        <v>65.469121508789044</v>
      </c>
      <c r="S10" s="2">
        <f t="shared" si="6"/>
        <v>42.554928980712887</v>
      </c>
      <c r="T10" s="2">
        <f t="shared" si="6"/>
        <v>43.831576850134276</v>
      </c>
      <c r="U10" s="2">
        <f t="shared" si="6"/>
        <v>45.146524155638282</v>
      </c>
      <c r="V10" s="2">
        <f t="shared" si="6"/>
        <v>46.50091988030745</v>
      </c>
      <c r="W10" s="2">
        <f t="shared" si="6"/>
        <v>47.895947476716671</v>
      </c>
      <c r="X10" s="2">
        <f t="shared" si="6"/>
        <v>49.332825901018161</v>
      </c>
      <c r="Y10" s="2">
        <f t="shared" si="6"/>
        <v>50.812810678048706</v>
      </c>
      <c r="Z10" s="2">
        <f t="shared" si="6"/>
        <v>52.337194998390153</v>
      </c>
      <c r="AA10" s="2">
        <f t="shared" si="6"/>
        <v>53.907310848341879</v>
      </c>
      <c r="AB10" s="2">
        <f t="shared" si="6"/>
        <v>55.52453017379213</v>
      </c>
    </row>
    <row r="11" spans="1:75" x14ac:dyDescent="0.35">
      <c r="A11" t="s">
        <v>43</v>
      </c>
      <c r="C11" s="2"/>
      <c r="D11" s="2"/>
      <c r="E11" s="2">
        <f>E9-E10</f>
        <v>34</v>
      </c>
      <c r="F11" s="2">
        <f t="shared" ref="F11:AB11" si="7">F9-F10</f>
        <v>127.5</v>
      </c>
      <c r="G11" s="2">
        <f t="shared" si="7"/>
        <v>255</v>
      </c>
      <c r="H11" s="2">
        <f t="shared" si="7"/>
        <v>340</v>
      </c>
      <c r="I11" s="2">
        <f t="shared" si="7"/>
        <v>425</v>
      </c>
      <c r="J11" s="2">
        <f t="shared" si="7"/>
        <v>467.5</v>
      </c>
      <c r="K11" s="2">
        <f t="shared" si="7"/>
        <v>531.25</v>
      </c>
      <c r="L11" s="2">
        <f t="shared" si="7"/>
        <v>504.6875</v>
      </c>
      <c r="M11" s="2">
        <f t="shared" si="7"/>
        <v>479.453125</v>
      </c>
      <c r="N11" s="2">
        <f t="shared" si="7"/>
        <v>455.48046875</v>
      </c>
      <c r="O11" s="2">
        <f t="shared" si="7"/>
        <v>432.70644531250002</v>
      </c>
      <c r="P11" s="2">
        <f t="shared" si="7"/>
        <v>411.07112304687496</v>
      </c>
      <c r="Q11" s="2">
        <f t="shared" si="7"/>
        <v>390.51756689453123</v>
      </c>
      <c r="R11" s="2">
        <f t="shared" si="7"/>
        <v>370.99168854980462</v>
      </c>
      <c r="S11" s="2">
        <f t="shared" si="7"/>
        <v>241.14459755737306</v>
      </c>
      <c r="T11" s="2">
        <f t="shared" si="7"/>
        <v>248.37893548409423</v>
      </c>
      <c r="U11" s="2">
        <f t="shared" si="7"/>
        <v>255.83030354861697</v>
      </c>
      <c r="V11" s="2">
        <f t="shared" si="7"/>
        <v>263.50521265507558</v>
      </c>
      <c r="W11" s="2">
        <f t="shared" si="7"/>
        <v>271.41036903472781</v>
      </c>
      <c r="X11" s="2">
        <f t="shared" si="7"/>
        <v>279.55268010576958</v>
      </c>
      <c r="Y11" s="2">
        <f t="shared" si="7"/>
        <v>287.93926050894265</v>
      </c>
      <c r="Z11" s="2">
        <f t="shared" si="7"/>
        <v>296.5774383242109</v>
      </c>
      <c r="AA11" s="2">
        <f t="shared" si="7"/>
        <v>305.47476147393735</v>
      </c>
      <c r="AB11" s="2">
        <f t="shared" si="7"/>
        <v>314.6390043181554</v>
      </c>
      <c r="AC11" s="2">
        <f>AB11*1.03</f>
        <v>324.07817444770006</v>
      </c>
      <c r="AD11" s="2">
        <f t="shared" ref="AD11:BW11" si="8">AC11*1.03</f>
        <v>333.80051968113105</v>
      </c>
      <c r="AE11" s="2">
        <f t="shared" si="8"/>
        <v>343.81453527156498</v>
      </c>
      <c r="AF11" s="2">
        <f t="shared" si="8"/>
        <v>354.12897132971193</v>
      </c>
      <c r="AG11" s="2">
        <f t="shared" si="8"/>
        <v>364.75284046960331</v>
      </c>
      <c r="AH11" s="2">
        <f t="shared" si="8"/>
        <v>375.69542568369144</v>
      </c>
      <c r="AI11" s="2">
        <f t="shared" si="8"/>
        <v>386.96628845420219</v>
      </c>
      <c r="AJ11" s="2">
        <f t="shared" si="8"/>
        <v>398.57527710782824</v>
      </c>
      <c r="AK11" s="2">
        <f t="shared" si="8"/>
        <v>410.53253542106307</v>
      </c>
      <c r="AL11" s="2">
        <f t="shared" si="8"/>
        <v>422.84851148369495</v>
      </c>
      <c r="AM11" s="2">
        <f t="shared" si="8"/>
        <v>435.53396682820579</v>
      </c>
      <c r="AN11" s="2">
        <f t="shared" si="8"/>
        <v>448.59998583305196</v>
      </c>
      <c r="AO11" s="2">
        <f t="shared" si="8"/>
        <v>462.05798540804352</v>
      </c>
      <c r="AP11" s="2">
        <f t="shared" si="8"/>
        <v>475.91972497028485</v>
      </c>
      <c r="AQ11" s="2">
        <f t="shared" si="8"/>
        <v>490.19731671939343</v>
      </c>
      <c r="AR11" s="2">
        <f t="shared" si="8"/>
        <v>504.90323622097526</v>
      </c>
      <c r="AS11" s="2">
        <f t="shared" si="8"/>
        <v>520.05033330760455</v>
      </c>
      <c r="AT11" s="2">
        <f t="shared" si="8"/>
        <v>535.65184330683269</v>
      </c>
      <c r="AU11" s="2">
        <f t="shared" si="8"/>
        <v>551.72139860603772</v>
      </c>
      <c r="AV11" s="2">
        <f t="shared" si="8"/>
        <v>568.27304056421883</v>
      </c>
      <c r="AW11" s="2">
        <f t="shared" si="8"/>
        <v>585.32123178114546</v>
      </c>
      <c r="AX11" s="2">
        <f t="shared" si="8"/>
        <v>602.88086873457985</v>
      </c>
      <c r="AY11" s="2">
        <f t="shared" si="8"/>
        <v>620.96729479661724</v>
      </c>
      <c r="AZ11" s="2">
        <f t="shared" si="8"/>
        <v>639.59631364051575</v>
      </c>
      <c r="BA11" s="2">
        <f t="shared" si="8"/>
        <v>658.78420304973122</v>
      </c>
      <c r="BB11" s="2">
        <f t="shared" si="8"/>
        <v>678.54772914122316</v>
      </c>
      <c r="BC11" s="2">
        <f t="shared" si="8"/>
        <v>698.90416101545986</v>
      </c>
      <c r="BD11" s="2">
        <f t="shared" si="8"/>
        <v>719.87128584592369</v>
      </c>
      <c r="BE11" s="2">
        <f t="shared" si="8"/>
        <v>741.46742442130142</v>
      </c>
      <c r="BF11" s="2">
        <f t="shared" si="8"/>
        <v>763.71144715394053</v>
      </c>
      <c r="BG11" s="2">
        <f t="shared" si="8"/>
        <v>786.6227905685588</v>
      </c>
      <c r="BH11" s="2">
        <f t="shared" si="8"/>
        <v>810.22147428561561</v>
      </c>
      <c r="BI11" s="2">
        <f t="shared" si="8"/>
        <v>834.52811851418414</v>
      </c>
      <c r="BJ11" s="2">
        <f t="shared" si="8"/>
        <v>859.56396206960972</v>
      </c>
      <c r="BK11" s="2">
        <f t="shared" si="8"/>
        <v>885.35088093169804</v>
      </c>
      <c r="BL11" s="2">
        <f t="shared" si="8"/>
        <v>911.91140735964905</v>
      </c>
      <c r="BM11" s="2">
        <f t="shared" si="8"/>
        <v>939.26874958043857</v>
      </c>
      <c r="BN11" s="2">
        <f t="shared" si="8"/>
        <v>967.44681206785174</v>
      </c>
      <c r="BO11" s="2">
        <f t="shared" si="8"/>
        <v>996.47021642988727</v>
      </c>
      <c r="BP11" s="2">
        <f t="shared" si="8"/>
        <v>1026.3643229227839</v>
      </c>
      <c r="BQ11" s="2">
        <f t="shared" si="8"/>
        <v>1057.1552526104674</v>
      </c>
      <c r="BR11" s="2">
        <f t="shared" si="8"/>
        <v>1088.8699101887814</v>
      </c>
      <c r="BS11" s="2">
        <f t="shared" si="8"/>
        <v>1121.5360074944449</v>
      </c>
      <c r="BT11" s="2">
        <f t="shared" si="8"/>
        <v>1155.1820877192783</v>
      </c>
      <c r="BU11" s="2">
        <f t="shared" si="8"/>
        <v>1189.8375503508566</v>
      </c>
      <c r="BV11" s="2">
        <f t="shared" si="8"/>
        <v>1225.5326768613825</v>
      </c>
      <c r="BW11" s="2">
        <f t="shared" si="8"/>
        <v>1262.2986571672241</v>
      </c>
    </row>
    <row r="12" spans="1:75" x14ac:dyDescent="0.35">
      <c r="C12" s="2"/>
      <c r="D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75" x14ac:dyDescent="0.35">
      <c r="P13" s="2"/>
    </row>
    <row r="14" spans="1:75" x14ac:dyDescent="0.35">
      <c r="A14" s="3" t="s">
        <v>55</v>
      </c>
    </row>
    <row r="15" spans="1:75" x14ac:dyDescent="0.35">
      <c r="C15" s="3">
        <v>2023</v>
      </c>
      <c r="D15" s="3">
        <f>C15+1</f>
        <v>2024</v>
      </c>
      <c r="E15" s="3">
        <f t="shared" ref="E15:AB15" si="9">D15+1</f>
        <v>2025</v>
      </c>
      <c r="F15" s="3">
        <f t="shared" si="9"/>
        <v>2026</v>
      </c>
      <c r="G15" s="3">
        <f t="shared" si="9"/>
        <v>2027</v>
      </c>
      <c r="H15" s="3">
        <f t="shared" si="9"/>
        <v>2028</v>
      </c>
      <c r="I15" s="3">
        <f t="shared" si="9"/>
        <v>2029</v>
      </c>
      <c r="J15" s="3">
        <f t="shared" si="9"/>
        <v>2030</v>
      </c>
      <c r="K15" s="3">
        <f t="shared" si="9"/>
        <v>2031</v>
      </c>
      <c r="L15" s="3">
        <f t="shared" si="9"/>
        <v>2032</v>
      </c>
      <c r="M15" s="3">
        <f t="shared" si="9"/>
        <v>2033</v>
      </c>
      <c r="N15" s="3">
        <f t="shared" si="9"/>
        <v>2034</v>
      </c>
      <c r="O15" s="3">
        <f t="shared" si="9"/>
        <v>2035</v>
      </c>
      <c r="P15" s="3">
        <f t="shared" si="9"/>
        <v>2036</v>
      </c>
      <c r="Q15" s="3">
        <f t="shared" si="9"/>
        <v>2037</v>
      </c>
      <c r="R15" s="3">
        <f t="shared" si="9"/>
        <v>2038</v>
      </c>
      <c r="S15" s="3">
        <f t="shared" si="9"/>
        <v>2039</v>
      </c>
      <c r="T15" s="3">
        <f t="shared" si="9"/>
        <v>2040</v>
      </c>
      <c r="U15" s="3">
        <f t="shared" si="9"/>
        <v>2041</v>
      </c>
      <c r="V15" s="3">
        <f t="shared" si="9"/>
        <v>2042</v>
      </c>
      <c r="W15" s="3">
        <f t="shared" si="9"/>
        <v>2043</v>
      </c>
      <c r="X15" s="3">
        <f t="shared" si="9"/>
        <v>2044</v>
      </c>
      <c r="Y15" s="3">
        <f t="shared" si="9"/>
        <v>2045</v>
      </c>
      <c r="Z15" s="3">
        <f t="shared" si="9"/>
        <v>2046</v>
      </c>
      <c r="AA15" s="3">
        <f t="shared" si="9"/>
        <v>2047</v>
      </c>
      <c r="AB15" s="3">
        <f t="shared" si="9"/>
        <v>2048</v>
      </c>
    </row>
    <row r="16" spans="1:75" x14ac:dyDescent="0.35">
      <c r="A16" t="s">
        <v>33</v>
      </c>
      <c r="C16" s="2">
        <v>0</v>
      </c>
      <c r="D16" s="2"/>
      <c r="E16" s="2">
        <v>100</v>
      </c>
      <c r="F16" s="2">
        <v>300</v>
      </c>
      <c r="G16" s="2">
        <v>600</v>
      </c>
      <c r="H16" s="2">
        <v>800</v>
      </c>
      <c r="I16" s="2">
        <v>1000</v>
      </c>
      <c r="J16" s="2">
        <v>1100</v>
      </c>
      <c r="K16" s="2">
        <v>1250</v>
      </c>
      <c r="L16" s="2">
        <f t="shared" ref="L16:Q16" si="10">K16*0.95</f>
        <v>1187.5</v>
      </c>
      <c r="M16" s="2">
        <f t="shared" si="10"/>
        <v>1128.125</v>
      </c>
      <c r="N16" s="2">
        <f t="shared" si="10"/>
        <v>1071.71875</v>
      </c>
      <c r="O16" s="2">
        <f t="shared" si="10"/>
        <v>1018.1328125</v>
      </c>
      <c r="P16" s="2">
        <f t="shared" si="10"/>
        <v>967.22617187499998</v>
      </c>
      <c r="Q16" s="2">
        <f t="shared" si="10"/>
        <v>918.86486328124988</v>
      </c>
      <c r="R16" s="2">
        <f>Q16*0.65</f>
        <v>597.26216113281248</v>
      </c>
      <c r="S16" s="2">
        <f t="shared" ref="S16:AA16" si="11">R16*0.65</f>
        <v>388.22040473632813</v>
      </c>
      <c r="T16" s="2">
        <f t="shared" si="11"/>
        <v>252.34326307861329</v>
      </c>
      <c r="U16" s="2">
        <f t="shared" si="11"/>
        <v>164.02312100109864</v>
      </c>
      <c r="V16" s="2">
        <f t="shared" si="11"/>
        <v>106.61502865071412</v>
      </c>
      <c r="W16" s="2">
        <f t="shared" si="11"/>
        <v>69.29976862296418</v>
      </c>
      <c r="X16" s="2">
        <f t="shared" si="11"/>
        <v>45.044849604926718</v>
      </c>
      <c r="Y16" s="2">
        <f t="shared" si="11"/>
        <v>29.279152243202368</v>
      </c>
      <c r="Z16" s="2">
        <f t="shared" si="11"/>
        <v>19.03144895808154</v>
      </c>
      <c r="AA16" s="2">
        <f t="shared" si="11"/>
        <v>12.370441822753001</v>
      </c>
      <c r="AB16" s="2">
        <f>AA16*0.65</f>
        <v>8.0407871847894512</v>
      </c>
    </row>
    <row r="17" spans="1:28" x14ac:dyDescent="0.35">
      <c r="A17" t="s">
        <v>34</v>
      </c>
      <c r="B17" s="5">
        <v>0.2</v>
      </c>
      <c r="C17" s="2"/>
      <c r="D17" s="2"/>
      <c r="E17" s="2">
        <f t="shared" ref="E17:AB17" si="12">E16*$B$5</f>
        <v>20</v>
      </c>
      <c r="F17" s="2">
        <f t="shared" si="12"/>
        <v>60</v>
      </c>
      <c r="G17" s="2">
        <f t="shared" si="12"/>
        <v>120</v>
      </c>
      <c r="H17" s="2">
        <f t="shared" si="12"/>
        <v>160</v>
      </c>
      <c r="I17" s="2">
        <f t="shared" si="12"/>
        <v>200</v>
      </c>
      <c r="J17" s="2">
        <f t="shared" si="12"/>
        <v>220</v>
      </c>
      <c r="K17" s="2">
        <f t="shared" si="12"/>
        <v>250</v>
      </c>
      <c r="L17" s="2">
        <f t="shared" si="12"/>
        <v>237.5</v>
      </c>
      <c r="M17" s="2">
        <f t="shared" si="12"/>
        <v>225.625</v>
      </c>
      <c r="N17" s="2">
        <f t="shared" si="12"/>
        <v>214.34375</v>
      </c>
      <c r="O17" s="2">
        <f t="shared" si="12"/>
        <v>203.62656250000001</v>
      </c>
      <c r="P17" s="2">
        <f t="shared" si="12"/>
        <v>193.44523437500001</v>
      </c>
      <c r="Q17" s="2">
        <f t="shared" si="12"/>
        <v>183.77297265624998</v>
      </c>
      <c r="R17" s="2">
        <f t="shared" si="12"/>
        <v>119.45243222656251</v>
      </c>
      <c r="S17" s="2">
        <f t="shared" si="12"/>
        <v>77.644080947265635</v>
      </c>
      <c r="T17" s="2">
        <f t="shared" si="12"/>
        <v>50.468652615722661</v>
      </c>
      <c r="U17" s="2">
        <f t="shared" si="12"/>
        <v>32.804624200219727</v>
      </c>
      <c r="V17" s="2">
        <f t="shared" si="12"/>
        <v>21.323005730142825</v>
      </c>
      <c r="W17" s="2">
        <f t="shared" si="12"/>
        <v>13.859953724592836</v>
      </c>
      <c r="X17" s="2">
        <f t="shared" si="12"/>
        <v>9.0089699209853435</v>
      </c>
      <c r="Y17" s="2">
        <f t="shared" si="12"/>
        <v>5.8558304486404742</v>
      </c>
      <c r="Z17" s="2">
        <f t="shared" si="12"/>
        <v>3.8062897916163081</v>
      </c>
      <c r="AA17" s="2">
        <f t="shared" si="12"/>
        <v>2.4740883645506004</v>
      </c>
      <c r="AB17" s="2">
        <f t="shared" si="12"/>
        <v>1.6081574369578904</v>
      </c>
    </row>
    <row r="18" spans="1:28" x14ac:dyDescent="0.35">
      <c r="A18" t="s">
        <v>36</v>
      </c>
      <c r="B18" s="5">
        <v>0.3</v>
      </c>
      <c r="C18" s="2"/>
      <c r="D18" s="2"/>
      <c r="E18" s="2">
        <f>E16*$B$6</f>
        <v>30</v>
      </c>
      <c r="F18" s="2">
        <f t="shared" ref="F18:AB18" si="13">F16*$B$6</f>
        <v>90</v>
      </c>
      <c r="G18" s="2">
        <f t="shared" si="13"/>
        <v>180</v>
      </c>
      <c r="H18" s="2">
        <f t="shared" si="13"/>
        <v>240</v>
      </c>
      <c r="I18" s="2">
        <f t="shared" si="13"/>
        <v>300</v>
      </c>
      <c r="J18" s="2">
        <f t="shared" si="13"/>
        <v>330</v>
      </c>
      <c r="K18" s="2">
        <f t="shared" si="13"/>
        <v>375</v>
      </c>
      <c r="L18" s="2">
        <f t="shared" si="13"/>
        <v>356.25</v>
      </c>
      <c r="M18" s="2">
        <f t="shared" si="13"/>
        <v>338.4375</v>
      </c>
      <c r="N18" s="2">
        <f t="shared" si="13"/>
        <v>321.515625</v>
      </c>
      <c r="O18" s="2">
        <f t="shared" si="13"/>
        <v>305.43984374999997</v>
      </c>
      <c r="P18" s="2">
        <f t="shared" si="13"/>
        <v>290.1678515625</v>
      </c>
      <c r="Q18" s="2">
        <f t="shared" si="13"/>
        <v>275.65945898437496</v>
      </c>
      <c r="R18" s="2">
        <f t="shared" si="13"/>
        <v>179.17864833984373</v>
      </c>
      <c r="S18" s="2">
        <f t="shared" si="13"/>
        <v>116.46612142089843</v>
      </c>
      <c r="T18" s="2">
        <f t="shared" si="13"/>
        <v>75.702978923583984</v>
      </c>
      <c r="U18" s="2">
        <f t="shared" si="13"/>
        <v>49.206936300329595</v>
      </c>
      <c r="V18" s="2">
        <f t="shared" si="13"/>
        <v>31.984508595214237</v>
      </c>
      <c r="W18" s="2">
        <f t="shared" si="13"/>
        <v>20.789930586889252</v>
      </c>
      <c r="X18" s="2">
        <f t="shared" si="13"/>
        <v>13.513454881478015</v>
      </c>
      <c r="Y18" s="2">
        <f t="shared" si="13"/>
        <v>8.7837456729607108</v>
      </c>
      <c r="Z18" s="2">
        <f t="shared" si="13"/>
        <v>5.7094346874244621</v>
      </c>
      <c r="AA18" s="2">
        <f t="shared" si="13"/>
        <v>3.7111325468259002</v>
      </c>
      <c r="AB18" s="2">
        <f t="shared" si="13"/>
        <v>2.4122361554368354</v>
      </c>
    </row>
    <row r="19" spans="1:28" x14ac:dyDescent="0.35">
      <c r="A19" t="s">
        <v>35</v>
      </c>
      <c r="C19" s="2"/>
      <c r="D19" s="2">
        <v>20</v>
      </c>
      <c r="E19" s="2">
        <v>10</v>
      </c>
      <c r="F19" s="2">
        <v>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x14ac:dyDescent="0.35">
      <c r="A20" t="s">
        <v>38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x14ac:dyDescent="0.35">
      <c r="A21" t="s">
        <v>39</v>
      </c>
      <c r="C21" s="2"/>
      <c r="D21" s="2"/>
      <c r="E21" s="2">
        <f>E16-E17-E18-E19</f>
        <v>40</v>
      </c>
      <c r="F21" s="2">
        <f t="shared" ref="F21:AB21" si="14">F16-F17-F18-F19</f>
        <v>150</v>
      </c>
      <c r="G21" s="2">
        <f t="shared" si="14"/>
        <v>300</v>
      </c>
      <c r="H21" s="2">
        <f t="shared" si="14"/>
        <v>400</v>
      </c>
      <c r="I21" s="2">
        <f t="shared" si="14"/>
        <v>500</v>
      </c>
      <c r="J21" s="2">
        <f t="shared" si="14"/>
        <v>550</v>
      </c>
      <c r="K21" s="2">
        <f t="shared" si="14"/>
        <v>625</v>
      </c>
      <c r="L21" s="2">
        <f t="shared" si="14"/>
        <v>593.75</v>
      </c>
      <c r="M21" s="2">
        <f t="shared" si="14"/>
        <v>564.0625</v>
      </c>
      <c r="N21" s="2">
        <f t="shared" si="14"/>
        <v>535.859375</v>
      </c>
      <c r="O21" s="2">
        <f t="shared" si="14"/>
        <v>509.06640625000006</v>
      </c>
      <c r="P21" s="2">
        <f t="shared" si="14"/>
        <v>483.61308593749993</v>
      </c>
      <c r="Q21" s="2">
        <f t="shared" si="14"/>
        <v>459.43243164062494</v>
      </c>
      <c r="R21" s="2">
        <f t="shared" si="14"/>
        <v>298.63108056640624</v>
      </c>
      <c r="S21" s="2">
        <f t="shared" si="14"/>
        <v>194.11020236816404</v>
      </c>
      <c r="T21" s="2">
        <f t="shared" si="14"/>
        <v>126.17163153930666</v>
      </c>
      <c r="U21" s="2">
        <f t="shared" si="14"/>
        <v>82.011560500549308</v>
      </c>
      <c r="V21" s="2">
        <f t="shared" si="14"/>
        <v>53.307514325357062</v>
      </c>
      <c r="W21" s="2">
        <f t="shared" si="14"/>
        <v>34.649884311482097</v>
      </c>
      <c r="X21" s="2">
        <f t="shared" si="14"/>
        <v>22.522424802463359</v>
      </c>
      <c r="Y21" s="2">
        <f t="shared" si="14"/>
        <v>14.639576121601182</v>
      </c>
      <c r="Z21" s="2">
        <f t="shared" si="14"/>
        <v>9.5157244790407702</v>
      </c>
      <c r="AA21" s="2">
        <f t="shared" si="14"/>
        <v>6.1852209113765015</v>
      </c>
      <c r="AB21" s="2">
        <f t="shared" si="14"/>
        <v>4.0203935923947256</v>
      </c>
    </row>
    <row r="22" spans="1:28" x14ac:dyDescent="0.35">
      <c r="A22" t="s">
        <v>37</v>
      </c>
      <c r="B22" s="5">
        <v>0.15</v>
      </c>
      <c r="C22" s="2"/>
      <c r="D22" s="2"/>
      <c r="E22" s="2">
        <f t="shared" ref="E22:AB22" si="15">E21*$B$10</f>
        <v>6</v>
      </c>
      <c r="F22" s="2">
        <f t="shared" si="15"/>
        <v>22.5</v>
      </c>
      <c r="G22" s="2">
        <f t="shared" si="15"/>
        <v>45</v>
      </c>
      <c r="H22" s="2">
        <f t="shared" si="15"/>
        <v>60</v>
      </c>
      <c r="I22" s="2">
        <f t="shared" si="15"/>
        <v>75</v>
      </c>
      <c r="J22" s="2">
        <f t="shared" si="15"/>
        <v>82.5</v>
      </c>
      <c r="K22" s="2">
        <f t="shared" si="15"/>
        <v>93.75</v>
      </c>
      <c r="L22" s="2">
        <f t="shared" si="15"/>
        <v>89.0625</v>
      </c>
      <c r="M22" s="2">
        <f t="shared" si="15"/>
        <v>84.609375</v>
      </c>
      <c r="N22" s="2">
        <f t="shared" si="15"/>
        <v>80.37890625</v>
      </c>
      <c r="O22" s="2">
        <f t="shared" si="15"/>
        <v>76.359960937500006</v>
      </c>
      <c r="P22" s="2">
        <f t="shared" si="15"/>
        <v>72.541962890624987</v>
      </c>
      <c r="Q22" s="2">
        <f t="shared" si="15"/>
        <v>68.914864746093741</v>
      </c>
      <c r="R22" s="2">
        <f t="shared" si="15"/>
        <v>44.794662084960933</v>
      </c>
      <c r="S22" s="2">
        <f t="shared" si="15"/>
        <v>29.116530355224604</v>
      </c>
      <c r="T22" s="2">
        <f t="shared" si="15"/>
        <v>18.925744730896</v>
      </c>
      <c r="U22" s="2">
        <f t="shared" si="15"/>
        <v>12.301734075082395</v>
      </c>
      <c r="V22" s="2">
        <f t="shared" si="15"/>
        <v>7.9961271488035592</v>
      </c>
      <c r="W22" s="2">
        <f t="shared" si="15"/>
        <v>5.1974826467223147</v>
      </c>
      <c r="X22" s="2">
        <f t="shared" si="15"/>
        <v>3.3783637203695038</v>
      </c>
      <c r="Y22" s="2">
        <f t="shared" si="15"/>
        <v>2.1959364182401773</v>
      </c>
      <c r="Z22" s="2">
        <f t="shared" si="15"/>
        <v>1.4273586718561155</v>
      </c>
      <c r="AA22" s="2">
        <f t="shared" si="15"/>
        <v>0.92778313670647516</v>
      </c>
      <c r="AB22" s="2">
        <f t="shared" si="15"/>
        <v>0.60305903885920886</v>
      </c>
    </row>
    <row r="23" spans="1:28" x14ac:dyDescent="0.35">
      <c r="A23" t="s">
        <v>43</v>
      </c>
      <c r="C23" s="2"/>
      <c r="D23" s="2"/>
      <c r="E23" s="2">
        <f t="shared" ref="E23:AB23" si="16">E21-E22</f>
        <v>34</v>
      </c>
      <c r="F23" s="2">
        <f t="shared" si="16"/>
        <v>127.5</v>
      </c>
      <c r="G23" s="2">
        <f t="shared" si="16"/>
        <v>255</v>
      </c>
      <c r="H23" s="2">
        <f t="shared" si="16"/>
        <v>340</v>
      </c>
      <c r="I23" s="2">
        <f t="shared" si="16"/>
        <v>425</v>
      </c>
      <c r="J23" s="2">
        <f t="shared" si="16"/>
        <v>467.5</v>
      </c>
      <c r="K23" s="2">
        <f t="shared" si="16"/>
        <v>531.25</v>
      </c>
      <c r="L23" s="2">
        <f t="shared" si="16"/>
        <v>504.6875</v>
      </c>
      <c r="M23" s="2">
        <f t="shared" si="16"/>
        <v>479.453125</v>
      </c>
      <c r="N23" s="2">
        <f t="shared" si="16"/>
        <v>455.48046875</v>
      </c>
      <c r="O23" s="2">
        <f t="shared" si="16"/>
        <v>432.70644531250002</v>
      </c>
      <c r="P23" s="2">
        <f t="shared" si="16"/>
        <v>411.07112304687496</v>
      </c>
      <c r="Q23" s="2">
        <f t="shared" si="16"/>
        <v>390.51756689453123</v>
      </c>
      <c r="R23" s="2">
        <f t="shared" si="16"/>
        <v>253.83641848144532</v>
      </c>
      <c r="S23" s="2">
        <f t="shared" si="16"/>
        <v>164.99367201293944</v>
      </c>
      <c r="T23" s="2">
        <f t="shared" si="16"/>
        <v>107.24588680841066</v>
      </c>
      <c r="U23" s="2">
        <f t="shared" si="16"/>
        <v>69.709826425466915</v>
      </c>
      <c r="V23" s="2">
        <f t="shared" si="16"/>
        <v>45.311387176553502</v>
      </c>
      <c r="W23" s="2">
        <f t="shared" si="16"/>
        <v>29.452401664759783</v>
      </c>
      <c r="X23" s="2">
        <f t="shared" si="16"/>
        <v>19.144061082093856</v>
      </c>
      <c r="Y23" s="2">
        <f t="shared" si="16"/>
        <v>12.443639703361004</v>
      </c>
      <c r="Z23" s="2">
        <f t="shared" si="16"/>
        <v>8.0883658071846547</v>
      </c>
      <c r="AA23" s="2">
        <f t="shared" si="16"/>
        <v>5.2574377746700263</v>
      </c>
      <c r="AB23" s="2">
        <f t="shared" si="16"/>
        <v>3.4173345535355169</v>
      </c>
    </row>
    <row r="25" spans="1:28" x14ac:dyDescent="0.35">
      <c r="S25" s="3" t="s">
        <v>51</v>
      </c>
      <c r="V25" s="3" t="s">
        <v>50</v>
      </c>
    </row>
    <row r="26" spans="1:28" x14ac:dyDescent="0.35">
      <c r="S26" t="s">
        <v>49</v>
      </c>
      <c r="T26" s="6">
        <v>0.1</v>
      </c>
      <c r="V26" t="s">
        <v>49</v>
      </c>
      <c r="W26" s="6">
        <v>0.1</v>
      </c>
    </row>
    <row r="27" spans="1:28" x14ac:dyDescent="0.35">
      <c r="S27" t="s">
        <v>48</v>
      </c>
      <c r="T27" s="7">
        <f>NPV(T26,E11:BW11)</f>
        <v>3354.1008685294787</v>
      </c>
      <c r="V27" t="s">
        <v>48</v>
      </c>
      <c r="W27" s="7">
        <f>NPV(W26,E23:AB23)</f>
        <v>2533.5249591149959</v>
      </c>
    </row>
    <row r="29" spans="1:28" x14ac:dyDescent="0.35">
      <c r="S29" t="s">
        <v>52</v>
      </c>
      <c r="T29">
        <v>67.2</v>
      </c>
      <c r="V29" t="s">
        <v>52</v>
      </c>
      <c r="W29">
        <v>67.2</v>
      </c>
    </row>
    <row r="30" spans="1:28" x14ac:dyDescent="0.35">
      <c r="S30" t="s">
        <v>53</v>
      </c>
      <c r="T30" s="7">
        <f>T27/T29</f>
        <v>49.912215305498194</v>
      </c>
      <c r="V30" t="s">
        <v>53</v>
      </c>
      <c r="W30" s="7">
        <f>W27/W29</f>
        <v>37.701264272544577</v>
      </c>
    </row>
    <row r="33" spans="1:28" x14ac:dyDescent="0.35">
      <c r="A33" s="3" t="s">
        <v>56</v>
      </c>
      <c r="D33" t="s">
        <v>73</v>
      </c>
      <c r="G33" t="s">
        <v>66</v>
      </c>
      <c r="I33" t="s">
        <v>72</v>
      </c>
    </row>
    <row r="34" spans="1:28" x14ac:dyDescent="0.35">
      <c r="C34" s="3">
        <v>2023</v>
      </c>
      <c r="D34" s="3">
        <f t="shared" ref="D34:AB34" si="17">C34+1</f>
        <v>2024</v>
      </c>
      <c r="E34" s="3">
        <f t="shared" si="17"/>
        <v>2025</v>
      </c>
      <c r="F34" s="3">
        <f t="shared" si="17"/>
        <v>2026</v>
      </c>
      <c r="G34" s="3">
        <f t="shared" si="17"/>
        <v>2027</v>
      </c>
      <c r="H34" s="3">
        <f t="shared" si="17"/>
        <v>2028</v>
      </c>
      <c r="I34" s="3">
        <f t="shared" si="17"/>
        <v>2029</v>
      </c>
      <c r="J34" s="3">
        <f t="shared" si="17"/>
        <v>2030</v>
      </c>
      <c r="K34" s="3">
        <f t="shared" si="17"/>
        <v>2031</v>
      </c>
      <c r="L34" s="3">
        <f t="shared" si="17"/>
        <v>2032</v>
      </c>
      <c r="M34" s="3">
        <f t="shared" si="17"/>
        <v>2033</v>
      </c>
      <c r="N34" s="3">
        <f t="shared" si="17"/>
        <v>2034</v>
      </c>
      <c r="O34" s="3">
        <f t="shared" si="17"/>
        <v>2035</v>
      </c>
      <c r="P34" s="3">
        <f t="shared" si="17"/>
        <v>2036</v>
      </c>
      <c r="Q34" s="3">
        <f t="shared" si="17"/>
        <v>2037</v>
      </c>
      <c r="R34" s="3">
        <f t="shared" si="17"/>
        <v>2038</v>
      </c>
      <c r="S34" s="3">
        <f t="shared" si="17"/>
        <v>2039</v>
      </c>
      <c r="T34" s="3">
        <f t="shared" si="17"/>
        <v>2040</v>
      </c>
      <c r="U34" s="3">
        <f t="shared" si="17"/>
        <v>2041</v>
      </c>
      <c r="V34" s="3">
        <f t="shared" si="17"/>
        <v>2042</v>
      </c>
      <c r="W34" s="3">
        <f t="shared" si="17"/>
        <v>2043</v>
      </c>
      <c r="X34" s="3">
        <f t="shared" si="17"/>
        <v>2044</v>
      </c>
      <c r="Y34" s="3">
        <f t="shared" si="17"/>
        <v>2045</v>
      </c>
      <c r="Z34" s="3">
        <f t="shared" si="17"/>
        <v>2046</v>
      </c>
      <c r="AA34" s="3">
        <f t="shared" si="17"/>
        <v>2047</v>
      </c>
      <c r="AB34" s="3">
        <f t="shared" si="17"/>
        <v>2048</v>
      </c>
    </row>
    <row r="35" spans="1:28" x14ac:dyDescent="0.35">
      <c r="A35" t="s">
        <v>33</v>
      </c>
      <c r="C35" s="2">
        <v>0</v>
      </c>
      <c r="D35" s="2">
        <v>10</v>
      </c>
      <c r="E35" s="2">
        <v>20</v>
      </c>
      <c r="F35" s="2">
        <v>35</v>
      </c>
      <c r="G35" s="2">
        <v>80</v>
      </c>
      <c r="H35" s="2">
        <f>G35*1.4</f>
        <v>112</v>
      </c>
      <c r="I35" s="2">
        <f>H35*1.4</f>
        <v>156.79999999999998</v>
      </c>
      <c r="J35" s="2">
        <f>I35*1.4</f>
        <v>219.51999999999995</v>
      </c>
      <c r="K35" s="2">
        <f>J35*1.4</f>
        <v>307.32799999999992</v>
      </c>
      <c r="L35" s="2">
        <f>K35*0.97</f>
        <v>298.10815999999988</v>
      </c>
      <c r="M35" s="2">
        <f t="shared" ref="M35:S35" si="18">L35*0.97</f>
        <v>289.16491519999988</v>
      </c>
      <c r="N35" s="2">
        <f t="shared" si="18"/>
        <v>280.4899677439999</v>
      </c>
      <c r="O35" s="2">
        <f t="shared" si="18"/>
        <v>272.07526871167988</v>
      </c>
      <c r="P35" s="2">
        <f t="shared" si="18"/>
        <v>263.91301065032945</v>
      </c>
      <c r="Q35" s="2">
        <f t="shared" si="18"/>
        <v>255.99562033081958</v>
      </c>
      <c r="R35" s="2">
        <f t="shared" si="18"/>
        <v>248.31575172089498</v>
      </c>
      <c r="S35" s="2">
        <f t="shared" si="18"/>
        <v>240.86627916926813</v>
      </c>
      <c r="T35" s="2">
        <f>S35*0.65</f>
        <v>156.56308146002428</v>
      </c>
      <c r="U35" s="2">
        <f t="shared" ref="U35:AB35" si="19">T35*0.65</f>
        <v>101.76600294901579</v>
      </c>
      <c r="V35" s="2">
        <f t="shared" si="19"/>
        <v>66.147901916860263</v>
      </c>
      <c r="W35" s="2">
        <f t="shared" si="19"/>
        <v>42.996136245959171</v>
      </c>
      <c r="X35" s="2">
        <f t="shared" si="19"/>
        <v>27.947488559873463</v>
      </c>
      <c r="Y35" s="2">
        <f t="shared" si="19"/>
        <v>18.16586756391775</v>
      </c>
      <c r="Z35" s="2">
        <f t="shared" si="19"/>
        <v>11.807813916546538</v>
      </c>
      <c r="AA35" s="2">
        <f t="shared" si="19"/>
        <v>7.6750790457552496</v>
      </c>
      <c r="AB35" s="2">
        <f t="shared" si="19"/>
        <v>4.9888013797409121</v>
      </c>
    </row>
    <row r="36" spans="1:28" x14ac:dyDescent="0.35">
      <c r="A36" t="s">
        <v>34</v>
      </c>
      <c r="B36" s="6">
        <v>0.15</v>
      </c>
      <c r="C36" s="2"/>
      <c r="D36" s="2">
        <f>D35*0.15</f>
        <v>1.5</v>
      </c>
      <c r="E36" s="2">
        <f t="shared" ref="E36:AB36" si="20">E35*0.15</f>
        <v>3</v>
      </c>
      <c r="F36" s="2">
        <f t="shared" si="20"/>
        <v>5.25</v>
      </c>
      <c r="G36" s="2">
        <f t="shared" si="20"/>
        <v>12</v>
      </c>
      <c r="H36" s="2">
        <f t="shared" si="20"/>
        <v>16.8</v>
      </c>
      <c r="I36" s="2">
        <f t="shared" si="20"/>
        <v>23.519999999999996</v>
      </c>
      <c r="J36" s="2">
        <f t="shared" si="20"/>
        <v>32.92799999999999</v>
      </c>
      <c r="K36" s="2">
        <f t="shared" si="20"/>
        <v>46.099199999999989</v>
      </c>
      <c r="L36" s="2">
        <f t="shared" si="20"/>
        <v>44.716223999999983</v>
      </c>
      <c r="M36" s="2">
        <f t="shared" si="20"/>
        <v>43.374737279999984</v>
      </c>
      <c r="N36" s="2">
        <f t="shared" si="20"/>
        <v>42.073495161599986</v>
      </c>
      <c r="O36" s="2">
        <f t="shared" si="20"/>
        <v>40.811290306751978</v>
      </c>
      <c r="P36" s="2">
        <f t="shared" si="20"/>
        <v>39.586951597549415</v>
      </c>
      <c r="Q36" s="2">
        <f t="shared" si="20"/>
        <v>38.399343049622935</v>
      </c>
      <c r="R36" s="2">
        <f t="shared" si="20"/>
        <v>37.247362758134244</v>
      </c>
      <c r="S36" s="2">
        <f t="shared" si="20"/>
        <v>36.129941875390216</v>
      </c>
      <c r="T36" s="2">
        <f t="shared" si="20"/>
        <v>23.484462219003643</v>
      </c>
      <c r="U36" s="2">
        <f t="shared" si="20"/>
        <v>15.264900442352367</v>
      </c>
      <c r="V36" s="2">
        <f t="shared" si="20"/>
        <v>9.9221852875290395</v>
      </c>
      <c r="W36" s="2">
        <f t="shared" si="20"/>
        <v>6.4494204368938757</v>
      </c>
      <c r="X36" s="2">
        <f t="shared" si="20"/>
        <v>4.1921232839810196</v>
      </c>
      <c r="Y36" s="2">
        <f t="shared" si="20"/>
        <v>2.7248801345876625</v>
      </c>
      <c r="Z36" s="2">
        <f t="shared" si="20"/>
        <v>1.7711720874819805</v>
      </c>
      <c r="AA36" s="2">
        <f t="shared" si="20"/>
        <v>1.1512618568632873</v>
      </c>
      <c r="AB36" s="2">
        <f t="shared" si="20"/>
        <v>0.74832020696113677</v>
      </c>
    </row>
    <row r="37" spans="1:28" x14ac:dyDescent="0.35">
      <c r="A37" t="s">
        <v>36</v>
      </c>
      <c r="B37" s="6">
        <v>0.2</v>
      </c>
      <c r="C37" s="2"/>
      <c r="D37" s="2">
        <f>D35*0.2</f>
        <v>2</v>
      </c>
      <c r="E37" s="2">
        <f t="shared" ref="E37:AB37" si="21">E35*0.2</f>
        <v>4</v>
      </c>
      <c r="F37" s="2">
        <f t="shared" si="21"/>
        <v>7</v>
      </c>
      <c r="G37" s="2">
        <f t="shared" si="21"/>
        <v>16</v>
      </c>
      <c r="H37" s="2">
        <f t="shared" si="21"/>
        <v>22.400000000000002</v>
      </c>
      <c r="I37" s="2">
        <f t="shared" si="21"/>
        <v>31.36</v>
      </c>
      <c r="J37" s="2">
        <f t="shared" si="21"/>
        <v>43.903999999999996</v>
      </c>
      <c r="K37" s="2">
        <f t="shared" si="21"/>
        <v>61.465599999999988</v>
      </c>
      <c r="L37" s="2">
        <f t="shared" si="21"/>
        <v>59.621631999999977</v>
      </c>
      <c r="M37" s="2">
        <f t="shared" si="21"/>
        <v>57.832983039999981</v>
      </c>
      <c r="N37" s="2">
        <f t="shared" si="21"/>
        <v>56.097993548799984</v>
      </c>
      <c r="O37" s="2">
        <f t="shared" si="21"/>
        <v>54.415053742335978</v>
      </c>
      <c r="P37" s="2">
        <f t="shared" si="21"/>
        <v>52.782602130065897</v>
      </c>
      <c r="Q37" s="2">
        <f t="shared" si="21"/>
        <v>51.199124066163918</v>
      </c>
      <c r="R37" s="2">
        <f t="shared" si="21"/>
        <v>49.663150344179002</v>
      </c>
      <c r="S37" s="2">
        <f t="shared" si="21"/>
        <v>48.173255833853631</v>
      </c>
      <c r="T37" s="2">
        <f t="shared" si="21"/>
        <v>31.312616292004858</v>
      </c>
      <c r="U37" s="2">
        <f t="shared" si="21"/>
        <v>20.353200589803158</v>
      </c>
      <c r="V37" s="2">
        <f t="shared" si="21"/>
        <v>13.229580383372053</v>
      </c>
      <c r="W37" s="2">
        <f t="shared" si="21"/>
        <v>8.5992272491918342</v>
      </c>
      <c r="X37" s="2">
        <f t="shared" si="21"/>
        <v>5.5894977119746931</v>
      </c>
      <c r="Y37" s="2">
        <f t="shared" si="21"/>
        <v>3.6331735127835501</v>
      </c>
      <c r="Z37" s="2">
        <f t="shared" si="21"/>
        <v>2.3615627833093078</v>
      </c>
      <c r="AA37" s="2">
        <f t="shared" si="21"/>
        <v>1.53501580915105</v>
      </c>
      <c r="AB37" s="2">
        <f t="shared" si="21"/>
        <v>0.99776027594818251</v>
      </c>
    </row>
    <row r="38" spans="1:28" x14ac:dyDescent="0.35">
      <c r="A38" t="s">
        <v>35</v>
      </c>
      <c r="C38" s="2"/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</row>
    <row r="39" spans="1:28" x14ac:dyDescent="0.35">
      <c r="A39" t="s">
        <v>38</v>
      </c>
      <c r="C39" s="2"/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</row>
    <row r="40" spans="1:28" x14ac:dyDescent="0.35">
      <c r="A40" t="s">
        <v>39</v>
      </c>
      <c r="C40" s="2"/>
      <c r="D40" s="2">
        <f>D35-D36-D37</f>
        <v>6.5</v>
      </c>
      <c r="E40" s="2">
        <f t="shared" ref="E40:AB40" si="22">E35-E36-E37</f>
        <v>13</v>
      </c>
      <c r="F40" s="2">
        <f t="shared" si="22"/>
        <v>22.75</v>
      </c>
      <c r="G40" s="2">
        <f t="shared" si="22"/>
        <v>52</v>
      </c>
      <c r="H40" s="2">
        <f t="shared" si="22"/>
        <v>72.8</v>
      </c>
      <c r="I40" s="2">
        <f t="shared" si="22"/>
        <v>101.91999999999997</v>
      </c>
      <c r="J40" s="2">
        <f t="shared" si="22"/>
        <v>142.68799999999996</v>
      </c>
      <c r="K40" s="2">
        <f t="shared" si="22"/>
        <v>199.76319999999993</v>
      </c>
      <c r="L40" s="2">
        <f t="shared" si="22"/>
        <v>193.77030399999992</v>
      </c>
      <c r="M40" s="2">
        <f t="shared" si="22"/>
        <v>187.95719487999992</v>
      </c>
      <c r="N40" s="2">
        <f t="shared" si="22"/>
        <v>182.31847903359991</v>
      </c>
      <c r="O40" s="2">
        <f t="shared" si="22"/>
        <v>176.84892466259194</v>
      </c>
      <c r="P40" s="2">
        <f t="shared" si="22"/>
        <v>171.54345692271414</v>
      </c>
      <c r="Q40" s="2">
        <f t="shared" si="22"/>
        <v>166.39715321503274</v>
      </c>
      <c r="R40" s="2">
        <f t="shared" si="22"/>
        <v>161.40523861858173</v>
      </c>
      <c r="S40" s="2">
        <f t="shared" si="22"/>
        <v>156.56308146002428</v>
      </c>
      <c r="T40" s="2">
        <f t="shared" si="22"/>
        <v>101.76600294901579</v>
      </c>
      <c r="U40" s="2">
        <f t="shared" si="22"/>
        <v>66.147901916860263</v>
      </c>
      <c r="V40" s="2">
        <f t="shared" si="22"/>
        <v>42.996136245959171</v>
      </c>
      <c r="W40" s="2">
        <f t="shared" si="22"/>
        <v>27.947488559873463</v>
      </c>
      <c r="X40" s="2">
        <f t="shared" si="22"/>
        <v>18.16586756391775</v>
      </c>
      <c r="Y40" s="2">
        <f t="shared" si="22"/>
        <v>11.807813916546538</v>
      </c>
      <c r="Z40" s="2">
        <f t="shared" si="22"/>
        <v>7.6750790457552487</v>
      </c>
      <c r="AA40" s="2">
        <f t="shared" si="22"/>
        <v>4.988801379740913</v>
      </c>
      <c r="AB40" s="2">
        <f t="shared" si="22"/>
        <v>3.2427208968315928</v>
      </c>
    </row>
    <row r="41" spans="1:28" x14ac:dyDescent="0.35">
      <c r="A41" t="s">
        <v>37</v>
      </c>
      <c r="B41" s="6">
        <v>0.15</v>
      </c>
      <c r="C41" s="2"/>
      <c r="D41" s="2">
        <f>D40*0.15</f>
        <v>0.97499999999999998</v>
      </c>
      <c r="E41" s="2">
        <f t="shared" ref="E41:AB41" si="23">E40*0.15</f>
        <v>1.95</v>
      </c>
      <c r="F41" s="2">
        <f t="shared" si="23"/>
        <v>3.4125000000000001</v>
      </c>
      <c r="G41" s="2">
        <f t="shared" si="23"/>
        <v>7.8</v>
      </c>
      <c r="H41" s="2">
        <f t="shared" si="23"/>
        <v>10.92</v>
      </c>
      <c r="I41" s="2">
        <f t="shared" si="23"/>
        <v>15.287999999999995</v>
      </c>
      <c r="J41" s="2">
        <f t="shared" si="23"/>
        <v>21.403199999999995</v>
      </c>
      <c r="K41" s="2">
        <f t="shared" si="23"/>
        <v>29.964479999999988</v>
      </c>
      <c r="L41" s="2">
        <f t="shared" si="23"/>
        <v>29.065545599999986</v>
      </c>
      <c r="M41" s="2">
        <f t="shared" si="23"/>
        <v>28.193579231999987</v>
      </c>
      <c r="N41" s="2">
        <f t="shared" si="23"/>
        <v>27.347771855039987</v>
      </c>
      <c r="O41" s="2">
        <f t="shared" si="23"/>
        <v>26.527338699388789</v>
      </c>
      <c r="P41" s="2">
        <f t="shared" si="23"/>
        <v>25.731518538407119</v>
      </c>
      <c r="Q41" s="2">
        <f t="shared" si="23"/>
        <v>24.959572982254912</v>
      </c>
      <c r="R41" s="2">
        <f t="shared" si="23"/>
        <v>24.210785792787259</v>
      </c>
      <c r="S41" s="2">
        <f t="shared" si="23"/>
        <v>23.484462219003643</v>
      </c>
      <c r="T41" s="2">
        <f t="shared" si="23"/>
        <v>15.264900442352367</v>
      </c>
      <c r="U41" s="2">
        <f t="shared" si="23"/>
        <v>9.9221852875290395</v>
      </c>
      <c r="V41" s="2">
        <f t="shared" si="23"/>
        <v>6.4494204368938757</v>
      </c>
      <c r="W41" s="2">
        <f t="shared" si="23"/>
        <v>4.1921232839810196</v>
      </c>
      <c r="X41" s="2">
        <f t="shared" si="23"/>
        <v>2.7248801345876625</v>
      </c>
      <c r="Y41" s="2">
        <f t="shared" si="23"/>
        <v>1.7711720874819805</v>
      </c>
      <c r="Z41" s="2">
        <f t="shared" si="23"/>
        <v>1.1512618568632873</v>
      </c>
      <c r="AA41" s="2">
        <f t="shared" si="23"/>
        <v>0.74832020696113688</v>
      </c>
      <c r="AB41" s="2">
        <f t="shared" si="23"/>
        <v>0.48640813452473891</v>
      </c>
    </row>
    <row r="42" spans="1:28" x14ac:dyDescent="0.35">
      <c r="A42" t="s">
        <v>43</v>
      </c>
      <c r="C42" s="2"/>
      <c r="D42" s="2">
        <f>D40-D41</f>
        <v>5.5250000000000004</v>
      </c>
      <c r="E42" s="2">
        <f t="shared" ref="E42:AB42" si="24">E40-E41</f>
        <v>11.05</v>
      </c>
      <c r="F42" s="2">
        <f t="shared" si="24"/>
        <v>19.337499999999999</v>
      </c>
      <c r="G42" s="2">
        <f t="shared" si="24"/>
        <v>44.2</v>
      </c>
      <c r="H42" s="2">
        <f t="shared" si="24"/>
        <v>61.879999999999995</v>
      </c>
      <c r="I42" s="2">
        <f t="shared" si="24"/>
        <v>86.631999999999977</v>
      </c>
      <c r="J42" s="2">
        <f t="shared" si="24"/>
        <v>121.28479999999996</v>
      </c>
      <c r="K42" s="2">
        <f t="shared" si="24"/>
        <v>169.79871999999995</v>
      </c>
      <c r="L42" s="2">
        <f t="shared" si="24"/>
        <v>164.70475839999995</v>
      </c>
      <c r="M42" s="2">
        <f t="shared" si="24"/>
        <v>159.76361564799993</v>
      </c>
      <c r="N42" s="2">
        <f t="shared" si="24"/>
        <v>154.97070717855993</v>
      </c>
      <c r="O42" s="2">
        <f t="shared" si="24"/>
        <v>150.32158596320315</v>
      </c>
      <c r="P42" s="2">
        <f t="shared" si="24"/>
        <v>145.81193838430701</v>
      </c>
      <c r="Q42" s="2">
        <f t="shared" si="24"/>
        <v>141.43758023277783</v>
      </c>
      <c r="R42" s="2">
        <f t="shared" si="24"/>
        <v>137.19445282579449</v>
      </c>
      <c r="S42" s="2">
        <f t="shared" si="24"/>
        <v>133.07861924102065</v>
      </c>
      <c r="T42" s="2">
        <f t="shared" si="24"/>
        <v>86.501102506663415</v>
      </c>
      <c r="U42" s="2">
        <f t="shared" si="24"/>
        <v>56.225716629331224</v>
      </c>
      <c r="V42" s="2">
        <f t="shared" si="24"/>
        <v>36.546715809065297</v>
      </c>
      <c r="W42" s="2">
        <f t="shared" si="24"/>
        <v>23.755365275892444</v>
      </c>
      <c r="X42" s="2">
        <f t="shared" si="24"/>
        <v>15.440987429330088</v>
      </c>
      <c r="Y42" s="2">
        <f t="shared" si="24"/>
        <v>10.036641829064557</v>
      </c>
      <c r="Z42" s="2">
        <f t="shared" si="24"/>
        <v>6.5238171888919609</v>
      </c>
      <c r="AA42" s="2">
        <f t="shared" si="24"/>
        <v>4.2404811727797762</v>
      </c>
      <c r="AB42" s="2">
        <f t="shared" si="24"/>
        <v>2.756312762306854</v>
      </c>
    </row>
    <row r="44" spans="1:28" x14ac:dyDescent="0.35">
      <c r="S44" s="3" t="s">
        <v>51</v>
      </c>
    </row>
    <row r="45" spans="1:28" x14ac:dyDescent="0.35">
      <c r="S45" t="s">
        <v>49</v>
      </c>
      <c r="T45" s="6">
        <v>0.1</v>
      </c>
    </row>
    <row r="46" spans="1:28" x14ac:dyDescent="0.35">
      <c r="S46" t="s">
        <v>48</v>
      </c>
      <c r="T46" s="7">
        <f>NPV(T45,D42:AB42)</f>
        <v>704.0602528213708</v>
      </c>
    </row>
    <row r="48" spans="1:28" x14ac:dyDescent="0.35">
      <c r="S48" t="s">
        <v>52</v>
      </c>
      <c r="T48">
        <v>67.2</v>
      </c>
    </row>
    <row r="49" spans="19:20" x14ac:dyDescent="0.35">
      <c r="S49" t="s">
        <v>53</v>
      </c>
      <c r="T49" s="7">
        <f>T46/T48</f>
        <v>10.477087095556113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 n Model </vt:lpstr>
      <vt:lpstr>DCF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soprano</dc:creator>
  <cp:lastModifiedBy>Tony soprano</cp:lastModifiedBy>
  <dcterms:created xsi:type="dcterms:W3CDTF">2024-03-08T01:36:50Z</dcterms:created>
  <dcterms:modified xsi:type="dcterms:W3CDTF">2024-03-20T17:55:06Z</dcterms:modified>
</cp:coreProperties>
</file>