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quanker\Documents\Biotech Analysis\"/>
    </mc:Choice>
  </mc:AlternateContent>
  <xr:revisionPtr revIDLastSave="0" documentId="13_ncr:1_{6BFBB434-B36E-4B80-A166-6C45EF0D19D3}" xr6:coauthVersionLast="47" xr6:coauthVersionMax="47" xr10:uidLastSave="{00000000-0000-0000-0000-000000000000}"/>
  <bookViews>
    <workbookView xWindow="-28920" yWindow="10140" windowWidth="29040" windowHeight="15840" xr2:uid="{E08E4425-E74E-46ED-A5A8-D33167C05B9D}"/>
  </bookViews>
  <sheets>
    <sheet name="Mode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4" i="1" l="1"/>
  <c r="AE42" i="1"/>
  <c r="AE38" i="1"/>
  <c r="AE37" i="1"/>
  <c r="AE44" i="1"/>
  <c r="AE43" i="1"/>
  <c r="AE40" i="1"/>
  <c r="AE39" i="1"/>
  <c r="AE12" i="1"/>
  <c r="AE11" i="1"/>
  <c r="AE9" i="1"/>
  <c r="AE8" i="1"/>
  <c r="AE7" i="1"/>
  <c r="AE6" i="1"/>
  <c r="AE35" i="1"/>
  <c r="AE33" i="1"/>
  <c r="AE30" i="1"/>
  <c r="AE29" i="1"/>
  <c r="AE27" i="1"/>
  <c r="AE26" i="1"/>
  <c r="AE24" i="1"/>
  <c r="AE23" i="1"/>
  <c r="AE20" i="1"/>
  <c r="AE19" i="1"/>
  <c r="AE21" i="1" s="1"/>
  <c r="S14" i="1"/>
  <c r="U45" i="1"/>
  <c r="V45" i="1"/>
  <c r="W45" i="1"/>
  <c r="T45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B40" i="1"/>
  <c r="AC40" i="1"/>
  <c r="K33" i="1"/>
  <c r="P42" i="1"/>
  <c r="O42" i="1"/>
  <c r="Q42" i="1"/>
  <c r="R42" i="1"/>
  <c r="S42" i="1"/>
  <c r="AD42" i="1"/>
  <c r="AD40" i="1"/>
  <c r="W23" i="1"/>
  <c r="O24" i="1"/>
  <c r="O23" i="1"/>
  <c r="O22" i="1"/>
  <c r="O20" i="1"/>
  <c r="O21" i="1" s="1"/>
  <c r="O37" i="1" s="1"/>
  <c r="O7" i="1"/>
  <c r="O6" i="1"/>
  <c r="L21" i="1"/>
  <c r="L37" i="1" s="1"/>
  <c r="N12" i="1"/>
  <c r="M12" i="1"/>
  <c r="L12" i="1"/>
  <c r="J12" i="1"/>
  <c r="I12" i="1"/>
  <c r="G12" i="1"/>
  <c r="H12" i="1"/>
  <c r="G21" i="1"/>
  <c r="H21" i="1"/>
  <c r="I21" i="1"/>
  <c r="J21" i="1"/>
  <c r="G27" i="1"/>
  <c r="H27" i="1"/>
  <c r="I27" i="1"/>
  <c r="J27" i="1"/>
  <c r="S26" i="1"/>
  <c r="S24" i="1"/>
  <c r="S23" i="1"/>
  <c r="S22" i="1"/>
  <c r="S20" i="1"/>
  <c r="W29" i="1"/>
  <c r="W26" i="1"/>
  <c r="W24" i="1"/>
  <c r="W22" i="1"/>
  <c r="W20" i="1"/>
  <c r="W21" i="1" s="1"/>
  <c r="W37" i="1" s="1"/>
  <c r="R29" i="1"/>
  <c r="Q29" i="1"/>
  <c r="L27" i="1"/>
  <c r="M27" i="1"/>
  <c r="N27" i="1"/>
  <c r="P27" i="1"/>
  <c r="Q27" i="1"/>
  <c r="R27" i="1"/>
  <c r="T27" i="1"/>
  <c r="U27" i="1"/>
  <c r="V27" i="1"/>
  <c r="X27" i="1"/>
  <c r="Y27" i="1"/>
  <c r="Z27" i="1"/>
  <c r="AB27" i="1"/>
  <c r="AD27" i="1"/>
  <c r="T21" i="1"/>
  <c r="T37" i="1" s="1"/>
  <c r="P29" i="1"/>
  <c r="V21" i="1"/>
  <c r="V37" i="1" s="1"/>
  <c r="U21" i="1"/>
  <c r="U37" i="1" s="1"/>
  <c r="S21" i="1"/>
  <c r="S37" i="1" s="1"/>
  <c r="R21" i="1"/>
  <c r="R37" i="1" s="1"/>
  <c r="Q21" i="1"/>
  <c r="Q37" i="1" s="1"/>
  <c r="P21" i="1"/>
  <c r="P37" i="1" s="1"/>
  <c r="N21" i="1"/>
  <c r="N37" i="1" s="1"/>
  <c r="M21" i="1"/>
  <c r="M37" i="1" s="1"/>
  <c r="O12" i="1" l="1"/>
  <c r="W27" i="1"/>
  <c r="T28" i="1"/>
  <c r="S27" i="1"/>
  <c r="S28" i="1" s="1"/>
  <c r="S38" i="1" s="1"/>
  <c r="V28" i="1"/>
  <c r="P28" i="1"/>
  <c r="J28" i="1"/>
  <c r="J30" i="1" s="1"/>
  <c r="L28" i="1"/>
  <c r="S29" i="1"/>
  <c r="H28" i="1"/>
  <c r="H30" i="1" s="1"/>
  <c r="G28" i="1"/>
  <c r="G30" i="1" s="1"/>
  <c r="I28" i="1"/>
  <c r="I30" i="1" s="1"/>
  <c r="U28" i="1"/>
  <c r="O27" i="1"/>
  <c r="O28" i="1" s="1"/>
  <c r="N28" i="1"/>
  <c r="M28" i="1"/>
  <c r="W28" i="1"/>
  <c r="R28" i="1"/>
  <c r="Q28" i="1"/>
  <c r="I33" i="1" l="1"/>
  <c r="I35" i="1" s="1"/>
  <c r="H33" i="1"/>
  <c r="H35" i="1" s="1"/>
  <c r="Q30" i="1"/>
  <c r="Q38" i="1"/>
  <c r="R30" i="1"/>
  <c r="R38" i="1"/>
  <c r="U30" i="1"/>
  <c r="U38" i="1"/>
  <c r="J33" i="1"/>
  <c r="J35" i="1" s="1"/>
  <c r="P30" i="1"/>
  <c r="P33" i="1" s="1"/>
  <c r="P38" i="1"/>
  <c r="T30" i="1"/>
  <c r="T38" i="1"/>
  <c r="G33" i="1"/>
  <c r="G35" i="1" s="1"/>
  <c r="L30" i="1"/>
  <c r="L38" i="1"/>
  <c r="W30" i="1"/>
  <c r="W38" i="1"/>
  <c r="M30" i="1"/>
  <c r="M38" i="1"/>
  <c r="N30" i="1"/>
  <c r="N38" i="1"/>
  <c r="O30" i="1"/>
  <c r="O38" i="1"/>
  <c r="V30" i="1"/>
  <c r="V38" i="1"/>
  <c r="S30" i="1"/>
  <c r="L33" i="1" l="1"/>
  <c r="L39" i="1" s="1"/>
  <c r="Q33" i="1"/>
  <c r="Q39" i="1" s="1"/>
  <c r="R33" i="1"/>
  <c r="R39" i="1" s="1"/>
  <c r="U33" i="1"/>
  <c r="U39" i="1" s="1"/>
  <c r="M33" i="1"/>
  <c r="M39" i="1" s="1"/>
  <c r="W33" i="1"/>
  <c r="W39" i="1" s="1"/>
  <c r="S33" i="1"/>
  <c r="S39" i="1" s="1"/>
  <c r="O33" i="1"/>
  <c r="O39" i="1" s="1"/>
  <c r="T33" i="1"/>
  <c r="T39" i="1" s="1"/>
  <c r="N33" i="1"/>
  <c r="N39" i="1" s="1"/>
  <c r="P39" i="1"/>
  <c r="P35" i="1"/>
  <c r="V33" i="1"/>
  <c r="V39" i="1" s="1"/>
  <c r="T42" i="1"/>
  <c r="U42" i="1"/>
  <c r="V42" i="1"/>
  <c r="W42" i="1"/>
  <c r="X42" i="1"/>
  <c r="Y42" i="1"/>
  <c r="Z42" i="1"/>
  <c r="AC42" i="1"/>
  <c r="AB42" i="1"/>
  <c r="AD29" i="1"/>
  <c r="Z29" i="1"/>
  <c r="AA29" i="1" s="1"/>
  <c r="AC29" i="1"/>
  <c r="AB29" i="1"/>
  <c r="AA24" i="1"/>
  <c r="AA23" i="1"/>
  <c r="AA22" i="1"/>
  <c r="Z21" i="1"/>
  <c r="AA20" i="1"/>
  <c r="AA19" i="1"/>
  <c r="AA40" i="1" s="1"/>
  <c r="W14" i="1"/>
  <c r="AA10" i="1"/>
  <c r="AA7" i="1"/>
  <c r="AA6" i="1"/>
  <c r="AD21" i="1"/>
  <c r="AD37" i="1" s="1"/>
  <c r="Z9" i="1"/>
  <c r="AA9" i="1" s="1"/>
  <c r="Z8" i="1"/>
  <c r="AD11" i="1"/>
  <c r="AD8" i="1"/>
  <c r="AD43" i="1" s="1"/>
  <c r="AC22" i="1"/>
  <c r="AC21" i="1"/>
  <c r="AC37" i="1" s="1"/>
  <c r="Y21" i="1"/>
  <c r="AC11" i="1"/>
  <c r="AC8" i="1"/>
  <c r="Y11" i="1"/>
  <c r="Y8" i="1"/>
  <c r="AB11" i="1"/>
  <c r="AB8" i="1"/>
  <c r="X11" i="1"/>
  <c r="X8" i="1"/>
  <c r="X21" i="1"/>
  <c r="AB21" i="1"/>
  <c r="AJ4" i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P11" i="1"/>
  <c r="P17" i="1" s="1"/>
  <c r="P8" i="1"/>
  <c r="S11" i="1"/>
  <c r="S17" i="1" s="1"/>
  <c r="Q8" i="1"/>
  <c r="R8" i="1"/>
  <c r="S8" i="1"/>
  <c r="T8" i="1"/>
  <c r="U8" i="1"/>
  <c r="V11" i="1"/>
  <c r="V17" i="1" s="1"/>
  <c r="Q11" i="1"/>
  <c r="Q17" i="1" s="1"/>
  <c r="R11" i="1"/>
  <c r="R17" i="1" s="1"/>
  <c r="T11" i="1"/>
  <c r="T17" i="1" s="1"/>
  <c r="U11" i="1"/>
  <c r="V8" i="1"/>
  <c r="W11" i="1"/>
  <c r="W8" i="1"/>
  <c r="W44" i="1" l="1"/>
  <c r="W17" i="1"/>
  <c r="AC27" i="1"/>
  <c r="AC28" i="1" s="1"/>
  <c r="AC38" i="1" s="1"/>
  <c r="AE22" i="1"/>
  <c r="AE28" i="1" s="1"/>
  <c r="U44" i="1"/>
  <c r="U17" i="1"/>
  <c r="X17" i="1"/>
  <c r="N35" i="1"/>
  <c r="M35" i="1"/>
  <c r="W15" i="1"/>
  <c r="AA13" i="1" s="1"/>
  <c r="V15" i="1"/>
  <c r="Z13" i="1" s="1"/>
  <c r="U15" i="1"/>
  <c r="Y13" i="1" s="1"/>
  <c r="Y17" i="1" s="1"/>
  <c r="T15" i="1"/>
  <c r="X13" i="1" s="1"/>
  <c r="AB43" i="1"/>
  <c r="AB44" i="1"/>
  <c r="Y43" i="1"/>
  <c r="T43" i="1"/>
  <c r="Y44" i="1"/>
  <c r="W43" i="1"/>
  <c r="U35" i="1"/>
  <c r="T35" i="1"/>
  <c r="R35" i="1"/>
  <c r="V43" i="1"/>
  <c r="Y28" i="1"/>
  <c r="Y38" i="1" s="1"/>
  <c r="Y37" i="1"/>
  <c r="T44" i="1"/>
  <c r="AB28" i="1"/>
  <c r="AB38" i="1" s="1"/>
  <c r="AB37" i="1"/>
  <c r="Z28" i="1"/>
  <c r="Z38" i="1" s="1"/>
  <c r="Z37" i="1"/>
  <c r="W35" i="1"/>
  <c r="O35" i="1"/>
  <c r="Q35" i="1"/>
  <c r="AC43" i="1"/>
  <c r="AC44" i="1"/>
  <c r="X28" i="1"/>
  <c r="X38" i="1" s="1"/>
  <c r="X37" i="1"/>
  <c r="X43" i="1"/>
  <c r="AA16" i="1"/>
  <c r="W16" i="1"/>
  <c r="V44" i="1"/>
  <c r="U43" i="1"/>
  <c r="X44" i="1"/>
  <c r="Z43" i="1"/>
  <c r="S35" i="1"/>
  <c r="L35" i="1"/>
  <c r="V35" i="1"/>
  <c r="AA27" i="1"/>
  <c r="AA21" i="1"/>
  <c r="Y30" i="1"/>
  <c r="AD12" i="1"/>
  <c r="AA42" i="1"/>
  <c r="AB12" i="1"/>
  <c r="AD28" i="1"/>
  <c r="Z11" i="1"/>
  <c r="AA8" i="1"/>
  <c r="AA43" i="1" s="1"/>
  <c r="Y12" i="1"/>
  <c r="AC12" i="1"/>
  <c r="X12" i="1"/>
  <c r="AA11" i="1"/>
  <c r="P12" i="1"/>
  <c r="V12" i="1"/>
  <c r="W12" i="1"/>
  <c r="U12" i="1"/>
  <c r="T12" i="1"/>
  <c r="Q12" i="1"/>
  <c r="R12" i="1"/>
  <c r="S12" i="1"/>
  <c r="Z17" i="1" l="1"/>
  <c r="AD44" i="1"/>
  <c r="AA17" i="1"/>
  <c r="AC30" i="1"/>
  <c r="Z30" i="1"/>
  <c r="Z33" i="1" s="1"/>
  <c r="Z39" i="1" s="1"/>
  <c r="AA28" i="1"/>
  <c r="AA37" i="1"/>
  <c r="AC33" i="1"/>
  <c r="AC39" i="1" s="1"/>
  <c r="AB30" i="1"/>
  <c r="AD30" i="1"/>
  <c r="AD38" i="1"/>
  <c r="Y33" i="1"/>
  <c r="Y39" i="1" s="1"/>
  <c r="X30" i="1"/>
  <c r="Z12" i="1"/>
  <c r="Z44" i="1"/>
  <c r="AA12" i="1"/>
  <c r="AD33" i="1" l="1"/>
  <c r="AD39" i="1" s="1"/>
  <c r="X33" i="1"/>
  <c r="X39" i="1" s="1"/>
  <c r="AC35" i="1"/>
  <c r="Y35" i="1"/>
  <c r="AB33" i="1"/>
  <c r="AB39" i="1" s="1"/>
  <c r="AA38" i="1"/>
  <c r="AA30" i="1"/>
  <c r="Z35" i="1"/>
  <c r="AA33" i="1" l="1"/>
  <c r="AA39" i="1" s="1"/>
  <c r="X35" i="1"/>
  <c r="AB35" i="1"/>
  <c r="AD35" i="1"/>
  <c r="AA35" i="1" l="1"/>
</calcChain>
</file>

<file path=xl/sharedStrings.xml><?xml version="1.0" encoding="utf-8"?>
<sst xmlns="http://schemas.openxmlformats.org/spreadsheetml/2006/main" count="106" uniqueCount="95">
  <si>
    <t xml:space="preserve">Adaptive Biotechnologies </t>
  </si>
  <si>
    <t>Price</t>
  </si>
  <si>
    <t>S/O</t>
  </si>
  <si>
    <t>MC</t>
  </si>
  <si>
    <t>Cash</t>
  </si>
  <si>
    <t>Debt</t>
  </si>
  <si>
    <t>NC</t>
  </si>
  <si>
    <t>EV</t>
  </si>
  <si>
    <t>INCOME STATEMENTS</t>
  </si>
  <si>
    <t>COGS</t>
  </si>
  <si>
    <t>Gross Profit</t>
  </si>
  <si>
    <t>R&amp;D</t>
  </si>
  <si>
    <t>Operating Expenses</t>
  </si>
  <si>
    <t xml:space="preserve">Operating Profit </t>
  </si>
  <si>
    <t xml:space="preserve">Pretax Income </t>
  </si>
  <si>
    <t>Taxes</t>
  </si>
  <si>
    <t xml:space="preserve">Net Income </t>
  </si>
  <si>
    <t>Shares</t>
  </si>
  <si>
    <t>EPS</t>
  </si>
  <si>
    <t>Gross Margin</t>
  </si>
  <si>
    <t>Opeating Margin</t>
  </si>
  <si>
    <t>Net Margin</t>
  </si>
  <si>
    <t xml:space="preserve">Tax rate </t>
  </si>
  <si>
    <t>Revenue Y/Y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</si>
  <si>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</si>
  <si>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</si>
  <si>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</si>
  <si>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</si>
  <si>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</si>
  <si>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</si>
  <si>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</si>
  <si>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</si>
  <si>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</si>
  <si>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</si>
  <si>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</si>
  <si>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Q4422</t>
  </si>
  <si>
    <t>Q123</t>
  </si>
  <si>
    <t>Immune Revenue</t>
  </si>
  <si>
    <t>Sequencing Revenue</t>
  </si>
  <si>
    <t>Development Revenue</t>
  </si>
  <si>
    <t>MRD Revenue</t>
  </si>
  <si>
    <t>Total Revenue</t>
  </si>
  <si>
    <t>REVENUES</t>
  </si>
  <si>
    <t>Vol cSEQ</t>
  </si>
  <si>
    <t>Revenue</t>
  </si>
  <si>
    <t>S&amp;M</t>
  </si>
  <si>
    <t>G&amp;A</t>
  </si>
  <si>
    <t>Q223</t>
  </si>
  <si>
    <t>Q323</t>
  </si>
  <si>
    <t xml:space="preserve">Interest </t>
  </si>
  <si>
    <t xml:space="preserve">Uses for MRD testing </t>
  </si>
  <si>
    <t>clonoSEQ</t>
  </si>
  <si>
    <t xml:space="preserve">FDA cleared </t>
  </si>
  <si>
    <t>MM, BM</t>
  </si>
  <si>
    <t>B-ALL, BM</t>
  </si>
  <si>
    <t>CLL, blood and BM</t>
  </si>
  <si>
    <t>LDT</t>
  </si>
  <si>
    <t>DLBCL</t>
  </si>
  <si>
    <t>MCL</t>
  </si>
  <si>
    <t>FL</t>
  </si>
  <si>
    <t>from peripheral blood shown off at ASH23</t>
  </si>
  <si>
    <t>ctDNA showed off at ASH23</t>
  </si>
  <si>
    <t>Vol Total</t>
  </si>
  <si>
    <t xml:space="preserve">Vol Total </t>
  </si>
  <si>
    <t>Q419</t>
  </si>
  <si>
    <t>Q319</t>
  </si>
  <si>
    <t>Q219</t>
  </si>
  <si>
    <t>Q119</t>
  </si>
  <si>
    <t>Q418</t>
  </si>
  <si>
    <t>Q318</t>
  </si>
  <si>
    <t>Q218</t>
  </si>
  <si>
    <t>Q118</t>
  </si>
  <si>
    <t>BALANCE SHEET</t>
  </si>
  <si>
    <t>A/R</t>
  </si>
  <si>
    <t>Inventories</t>
  </si>
  <si>
    <t>Vendor NTR</t>
  </si>
  <si>
    <t>OCA</t>
  </si>
  <si>
    <t>PP&amp;E</t>
  </si>
  <si>
    <t xml:space="preserve">Goodwill+Intangibles </t>
  </si>
  <si>
    <t>ONCA</t>
  </si>
  <si>
    <t>Assets</t>
  </si>
  <si>
    <t>A/P</t>
  </si>
  <si>
    <t>A/E</t>
  </si>
  <si>
    <t>D/R</t>
  </si>
  <si>
    <t>ONCL</t>
  </si>
  <si>
    <t>Liabilities</t>
  </si>
  <si>
    <t>S/E</t>
  </si>
  <si>
    <t>L+S/E</t>
  </si>
  <si>
    <t>P</t>
  </si>
  <si>
    <t xml:space="preserve">Debt </t>
  </si>
  <si>
    <t xml:space="preserve">Amoritization </t>
  </si>
  <si>
    <t>Test Vol Y/Y</t>
  </si>
  <si>
    <t>rev/test</t>
  </si>
  <si>
    <t>Q424</t>
  </si>
  <si>
    <t>Impairment of right-of-use and related long-lived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</si>
</sst>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#,##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164" fontId="0" fillId="0" borderId="0" xfId="0" applyNumberFormat="1"/>
    <xf numFmtId="3" fontId="0" fillId="0" borderId="1" xfId="0" applyNumberFormat="1" applyBorder="1"/>
    <xf numFmtId="9" fontId="0" fillId="0" borderId="0" xfId="2" applyFont="1"/>
    <xf numFmtId="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947A-9904-455D-B97D-1092BFFCCE45}">
  <dimension ref="A1:BA65"/>
  <sheetViews>
    <sheetView tabSelected="1" topLeftCell="D1" workbookViewId="0">
      <pane xSplit="2" topLeftCell="F1" activePane="topRight" state="frozen"/>
      <selection activeCell="D1" sqref="D1"/>
      <selection pane="topRight" activeCell="N15" sqref="N15"/>
    </sheetView>
  </sheetViews>
  <sheetFormatPr defaultRowHeight="14.5" x14ac:dyDescent="0.35"/>
  <cols>
    <col min="11" max="11" width="0.90625" customWidth="1"/>
    <col min="24" max="24" width="10.26953125" customWidth="1"/>
    <col min="28" max="28" width="8.81640625" customWidth="1"/>
  </cols>
  <sheetData>
    <row r="1" spans="1:53" x14ac:dyDescent="0.35">
      <c r="A1" t="s">
        <v>0</v>
      </c>
    </row>
    <row r="3" spans="1:53" x14ac:dyDescent="0.35">
      <c r="A3" t="s">
        <v>1</v>
      </c>
      <c r="B3" s="1">
        <v>6.99</v>
      </c>
      <c r="D3" t="s">
        <v>8</v>
      </c>
      <c r="S3">
        <v>32</v>
      </c>
      <c r="W3">
        <v>66</v>
      </c>
      <c r="AA3">
        <v>87</v>
      </c>
    </row>
    <row r="4" spans="1:53" x14ac:dyDescent="0.35">
      <c r="A4" t="s">
        <v>2</v>
      </c>
      <c r="G4" t="s">
        <v>71</v>
      </c>
      <c r="H4" t="s">
        <v>70</v>
      </c>
      <c r="I4" t="s">
        <v>69</v>
      </c>
      <c r="J4" t="s">
        <v>68</v>
      </c>
      <c r="L4" t="s">
        <v>67</v>
      </c>
      <c r="M4" t="s">
        <v>66</v>
      </c>
      <c r="N4" t="s">
        <v>65</v>
      </c>
      <c r="O4" t="s">
        <v>64</v>
      </c>
      <c r="P4" t="s">
        <v>24</v>
      </c>
      <c r="Q4" t="s">
        <v>25</v>
      </c>
      <c r="R4" t="s">
        <v>26</v>
      </c>
      <c r="S4" t="s">
        <v>27</v>
      </c>
      <c r="T4" t="s">
        <v>28</v>
      </c>
      <c r="U4" t="s">
        <v>29</v>
      </c>
      <c r="V4" t="s">
        <v>30</v>
      </c>
      <c r="W4" t="s">
        <v>31</v>
      </c>
      <c r="X4" t="s">
        <v>32</v>
      </c>
      <c r="Y4" t="s">
        <v>33</v>
      </c>
      <c r="Z4" t="s">
        <v>34</v>
      </c>
      <c r="AA4" t="s">
        <v>35</v>
      </c>
      <c r="AB4" t="s">
        <v>36</v>
      </c>
      <c r="AC4" t="s">
        <v>47</v>
      </c>
      <c r="AD4" t="s">
        <v>48</v>
      </c>
      <c r="AE4" t="s">
        <v>93</v>
      </c>
      <c r="AG4">
        <v>2020</v>
      </c>
      <c r="AH4">
        <v>2021</v>
      </c>
      <c r="AI4">
        <v>2022</v>
      </c>
      <c r="AJ4">
        <f>AI4+1</f>
        <v>2023</v>
      </c>
      <c r="AK4">
        <f t="shared" ref="AK4:BA4" si="0">AJ4+1</f>
        <v>2024</v>
      </c>
      <c r="AL4">
        <f t="shared" si="0"/>
        <v>2025</v>
      </c>
      <c r="AM4">
        <f t="shared" si="0"/>
        <v>2026</v>
      </c>
      <c r="AN4">
        <f t="shared" si="0"/>
        <v>2027</v>
      </c>
      <c r="AO4">
        <f t="shared" si="0"/>
        <v>2028</v>
      </c>
      <c r="AP4">
        <f t="shared" si="0"/>
        <v>2029</v>
      </c>
      <c r="AQ4">
        <f t="shared" si="0"/>
        <v>2030</v>
      </c>
      <c r="AR4">
        <f t="shared" si="0"/>
        <v>2031</v>
      </c>
      <c r="AS4">
        <f t="shared" si="0"/>
        <v>2032</v>
      </c>
      <c r="AT4">
        <f t="shared" si="0"/>
        <v>2033</v>
      </c>
      <c r="AU4">
        <f t="shared" si="0"/>
        <v>2034</v>
      </c>
      <c r="AV4">
        <f t="shared" si="0"/>
        <v>2035</v>
      </c>
      <c r="AW4">
        <f t="shared" si="0"/>
        <v>2036</v>
      </c>
      <c r="AX4">
        <f t="shared" si="0"/>
        <v>2037</v>
      </c>
      <c r="AY4">
        <f t="shared" si="0"/>
        <v>2038</v>
      </c>
      <c r="AZ4">
        <f t="shared" si="0"/>
        <v>2039</v>
      </c>
      <c r="BA4">
        <f t="shared" si="0"/>
        <v>2040</v>
      </c>
    </row>
    <row r="5" spans="1:53" x14ac:dyDescent="0.35">
      <c r="A5" t="s">
        <v>3</v>
      </c>
      <c r="B5">
        <v>1009</v>
      </c>
      <c r="D5" t="s">
        <v>42</v>
      </c>
    </row>
    <row r="6" spans="1:53" x14ac:dyDescent="0.35">
      <c r="A6" t="s">
        <v>4</v>
      </c>
      <c r="D6" t="s">
        <v>38</v>
      </c>
      <c r="H6">
        <v>8281</v>
      </c>
      <c r="I6">
        <v>8463</v>
      </c>
      <c r="J6">
        <v>32978</v>
      </c>
      <c r="L6">
        <v>9469</v>
      </c>
      <c r="M6">
        <v>11865</v>
      </c>
      <c r="N6">
        <v>11683</v>
      </c>
      <c r="O6">
        <f>43519-N6-M6-L6</f>
        <v>10502</v>
      </c>
      <c r="P6" s="3">
        <v>3170</v>
      </c>
      <c r="Q6" s="3">
        <v>2036</v>
      </c>
      <c r="R6" s="3">
        <v>3691</v>
      </c>
      <c r="S6" s="3">
        <v>3310</v>
      </c>
      <c r="T6" s="3">
        <v>4048</v>
      </c>
      <c r="U6" s="3">
        <v>5404</v>
      </c>
      <c r="V6" s="3">
        <v>8170</v>
      </c>
      <c r="W6" s="3">
        <v>6860</v>
      </c>
      <c r="X6" s="3">
        <v>7113</v>
      </c>
      <c r="Y6" s="3">
        <v>7296</v>
      </c>
      <c r="Z6" s="3">
        <v>6559</v>
      </c>
      <c r="AA6" s="3">
        <f>31777-Z6-Y6-X6</f>
        <v>10809</v>
      </c>
      <c r="AB6" s="3">
        <v>7102</v>
      </c>
      <c r="AC6" s="3">
        <v>5508</v>
      </c>
      <c r="AD6" s="3">
        <v>5238</v>
      </c>
      <c r="AE6" s="3">
        <f>24959-AD6-AC6-AB6</f>
        <v>7111</v>
      </c>
    </row>
    <row r="7" spans="1:53" x14ac:dyDescent="0.35">
      <c r="A7" t="s">
        <v>5</v>
      </c>
      <c r="D7" t="s">
        <v>39</v>
      </c>
      <c r="H7">
        <v>3287</v>
      </c>
      <c r="I7">
        <v>8726</v>
      </c>
      <c r="J7">
        <v>22685</v>
      </c>
      <c r="L7">
        <v>11441</v>
      </c>
      <c r="M7">
        <v>10273</v>
      </c>
      <c r="N7">
        <v>14375</v>
      </c>
      <c r="O7">
        <f>41552-N7-M7-L7</f>
        <v>5463</v>
      </c>
      <c r="P7" s="3">
        <v>11077</v>
      </c>
      <c r="Q7" s="3">
        <v>12856</v>
      </c>
      <c r="R7" s="3">
        <v>12438</v>
      </c>
      <c r="S7" s="3">
        <v>17155</v>
      </c>
      <c r="T7" s="3">
        <v>16057</v>
      </c>
      <c r="U7" s="3">
        <v>17635</v>
      </c>
      <c r="V7" s="3">
        <v>15445</v>
      </c>
      <c r="W7" s="3">
        <v>14514</v>
      </c>
      <c r="X7" s="3">
        <v>13703</v>
      </c>
      <c r="Y7" s="3">
        <v>15082</v>
      </c>
      <c r="Z7" s="3">
        <v>21320</v>
      </c>
      <c r="AA7" s="3">
        <f>66387-Z7-Y7-X7</f>
        <v>16282</v>
      </c>
      <c r="AB7" s="3">
        <v>9118</v>
      </c>
      <c r="AC7" s="3">
        <v>17536</v>
      </c>
      <c r="AD7" s="3">
        <v>8013</v>
      </c>
      <c r="AE7" s="3">
        <f>42578-AD7-AC7-AB7</f>
        <v>7911</v>
      </c>
    </row>
    <row r="8" spans="1:53" x14ac:dyDescent="0.35">
      <c r="A8" t="s">
        <v>6</v>
      </c>
      <c r="D8" t="s">
        <v>37</v>
      </c>
      <c r="P8" s="6">
        <f t="shared" ref="P8:W8" si="1">P7+P6</f>
        <v>14247</v>
      </c>
      <c r="Q8" s="6">
        <f t="shared" si="1"/>
        <v>14892</v>
      </c>
      <c r="R8" s="6">
        <f t="shared" si="1"/>
        <v>16129</v>
      </c>
      <c r="S8" s="6">
        <f t="shared" si="1"/>
        <v>20465</v>
      </c>
      <c r="T8" s="6">
        <f t="shared" si="1"/>
        <v>20105</v>
      </c>
      <c r="U8" s="6">
        <f t="shared" si="1"/>
        <v>23039</v>
      </c>
      <c r="V8" s="6">
        <f t="shared" si="1"/>
        <v>23615</v>
      </c>
      <c r="W8" s="6">
        <f t="shared" si="1"/>
        <v>21374</v>
      </c>
      <c r="X8" s="6">
        <f>X6+X7</f>
        <v>20816</v>
      </c>
      <c r="Y8" s="6">
        <f>Y6+Y7</f>
        <v>22378</v>
      </c>
      <c r="Z8" s="6">
        <f>Z6+Z7</f>
        <v>27879</v>
      </c>
      <c r="AA8" s="6">
        <f>AA7+AA6</f>
        <v>27091</v>
      </c>
      <c r="AB8" s="6">
        <f>AB6+AB7</f>
        <v>16220</v>
      </c>
      <c r="AC8" s="6">
        <f>AC6+AC7</f>
        <v>23044</v>
      </c>
      <c r="AD8" s="6">
        <f>AD7+AD6</f>
        <v>13251</v>
      </c>
      <c r="AE8" s="6">
        <f>AE7+AE6</f>
        <v>15022</v>
      </c>
    </row>
    <row r="9" spans="1:53" x14ac:dyDescent="0.35">
      <c r="A9" t="s">
        <v>7</v>
      </c>
      <c r="D9" t="s">
        <v>38</v>
      </c>
      <c r="P9" s="3">
        <v>6299</v>
      </c>
      <c r="Q9" s="3">
        <v>5949</v>
      </c>
      <c r="R9" s="3">
        <v>7585</v>
      </c>
      <c r="S9" s="3">
        <v>9399</v>
      </c>
      <c r="T9" s="3">
        <v>11126</v>
      </c>
      <c r="U9" s="3">
        <v>13151</v>
      </c>
      <c r="V9" s="3">
        <v>13936</v>
      </c>
      <c r="W9" s="3">
        <v>16201</v>
      </c>
      <c r="X9" s="3">
        <v>14804</v>
      </c>
      <c r="Y9" s="3">
        <v>20282</v>
      </c>
      <c r="Z9" s="3">
        <f>19951</f>
        <v>19951</v>
      </c>
      <c r="AA9" s="3">
        <f>81144-Z9-Y9-X9</f>
        <v>26107</v>
      </c>
      <c r="AB9" s="3">
        <v>21427</v>
      </c>
      <c r="AC9" s="3">
        <v>25882</v>
      </c>
      <c r="AD9" s="3">
        <v>24668</v>
      </c>
      <c r="AE9" s="3">
        <f>102739-AD9-AC9-AB9</f>
        <v>30762</v>
      </c>
    </row>
    <row r="10" spans="1:53" x14ac:dyDescent="0.35">
      <c r="D10" t="s">
        <v>39</v>
      </c>
      <c r="P10" s="3">
        <v>364</v>
      </c>
      <c r="Q10" s="3">
        <v>147</v>
      </c>
      <c r="R10" s="3">
        <v>2585</v>
      </c>
      <c r="S10" s="3">
        <v>321</v>
      </c>
      <c r="T10" s="3">
        <v>7211</v>
      </c>
      <c r="U10" s="3">
        <v>2315</v>
      </c>
      <c r="V10" s="3">
        <v>1916</v>
      </c>
      <c r="W10" s="3">
        <v>355</v>
      </c>
      <c r="X10" s="3">
        <v>3000</v>
      </c>
      <c r="Y10" s="3">
        <v>1000</v>
      </c>
      <c r="Z10" s="3">
        <v>0</v>
      </c>
      <c r="AA10" s="3">
        <f>6000-Z10-Y10-X10</f>
        <v>2000</v>
      </c>
      <c r="AB10" s="3">
        <v>0</v>
      </c>
      <c r="AC10" s="3">
        <v>0</v>
      </c>
      <c r="AD10" s="3">
        <v>0</v>
      </c>
      <c r="AE10" s="3">
        <v>0</v>
      </c>
    </row>
    <row r="11" spans="1:53" x14ac:dyDescent="0.35">
      <c r="D11" t="s">
        <v>40</v>
      </c>
      <c r="P11" s="6">
        <f t="shared" ref="P11:W11" si="2">P10+P9</f>
        <v>6663</v>
      </c>
      <c r="Q11" s="6">
        <f t="shared" si="2"/>
        <v>6096</v>
      </c>
      <c r="R11" s="6">
        <f t="shared" si="2"/>
        <v>10170</v>
      </c>
      <c r="S11" s="6">
        <f t="shared" si="2"/>
        <v>9720</v>
      </c>
      <c r="T11" s="6">
        <f t="shared" si="2"/>
        <v>18337</v>
      </c>
      <c r="U11" s="6">
        <f t="shared" si="2"/>
        <v>15466</v>
      </c>
      <c r="V11" s="6">
        <f t="shared" si="2"/>
        <v>15852</v>
      </c>
      <c r="W11" s="6">
        <f t="shared" si="2"/>
        <v>16556</v>
      </c>
      <c r="X11" s="6">
        <f>X9+X10</f>
        <v>17804</v>
      </c>
      <c r="Y11" s="6">
        <f>Y10+Y9</f>
        <v>21282</v>
      </c>
      <c r="Z11" s="6">
        <f>Z9+Z10</f>
        <v>19951</v>
      </c>
      <c r="AA11" s="6">
        <f>AA10+AA9</f>
        <v>28107</v>
      </c>
      <c r="AB11" s="6">
        <f>AB9+AB10</f>
        <v>21427</v>
      </c>
      <c r="AC11" s="6">
        <f>AC10+AC9</f>
        <v>25882</v>
      </c>
      <c r="AD11" s="6">
        <f>AD9+AD10</f>
        <v>24668</v>
      </c>
      <c r="AE11" s="6">
        <f>AE9+AE10</f>
        <v>30762</v>
      </c>
    </row>
    <row r="12" spans="1:53" x14ac:dyDescent="0.35">
      <c r="D12" t="s">
        <v>41</v>
      </c>
      <c r="G12">
        <f>G6+G7</f>
        <v>0</v>
      </c>
      <c r="H12" s="2">
        <f>H6+H7</f>
        <v>11568</v>
      </c>
      <c r="I12" s="2">
        <f t="shared" ref="I12:O12" si="3">I6+I7</f>
        <v>17189</v>
      </c>
      <c r="J12" s="2">
        <f t="shared" si="3"/>
        <v>55663</v>
      </c>
      <c r="K12" s="2"/>
      <c r="L12" s="2">
        <f t="shared" si="3"/>
        <v>20910</v>
      </c>
      <c r="M12" s="2">
        <f t="shared" si="3"/>
        <v>22138</v>
      </c>
      <c r="N12" s="2">
        <f t="shared" si="3"/>
        <v>26058</v>
      </c>
      <c r="O12" s="2">
        <f t="shared" si="3"/>
        <v>15965</v>
      </c>
      <c r="P12" s="4">
        <f t="shared" ref="P12:W12" si="4">P11+P8</f>
        <v>20910</v>
      </c>
      <c r="Q12" s="4">
        <f t="shared" si="4"/>
        <v>20988</v>
      </c>
      <c r="R12" s="4">
        <f t="shared" si="4"/>
        <v>26299</v>
      </c>
      <c r="S12" s="4">
        <f t="shared" si="4"/>
        <v>30185</v>
      </c>
      <c r="T12" s="4">
        <f t="shared" si="4"/>
        <v>38442</v>
      </c>
      <c r="U12" s="4">
        <f t="shared" si="4"/>
        <v>38505</v>
      </c>
      <c r="V12" s="4">
        <f t="shared" si="4"/>
        <v>39467</v>
      </c>
      <c r="W12" s="4">
        <f t="shared" si="4"/>
        <v>37930</v>
      </c>
      <c r="X12" s="4">
        <f t="shared" ref="X12:AE12" si="5">X11+X8</f>
        <v>38620</v>
      </c>
      <c r="Y12" s="4">
        <f t="shared" si="5"/>
        <v>43660</v>
      </c>
      <c r="Z12" s="4">
        <f t="shared" si="5"/>
        <v>47830</v>
      </c>
      <c r="AA12" s="4">
        <f t="shared" si="5"/>
        <v>55198</v>
      </c>
      <c r="AB12" s="4">
        <f t="shared" si="5"/>
        <v>37647</v>
      </c>
      <c r="AC12" s="4">
        <f t="shared" si="5"/>
        <v>48926</v>
      </c>
      <c r="AD12" s="4">
        <f t="shared" si="5"/>
        <v>37919</v>
      </c>
      <c r="AE12" s="4">
        <f t="shared" si="5"/>
        <v>45784</v>
      </c>
    </row>
    <row r="13" spans="1:53" x14ac:dyDescent="0.35">
      <c r="D13" t="s">
        <v>43</v>
      </c>
      <c r="P13" s="3">
        <v>3756</v>
      </c>
      <c r="Q13" s="3">
        <v>3446</v>
      </c>
      <c r="R13" s="3">
        <v>4398</v>
      </c>
      <c r="S13" s="3">
        <v>5213</v>
      </c>
      <c r="T13" s="3">
        <v>5300</v>
      </c>
      <c r="U13" s="3">
        <v>5897</v>
      </c>
      <c r="V13" s="3">
        <v>6341</v>
      </c>
      <c r="W13" s="3">
        <v>6850</v>
      </c>
      <c r="X13" s="3">
        <f>T15*AA14</f>
        <v>8012.8054781039855</v>
      </c>
      <c r="Y13" s="3">
        <f>U15*AA14</f>
        <v>8915.3799819583401</v>
      </c>
      <c r="Z13" s="3">
        <f>V15*AA14</f>
        <v>9586.6414220108254</v>
      </c>
      <c r="AA13" s="3">
        <f>W15*AA14</f>
        <v>10356.17311792685</v>
      </c>
      <c r="AB13" s="3"/>
    </row>
    <row r="14" spans="1:53" x14ac:dyDescent="0.35">
      <c r="A14" t="s">
        <v>62</v>
      </c>
      <c r="D14" t="s">
        <v>63</v>
      </c>
      <c r="P14" s="3"/>
      <c r="Q14" s="3"/>
      <c r="R14" s="3"/>
      <c r="S14" s="3">
        <f>SUM(P13:S13)</f>
        <v>16813</v>
      </c>
      <c r="T14" s="3"/>
      <c r="U14" s="3"/>
      <c r="V14" s="3"/>
      <c r="W14" s="3">
        <f>W13+V13+U13+T13</f>
        <v>24388</v>
      </c>
      <c r="X14" s="3"/>
      <c r="Y14" s="3"/>
      <c r="Z14" s="3"/>
      <c r="AA14" s="3">
        <v>36871</v>
      </c>
      <c r="AB14" s="3"/>
    </row>
    <row r="15" spans="1:53" x14ac:dyDescent="0.35">
      <c r="P15" s="3"/>
      <c r="Q15" s="3"/>
      <c r="R15" s="3"/>
      <c r="S15" s="3"/>
      <c r="T15" s="8">
        <f>T13/$W$14</f>
        <v>0.21731999343939642</v>
      </c>
      <c r="U15" s="8">
        <f>U13/$W$14</f>
        <v>0.24179924553058882</v>
      </c>
      <c r="V15" s="8">
        <f>V13/$W$14</f>
        <v>0.26000492045268164</v>
      </c>
      <c r="W15" s="8">
        <f>W13/$W$14</f>
        <v>0.28087584057733311</v>
      </c>
      <c r="X15" s="3"/>
      <c r="Y15" s="3"/>
      <c r="Z15" s="3"/>
      <c r="AA15" s="3"/>
      <c r="AB15" s="3"/>
    </row>
    <row r="16" spans="1:53" x14ac:dyDescent="0.35">
      <c r="P16" s="3"/>
      <c r="Q16" s="3"/>
      <c r="R16" s="3"/>
      <c r="S16" s="3"/>
      <c r="T16" s="3"/>
      <c r="U16" s="3"/>
      <c r="V16" s="3"/>
      <c r="W16" s="8">
        <f>W14/S14</f>
        <v>1.4505442217331828</v>
      </c>
      <c r="X16" s="3"/>
      <c r="Y16" s="3"/>
      <c r="Z16" s="3"/>
      <c r="AA16" s="8">
        <f>AA14/W14</f>
        <v>1.5118500902082992</v>
      </c>
      <c r="AB16" s="3"/>
    </row>
    <row r="17" spans="4:31" x14ac:dyDescent="0.35">
      <c r="D17" t="s">
        <v>92</v>
      </c>
      <c r="P17" s="8">
        <f>(P11/P13)*1000</f>
        <v>1773.961661341853</v>
      </c>
      <c r="Q17" s="8">
        <f t="shared" ref="Q17:AA17" si="6">(Q11/Q13)*1000</f>
        <v>1769.0075449796864</v>
      </c>
      <c r="R17" s="8">
        <f t="shared" si="6"/>
        <v>2312.4147339699866</v>
      </c>
      <c r="S17" s="8">
        <f t="shared" si="6"/>
        <v>1864.569345866104</v>
      </c>
      <c r="T17" s="8">
        <f t="shared" si="6"/>
        <v>3459.8113207547171</v>
      </c>
      <c r="U17" s="8">
        <f t="shared" si="6"/>
        <v>2622.6895031371882</v>
      </c>
      <c r="V17" s="8">
        <f t="shared" si="6"/>
        <v>2499.9211480838985</v>
      </c>
      <c r="W17" s="8">
        <f t="shared" si="6"/>
        <v>2416.9343065693433</v>
      </c>
      <c r="X17" s="8">
        <f t="shared" si="6"/>
        <v>2221.9433691048289</v>
      </c>
      <c r="Y17" s="8">
        <f t="shared" si="6"/>
        <v>2387.1108178302488</v>
      </c>
      <c r="Z17" s="8">
        <f t="shared" si="6"/>
        <v>2081.1250908157176</v>
      </c>
      <c r="AA17" s="8">
        <f t="shared" si="6"/>
        <v>2714.03342527617</v>
      </c>
      <c r="AB17" s="3"/>
    </row>
    <row r="18" spans="4:31" x14ac:dyDescent="0.35">
      <c r="P18" s="3"/>
      <c r="Q18" s="3"/>
      <c r="R18" s="3"/>
      <c r="S18" s="3"/>
      <c r="AB18" s="3"/>
    </row>
    <row r="19" spans="4:31" x14ac:dyDescent="0.35">
      <c r="D19" t="s">
        <v>44</v>
      </c>
      <c r="H19">
        <v>11568</v>
      </c>
      <c r="I19">
        <v>17188</v>
      </c>
      <c r="L19">
        <v>12666</v>
      </c>
      <c r="M19">
        <v>22138</v>
      </c>
      <c r="N19">
        <v>26058</v>
      </c>
      <c r="O19">
        <v>15965</v>
      </c>
      <c r="P19" s="4">
        <v>20910</v>
      </c>
      <c r="Q19" s="4">
        <v>20988</v>
      </c>
      <c r="R19" s="4">
        <v>26299</v>
      </c>
      <c r="S19" s="4">
        <v>30185</v>
      </c>
      <c r="T19" s="4">
        <v>38442</v>
      </c>
      <c r="U19" s="4">
        <v>38505</v>
      </c>
      <c r="V19" s="4">
        <v>39467</v>
      </c>
      <c r="W19" s="4">
        <v>37930</v>
      </c>
      <c r="X19" s="4">
        <v>38620</v>
      </c>
      <c r="Y19" s="4">
        <v>43660</v>
      </c>
      <c r="Z19" s="4">
        <v>47830</v>
      </c>
      <c r="AA19" s="4">
        <f>185308-Z19-Y19-X19</f>
        <v>55198</v>
      </c>
      <c r="AB19" s="4">
        <v>37647</v>
      </c>
      <c r="AC19" s="4">
        <v>48926</v>
      </c>
      <c r="AD19" s="4">
        <v>37919</v>
      </c>
      <c r="AE19" s="3">
        <f>170276-AD19-AC19-AB19</f>
        <v>45784</v>
      </c>
    </row>
    <row r="20" spans="4:31" x14ac:dyDescent="0.35">
      <c r="D20" t="s">
        <v>9</v>
      </c>
      <c r="H20">
        <v>5044</v>
      </c>
      <c r="I20">
        <v>5360</v>
      </c>
      <c r="L20">
        <v>4988</v>
      </c>
      <c r="M20">
        <v>5734</v>
      </c>
      <c r="N20">
        <v>5601</v>
      </c>
      <c r="O20">
        <f>22274-N20-M20-L20</f>
        <v>5951</v>
      </c>
      <c r="P20" s="3">
        <v>5343</v>
      </c>
      <c r="Q20" s="3">
        <v>4912</v>
      </c>
      <c r="R20" s="3">
        <v>6053</v>
      </c>
      <c r="S20" s="3">
        <f>22530-R20-Q20-P20</f>
        <v>6222</v>
      </c>
      <c r="T20" s="3">
        <v>9991</v>
      </c>
      <c r="U20" s="3">
        <v>10765</v>
      </c>
      <c r="V20" s="3">
        <v>14189</v>
      </c>
      <c r="W20" s="3">
        <f>49301-V20-U20-T20</f>
        <v>14356</v>
      </c>
      <c r="X20" s="3">
        <v>13192</v>
      </c>
      <c r="Y20" s="3">
        <v>13221</v>
      </c>
      <c r="Z20" s="3">
        <v>14907</v>
      </c>
      <c r="AA20" s="3">
        <f>57909-Z20-Y20-X20</f>
        <v>16589</v>
      </c>
      <c r="AB20" s="3">
        <v>18681</v>
      </c>
      <c r="AC20" s="3">
        <v>17910</v>
      </c>
      <c r="AD20" s="3">
        <v>19346</v>
      </c>
      <c r="AE20" s="3">
        <f>75553-AD20-AC20-AB20</f>
        <v>19616</v>
      </c>
    </row>
    <row r="21" spans="4:31" x14ac:dyDescent="0.35">
      <c r="D21" t="s">
        <v>10</v>
      </c>
      <c r="G21" s="3">
        <f t="shared" ref="G21:W21" si="7">G19-G20</f>
        <v>0</v>
      </c>
      <c r="H21" s="3">
        <f t="shared" si="7"/>
        <v>6524</v>
      </c>
      <c r="I21" s="3">
        <f t="shared" si="7"/>
        <v>11828</v>
      </c>
      <c r="J21" s="3">
        <f t="shared" si="7"/>
        <v>0</v>
      </c>
      <c r="K21" s="3"/>
      <c r="L21" s="3">
        <f t="shared" si="7"/>
        <v>7678</v>
      </c>
      <c r="M21" s="3">
        <f t="shared" si="7"/>
        <v>16404</v>
      </c>
      <c r="N21" s="3">
        <f t="shared" si="7"/>
        <v>20457</v>
      </c>
      <c r="O21" s="3">
        <f t="shared" si="7"/>
        <v>10014</v>
      </c>
      <c r="P21" s="3">
        <f t="shared" si="7"/>
        <v>15567</v>
      </c>
      <c r="Q21" s="3">
        <f t="shared" si="7"/>
        <v>16076</v>
      </c>
      <c r="R21" s="3">
        <f t="shared" si="7"/>
        <v>20246</v>
      </c>
      <c r="S21" s="3">
        <f t="shared" si="7"/>
        <v>23963</v>
      </c>
      <c r="T21" s="3">
        <f t="shared" si="7"/>
        <v>28451</v>
      </c>
      <c r="U21" s="3">
        <f t="shared" si="7"/>
        <v>27740</v>
      </c>
      <c r="V21" s="3">
        <f t="shared" si="7"/>
        <v>25278</v>
      </c>
      <c r="W21" s="3">
        <f t="shared" si="7"/>
        <v>23574</v>
      </c>
      <c r="X21" s="3">
        <f t="shared" ref="X21:AE21" si="8">X19-X20</f>
        <v>25428</v>
      </c>
      <c r="Y21" s="3">
        <f t="shared" si="8"/>
        <v>30439</v>
      </c>
      <c r="Z21" s="3">
        <f t="shared" si="8"/>
        <v>32923</v>
      </c>
      <c r="AA21" s="3">
        <f t="shared" si="8"/>
        <v>38609</v>
      </c>
      <c r="AB21" s="3">
        <f t="shared" si="8"/>
        <v>18966</v>
      </c>
      <c r="AC21" s="3">
        <f t="shared" si="8"/>
        <v>31016</v>
      </c>
      <c r="AD21" s="3">
        <f t="shared" si="8"/>
        <v>18573</v>
      </c>
      <c r="AE21" s="3">
        <f t="shared" si="8"/>
        <v>26168</v>
      </c>
    </row>
    <row r="22" spans="4:31" x14ac:dyDescent="0.35">
      <c r="D22" t="s">
        <v>11</v>
      </c>
      <c r="H22">
        <v>9452</v>
      </c>
      <c r="I22">
        <v>9783</v>
      </c>
      <c r="L22">
        <v>12483</v>
      </c>
      <c r="M22">
        <v>16527</v>
      </c>
      <c r="N22">
        <v>20506</v>
      </c>
      <c r="O22">
        <f>70705-N22-M22-L22</f>
        <v>21189</v>
      </c>
      <c r="P22" s="3">
        <v>23935</v>
      </c>
      <c r="Q22" s="3">
        <v>25992</v>
      </c>
      <c r="R22" s="3">
        <v>30314</v>
      </c>
      <c r="S22" s="3">
        <f>116072-R22-Q22-P22</f>
        <v>35831</v>
      </c>
      <c r="T22" s="3">
        <v>33772</v>
      </c>
      <c r="U22" s="3">
        <v>37800</v>
      </c>
      <c r="V22" s="3">
        <v>36072</v>
      </c>
      <c r="W22" s="3">
        <f>142343-V22-U22-T22</f>
        <v>34699</v>
      </c>
      <c r="X22" s="3">
        <v>37893</v>
      </c>
      <c r="Y22" s="3">
        <v>37037</v>
      </c>
      <c r="Z22" s="3">
        <v>35658</v>
      </c>
      <c r="AA22" s="3">
        <f>141756-Z22-Y22-X22</f>
        <v>31168</v>
      </c>
      <c r="AB22" s="3">
        <v>32601</v>
      </c>
      <c r="AC22">
        <f>32237</f>
        <v>32237</v>
      </c>
      <c r="AD22" s="3">
        <v>28533</v>
      </c>
      <c r="AE22" s="3">
        <f>122117-AD22-AC22-AB22</f>
        <v>28746</v>
      </c>
    </row>
    <row r="23" spans="4:31" x14ac:dyDescent="0.35">
      <c r="D23" t="s">
        <v>45</v>
      </c>
      <c r="H23">
        <v>5329</v>
      </c>
      <c r="I23">
        <v>6039</v>
      </c>
      <c r="L23">
        <v>7817</v>
      </c>
      <c r="M23">
        <v>8897</v>
      </c>
      <c r="N23">
        <v>9099</v>
      </c>
      <c r="O23">
        <f>38453-N23-M23-L23</f>
        <v>12640</v>
      </c>
      <c r="P23" s="3">
        <v>14007</v>
      </c>
      <c r="Q23" s="3">
        <v>14332</v>
      </c>
      <c r="R23" s="3">
        <v>14474</v>
      </c>
      <c r="S23" s="3">
        <f>61358-R23-Q23-P23</f>
        <v>18545</v>
      </c>
      <c r="T23" s="3">
        <v>20604</v>
      </c>
      <c r="U23" s="3">
        <v>23216</v>
      </c>
      <c r="V23" s="3">
        <v>24949</v>
      </c>
      <c r="W23" s="3">
        <f>95465-V23-U23-T23</f>
        <v>26696</v>
      </c>
      <c r="X23" s="3">
        <v>26093</v>
      </c>
      <c r="Y23" s="3">
        <v>24281</v>
      </c>
      <c r="Z23" s="3">
        <v>21513</v>
      </c>
      <c r="AA23" s="3">
        <f>95603-Z23-Y23-X23</f>
        <v>23716</v>
      </c>
      <c r="AB23" s="3">
        <v>22308</v>
      </c>
      <c r="AC23" s="3">
        <v>23872</v>
      </c>
      <c r="AD23" s="3">
        <v>20493</v>
      </c>
      <c r="AE23" s="3">
        <f>88579-AD23-AC23-AB23</f>
        <v>21906</v>
      </c>
    </row>
    <row r="24" spans="4:31" x14ac:dyDescent="0.35">
      <c r="D24" t="s">
        <v>46</v>
      </c>
      <c r="H24">
        <v>4632</v>
      </c>
      <c r="I24">
        <v>4739</v>
      </c>
      <c r="L24">
        <v>7004</v>
      </c>
      <c r="M24">
        <v>6662</v>
      </c>
      <c r="N24">
        <v>8477</v>
      </c>
      <c r="O24">
        <f>30332-N24-M24-L24</f>
        <v>8189</v>
      </c>
      <c r="P24" s="3">
        <v>11821</v>
      </c>
      <c r="Q24" s="3">
        <v>12238</v>
      </c>
      <c r="R24" s="3">
        <v>12079</v>
      </c>
      <c r="S24" s="3">
        <f>49536-R24-Q24-P24</f>
        <v>13398</v>
      </c>
      <c r="T24" s="3">
        <v>14936</v>
      </c>
      <c r="U24" s="3">
        <v>16066</v>
      </c>
      <c r="V24" s="3">
        <v>20154</v>
      </c>
      <c r="W24" s="3">
        <f>74502-V24-U24-T24</f>
        <v>23346</v>
      </c>
      <c r="X24" s="3">
        <v>24144</v>
      </c>
      <c r="Y24" s="3">
        <v>21200</v>
      </c>
      <c r="Z24" s="3">
        <v>20755</v>
      </c>
      <c r="AA24" s="3">
        <f>88527-Z24-Y24-X24</f>
        <v>22428</v>
      </c>
      <c r="AB24" s="3">
        <v>20831</v>
      </c>
      <c r="AC24" s="3">
        <v>22302</v>
      </c>
      <c r="AD24" s="3">
        <v>20075</v>
      </c>
      <c r="AE24" s="3">
        <f>83934-AD24-AC24-AB24</f>
        <v>20726</v>
      </c>
    </row>
    <row r="25" spans="4:31" x14ac:dyDescent="0.35">
      <c r="D25" t="s">
        <v>94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>
        <v>25429</v>
      </c>
    </row>
    <row r="26" spans="4:31" x14ac:dyDescent="0.35">
      <c r="D26" t="s">
        <v>90</v>
      </c>
      <c r="H26">
        <v>424</v>
      </c>
      <c r="I26">
        <v>428</v>
      </c>
      <c r="L26">
        <v>419</v>
      </c>
      <c r="M26">
        <v>423</v>
      </c>
      <c r="N26">
        <v>428</v>
      </c>
      <c r="P26" s="3">
        <v>424</v>
      </c>
      <c r="Q26" s="3">
        <v>423</v>
      </c>
      <c r="R26" s="3">
        <v>428</v>
      </c>
      <c r="S26" s="3">
        <f>1703-R26-Q26-P26</f>
        <v>428</v>
      </c>
      <c r="T26" s="3">
        <v>419</v>
      </c>
      <c r="U26" s="3">
        <v>423</v>
      </c>
      <c r="V26" s="3">
        <v>428</v>
      </c>
      <c r="W26" s="3">
        <f>1699-V26-U26-T26</f>
        <v>429</v>
      </c>
      <c r="X26" s="3">
        <v>419</v>
      </c>
      <c r="Y26" s="3">
        <v>423</v>
      </c>
      <c r="Z26" s="3">
        <v>428</v>
      </c>
      <c r="AA26" s="3">
        <v>429</v>
      </c>
      <c r="AB26" s="3">
        <v>419</v>
      </c>
      <c r="AC26" s="3">
        <v>423</v>
      </c>
      <c r="AD26" s="3">
        <v>428</v>
      </c>
      <c r="AE26" s="3">
        <f>1699-AD26-AC26-AB26</f>
        <v>429</v>
      </c>
    </row>
    <row r="27" spans="4:31" x14ac:dyDescent="0.35">
      <c r="D27" t="s">
        <v>12</v>
      </c>
      <c r="G27" s="3">
        <f t="shared" ref="G27:AC27" si="9">G24+G23+G22+G26</f>
        <v>0</v>
      </c>
      <c r="H27" s="3">
        <f t="shared" si="9"/>
        <v>19837</v>
      </c>
      <c r="I27" s="3">
        <f t="shared" si="9"/>
        <v>20989</v>
      </c>
      <c r="J27" s="3">
        <f t="shared" si="9"/>
        <v>0</v>
      </c>
      <c r="K27" s="3"/>
      <c r="L27" s="3">
        <f t="shared" si="9"/>
        <v>27723</v>
      </c>
      <c r="M27" s="3">
        <f t="shared" si="9"/>
        <v>32509</v>
      </c>
      <c r="N27" s="3">
        <f t="shared" si="9"/>
        <v>38510</v>
      </c>
      <c r="O27" s="3">
        <f t="shared" si="9"/>
        <v>42018</v>
      </c>
      <c r="P27" s="3">
        <f t="shared" si="9"/>
        <v>50187</v>
      </c>
      <c r="Q27" s="3">
        <f t="shared" si="9"/>
        <v>52985</v>
      </c>
      <c r="R27" s="3">
        <f t="shared" si="9"/>
        <v>57295</v>
      </c>
      <c r="S27" s="3">
        <f t="shared" si="9"/>
        <v>68202</v>
      </c>
      <c r="T27" s="3">
        <f t="shared" si="9"/>
        <v>69731</v>
      </c>
      <c r="U27" s="3">
        <f t="shared" si="9"/>
        <v>77505</v>
      </c>
      <c r="V27" s="3">
        <f t="shared" si="9"/>
        <v>81603</v>
      </c>
      <c r="W27" s="3">
        <f t="shared" si="9"/>
        <v>85170</v>
      </c>
      <c r="X27" s="3">
        <f t="shared" si="9"/>
        <v>88549</v>
      </c>
      <c r="Y27" s="3">
        <f t="shared" si="9"/>
        <v>82941</v>
      </c>
      <c r="Z27" s="3">
        <f t="shared" si="9"/>
        <v>78354</v>
      </c>
      <c r="AA27" s="3">
        <f t="shared" si="9"/>
        <v>77741</v>
      </c>
      <c r="AB27" s="3">
        <f t="shared" si="9"/>
        <v>76159</v>
      </c>
      <c r="AC27" s="3">
        <f t="shared" si="9"/>
        <v>78834</v>
      </c>
      <c r="AD27" s="3">
        <f>AD24+AD23+AD22+AD26</f>
        <v>69529</v>
      </c>
      <c r="AE27" s="3">
        <f>AE24+AE23+AE22+AE26+AE25</f>
        <v>97236</v>
      </c>
    </row>
    <row r="28" spans="4:31" x14ac:dyDescent="0.35">
      <c r="D28" s="2" t="s">
        <v>13</v>
      </c>
      <c r="G28" s="4">
        <f t="shared" ref="G28:AC28" si="10">G21-G27</f>
        <v>0</v>
      </c>
      <c r="H28" s="4">
        <f t="shared" si="10"/>
        <v>-13313</v>
      </c>
      <c r="I28" s="4">
        <f t="shared" si="10"/>
        <v>-9161</v>
      </c>
      <c r="J28" s="4">
        <f t="shared" si="10"/>
        <v>0</v>
      </c>
      <c r="K28" s="4"/>
      <c r="L28" s="4">
        <f t="shared" si="10"/>
        <v>-20045</v>
      </c>
      <c r="M28" s="4">
        <f t="shared" si="10"/>
        <v>-16105</v>
      </c>
      <c r="N28" s="4">
        <f t="shared" si="10"/>
        <v>-18053</v>
      </c>
      <c r="O28" s="4">
        <f t="shared" si="10"/>
        <v>-32004</v>
      </c>
      <c r="P28" s="4">
        <f t="shared" si="10"/>
        <v>-34620</v>
      </c>
      <c r="Q28" s="4">
        <f t="shared" si="10"/>
        <v>-36909</v>
      </c>
      <c r="R28" s="4">
        <f t="shared" si="10"/>
        <v>-37049</v>
      </c>
      <c r="S28" s="4">
        <f t="shared" si="10"/>
        <v>-44239</v>
      </c>
      <c r="T28" s="4">
        <f t="shared" si="10"/>
        <v>-41280</v>
      </c>
      <c r="U28" s="4">
        <f t="shared" si="10"/>
        <v>-49765</v>
      </c>
      <c r="V28" s="4">
        <f t="shared" si="10"/>
        <v>-56325</v>
      </c>
      <c r="W28" s="4">
        <f t="shared" si="10"/>
        <v>-61596</v>
      </c>
      <c r="X28" s="4">
        <f t="shared" si="10"/>
        <v>-63121</v>
      </c>
      <c r="Y28" s="4">
        <f t="shared" si="10"/>
        <v>-52502</v>
      </c>
      <c r="Z28" s="4">
        <f t="shared" si="10"/>
        <v>-45431</v>
      </c>
      <c r="AA28" s="4">
        <f t="shared" si="10"/>
        <v>-39132</v>
      </c>
      <c r="AB28" s="4">
        <f t="shared" si="10"/>
        <v>-57193</v>
      </c>
      <c r="AC28" s="4">
        <f t="shared" si="10"/>
        <v>-47818</v>
      </c>
      <c r="AD28" s="4">
        <f>AD21-AD27</f>
        <v>-50956</v>
      </c>
      <c r="AE28" s="4">
        <f>AE21-AE27</f>
        <v>-71068</v>
      </c>
    </row>
    <row r="29" spans="4:31" x14ac:dyDescent="0.35">
      <c r="D29" t="s">
        <v>49</v>
      </c>
      <c r="H29">
        <v>820</v>
      </c>
      <c r="I29">
        <v>869</v>
      </c>
      <c r="L29">
        <v>1659</v>
      </c>
      <c r="M29">
        <v>446</v>
      </c>
      <c r="N29">
        <v>4103</v>
      </c>
      <c r="P29" s="3">
        <f>2894+323</f>
        <v>3217</v>
      </c>
      <c r="Q29" s="3">
        <f>1893+1481</f>
        <v>3374</v>
      </c>
      <c r="R29" s="3">
        <f>1018-688</f>
        <v>330</v>
      </c>
      <c r="S29" s="3">
        <f>6590-R29-Q29-P29</f>
        <v>-331</v>
      </c>
      <c r="T29" s="3">
        <v>638</v>
      </c>
      <c r="U29" s="3">
        <v>464</v>
      </c>
      <c r="V29" s="3">
        <v>327</v>
      </c>
      <c r="W29" s="3">
        <f>1668-V29-U29-T29</f>
        <v>239</v>
      </c>
      <c r="X29" s="3">
        <v>271</v>
      </c>
      <c r="Y29" s="3">
        <v>418</v>
      </c>
      <c r="Z29" s="3">
        <f>765-653</f>
        <v>112</v>
      </c>
      <c r="AA29" s="3">
        <f>4056-4238-Z29-Y29-X29</f>
        <v>-983</v>
      </c>
      <c r="AB29" s="3">
        <f>3024-3531</f>
        <v>-507</v>
      </c>
      <c r="AC29" s="3">
        <f>3612-3605</f>
        <v>7</v>
      </c>
      <c r="AD29" s="3">
        <f>4282-3652</f>
        <v>630</v>
      </c>
      <c r="AE29" s="3">
        <f>15531-AD29-AC29-AB29</f>
        <v>15401</v>
      </c>
    </row>
    <row r="30" spans="4:31" x14ac:dyDescent="0.35">
      <c r="D30" t="s">
        <v>14</v>
      </c>
      <c r="G30" s="3">
        <f t="shared" ref="G30:W30" si="11">G28+G29</f>
        <v>0</v>
      </c>
      <c r="H30" s="3">
        <f t="shared" si="11"/>
        <v>-12493</v>
      </c>
      <c r="I30" s="3">
        <f t="shared" si="11"/>
        <v>-8292</v>
      </c>
      <c r="J30" s="3">
        <f t="shared" si="11"/>
        <v>0</v>
      </c>
      <c r="K30" s="3"/>
      <c r="L30" s="3">
        <f t="shared" si="11"/>
        <v>-18386</v>
      </c>
      <c r="M30" s="3">
        <f t="shared" si="11"/>
        <v>-15659</v>
      </c>
      <c r="N30" s="3">
        <f t="shared" si="11"/>
        <v>-13950</v>
      </c>
      <c r="O30" s="3">
        <f t="shared" si="11"/>
        <v>-32004</v>
      </c>
      <c r="P30" s="3">
        <f>P28+P29</f>
        <v>-31403</v>
      </c>
      <c r="Q30" s="3">
        <f t="shared" si="11"/>
        <v>-33535</v>
      </c>
      <c r="R30" s="3">
        <f t="shared" si="11"/>
        <v>-36719</v>
      </c>
      <c r="S30" s="3">
        <f t="shared" si="11"/>
        <v>-44570</v>
      </c>
      <c r="T30" s="3">
        <f t="shared" si="11"/>
        <v>-40642</v>
      </c>
      <c r="U30" s="3">
        <f t="shared" si="11"/>
        <v>-49301</v>
      </c>
      <c r="V30" s="3">
        <f t="shared" si="11"/>
        <v>-55998</v>
      </c>
      <c r="W30" s="3">
        <f t="shared" si="11"/>
        <v>-61357</v>
      </c>
      <c r="X30" s="3">
        <f t="shared" ref="X30:AE30" si="12">X28+X29</f>
        <v>-62850</v>
      </c>
      <c r="Y30" s="3">
        <f t="shared" si="12"/>
        <v>-52084</v>
      </c>
      <c r="Z30" s="3">
        <f t="shared" si="12"/>
        <v>-45319</v>
      </c>
      <c r="AA30" s="3">
        <f t="shared" si="12"/>
        <v>-40115</v>
      </c>
      <c r="AB30" s="3">
        <f t="shared" si="12"/>
        <v>-57700</v>
      </c>
      <c r="AC30" s="3">
        <f t="shared" si="12"/>
        <v>-47811</v>
      </c>
      <c r="AD30" s="3">
        <f t="shared" si="12"/>
        <v>-50326</v>
      </c>
      <c r="AE30" s="3">
        <f t="shared" si="12"/>
        <v>-55667</v>
      </c>
    </row>
    <row r="31" spans="4:31" x14ac:dyDescent="0.35">
      <c r="D31" t="s">
        <v>15</v>
      </c>
      <c r="H31">
        <v>-2</v>
      </c>
      <c r="I31">
        <v>0</v>
      </c>
      <c r="J31">
        <v>0</v>
      </c>
      <c r="L31">
        <v>-254</v>
      </c>
      <c r="M31">
        <v>-710</v>
      </c>
      <c r="N31">
        <v>0</v>
      </c>
      <c r="O31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</row>
    <row r="32" spans="4:31" x14ac:dyDescent="0.35"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4:31" x14ac:dyDescent="0.35">
      <c r="D33" t="s">
        <v>16</v>
      </c>
      <c r="G33" s="3">
        <f t="shared" ref="G33:AC33" si="13">G30+G31</f>
        <v>0</v>
      </c>
      <c r="H33" s="3">
        <f t="shared" si="13"/>
        <v>-12495</v>
      </c>
      <c r="I33" s="3">
        <f t="shared" si="13"/>
        <v>-8292</v>
      </c>
      <c r="J33" s="3">
        <f t="shared" si="13"/>
        <v>0</v>
      </c>
      <c r="K33" s="3">
        <f t="shared" si="13"/>
        <v>0</v>
      </c>
      <c r="L33" s="3">
        <f t="shared" si="13"/>
        <v>-18640</v>
      </c>
      <c r="M33" s="3">
        <f t="shared" si="13"/>
        <v>-16369</v>
      </c>
      <c r="N33" s="3">
        <f t="shared" si="13"/>
        <v>-13950</v>
      </c>
      <c r="O33" s="3">
        <f t="shared" si="13"/>
        <v>-32004</v>
      </c>
      <c r="P33" s="3">
        <f t="shared" si="13"/>
        <v>-31403</v>
      </c>
      <c r="Q33" s="3">
        <f t="shared" si="13"/>
        <v>-33535</v>
      </c>
      <c r="R33" s="3">
        <f t="shared" si="13"/>
        <v>-36719</v>
      </c>
      <c r="S33" s="3">
        <f t="shared" si="13"/>
        <v>-44570</v>
      </c>
      <c r="T33" s="3">
        <f t="shared" si="13"/>
        <v>-40642</v>
      </c>
      <c r="U33" s="3">
        <f t="shared" si="13"/>
        <v>-49301</v>
      </c>
      <c r="V33" s="3">
        <f t="shared" si="13"/>
        <v>-55998</v>
      </c>
      <c r="W33" s="3">
        <f t="shared" si="13"/>
        <v>-61357</v>
      </c>
      <c r="X33" s="3">
        <f t="shared" si="13"/>
        <v>-62850</v>
      </c>
      <c r="Y33" s="3">
        <f t="shared" si="13"/>
        <v>-52084</v>
      </c>
      <c r="Z33" s="3">
        <f t="shared" si="13"/>
        <v>-45319</v>
      </c>
      <c r="AA33" s="3">
        <f t="shared" si="13"/>
        <v>-40115</v>
      </c>
      <c r="AB33" s="3">
        <f t="shared" si="13"/>
        <v>-57700</v>
      </c>
      <c r="AC33" s="3">
        <f t="shared" si="13"/>
        <v>-47811</v>
      </c>
      <c r="AD33" s="3">
        <f>AD30+AD31</f>
        <v>-50326</v>
      </c>
      <c r="AE33" s="3">
        <f>AE30+AE31</f>
        <v>-55667</v>
      </c>
    </row>
    <row r="34" spans="4:31" x14ac:dyDescent="0.35">
      <c r="D34" t="s">
        <v>17</v>
      </c>
      <c r="H34">
        <v>12385</v>
      </c>
      <c r="I34">
        <v>12620</v>
      </c>
      <c r="J34">
        <v>12629</v>
      </c>
      <c r="L34">
        <v>12886</v>
      </c>
      <c r="M34">
        <v>13279</v>
      </c>
      <c r="N34">
        <v>124285</v>
      </c>
      <c r="O34">
        <v>69165</v>
      </c>
      <c r="P34" s="3">
        <v>126058</v>
      </c>
      <c r="Q34" s="3">
        <v>127383</v>
      </c>
      <c r="R34" s="3">
        <v>134372</v>
      </c>
      <c r="S34" s="3">
        <v>131216</v>
      </c>
      <c r="T34">
        <v>138967</v>
      </c>
      <c r="U34" s="3">
        <v>140359</v>
      </c>
      <c r="V34" s="3">
        <v>140833</v>
      </c>
      <c r="W34" s="3">
        <v>140354</v>
      </c>
      <c r="X34" s="3">
        <v>143511</v>
      </c>
      <c r="Y34" s="3">
        <v>142363</v>
      </c>
      <c r="Z34" s="3">
        <v>142928</v>
      </c>
      <c r="AA34" s="3">
        <v>142515</v>
      </c>
      <c r="AB34" s="3">
        <v>141697</v>
      </c>
      <c r="AC34" s="3">
        <v>144397</v>
      </c>
      <c r="AD34" s="3">
        <v>144704</v>
      </c>
      <c r="AE34" s="3">
        <v>144383</v>
      </c>
    </row>
    <row r="35" spans="4:31" x14ac:dyDescent="0.35">
      <c r="D35" t="s">
        <v>18</v>
      </c>
      <c r="G35" t="e">
        <f t="shared" ref="G35:W35" si="14">G33/G34</f>
        <v>#DIV/0!</v>
      </c>
      <c r="H35">
        <f t="shared" si="14"/>
        <v>-1.0088817117480824</v>
      </c>
      <c r="I35">
        <f t="shared" si="14"/>
        <v>-0.65705229793977815</v>
      </c>
      <c r="J35">
        <f t="shared" si="14"/>
        <v>0</v>
      </c>
      <c r="L35">
        <f t="shared" si="14"/>
        <v>-1.4465311190439236</v>
      </c>
      <c r="M35">
        <f t="shared" si="14"/>
        <v>-1.2326982453498005</v>
      </c>
      <c r="N35">
        <f t="shared" si="14"/>
        <v>-0.11224202437945045</v>
      </c>
      <c r="O35">
        <f t="shared" si="14"/>
        <v>-0.46271958360442422</v>
      </c>
      <c r="P35">
        <f t="shared" si="14"/>
        <v>-0.24911548652207713</v>
      </c>
      <c r="Q35">
        <f t="shared" si="14"/>
        <v>-0.26326118869864895</v>
      </c>
      <c r="R35">
        <f t="shared" si="14"/>
        <v>-0.27326377519126011</v>
      </c>
      <c r="S35">
        <f t="shared" si="14"/>
        <v>-0.33966894281185223</v>
      </c>
      <c r="T35">
        <f t="shared" si="14"/>
        <v>-0.29245792166485568</v>
      </c>
      <c r="U35">
        <f t="shared" si="14"/>
        <v>-0.35124929644696812</v>
      </c>
      <c r="V35">
        <f t="shared" si="14"/>
        <v>-0.39761987602337523</v>
      </c>
      <c r="W35">
        <f t="shared" si="14"/>
        <v>-0.4371588982145147</v>
      </c>
      <c r="X35">
        <f t="shared" ref="X35:AE35" si="15">X33/X34</f>
        <v>-0.43794552333967429</v>
      </c>
      <c r="Y35">
        <f t="shared" si="15"/>
        <v>-0.36585348721226724</v>
      </c>
      <c r="Z35">
        <f t="shared" si="15"/>
        <v>-0.31707573043770287</v>
      </c>
      <c r="AA35">
        <f t="shared" si="15"/>
        <v>-0.28147914254639861</v>
      </c>
      <c r="AB35" s="5">
        <f t="shared" si="15"/>
        <v>-0.4072069274578855</v>
      </c>
      <c r="AC35">
        <f t="shared" si="15"/>
        <v>-0.33110798700804034</v>
      </c>
      <c r="AD35">
        <f t="shared" si="15"/>
        <v>-0.34778582485625831</v>
      </c>
      <c r="AE35">
        <f t="shared" si="15"/>
        <v>-0.38555093051120976</v>
      </c>
    </row>
    <row r="37" spans="4:31" x14ac:dyDescent="0.35">
      <c r="D37" t="s">
        <v>19</v>
      </c>
      <c r="L37" s="7">
        <f t="shared" ref="L37:AC37" si="16">(L21/L19)</f>
        <v>0.60618979946312967</v>
      </c>
      <c r="M37" s="7">
        <f t="shared" si="16"/>
        <v>0.74098834583069839</v>
      </c>
      <c r="N37" s="7">
        <f t="shared" si="16"/>
        <v>0.78505641261800596</v>
      </c>
      <c r="O37" s="7">
        <f t="shared" si="16"/>
        <v>0.62724710303789544</v>
      </c>
      <c r="P37" s="7">
        <f t="shared" si="16"/>
        <v>0.74447632711621237</v>
      </c>
      <c r="Q37" s="7">
        <f t="shared" si="16"/>
        <v>0.76596150181055844</v>
      </c>
      <c r="R37" s="7">
        <f t="shared" si="16"/>
        <v>0.76983915738240993</v>
      </c>
      <c r="S37" s="7">
        <f t="shared" si="16"/>
        <v>0.79387112804373028</v>
      </c>
      <c r="T37" s="7">
        <f t="shared" si="16"/>
        <v>0.74010197180167525</v>
      </c>
      <c r="U37" s="7">
        <f t="shared" si="16"/>
        <v>0.72042591871185557</v>
      </c>
      <c r="V37" s="7">
        <f t="shared" si="16"/>
        <v>0.64048445536777565</v>
      </c>
      <c r="W37" s="7">
        <f t="shared" si="16"/>
        <v>0.62151331399947274</v>
      </c>
      <c r="X37" s="7">
        <f t="shared" si="16"/>
        <v>0.65841532884515797</v>
      </c>
      <c r="Y37" s="7">
        <f t="shared" si="16"/>
        <v>0.69718277599633527</v>
      </c>
      <c r="Z37" s="7">
        <f t="shared" si="16"/>
        <v>0.6883336817896718</v>
      </c>
      <c r="AA37" s="7">
        <f t="shared" si="16"/>
        <v>0.69946374868654659</v>
      </c>
      <c r="AB37" s="7">
        <f t="shared" si="16"/>
        <v>0.5037851621643159</v>
      </c>
      <c r="AC37" s="7">
        <f t="shared" si="16"/>
        <v>0.63393696603033156</v>
      </c>
      <c r="AD37" s="7">
        <f>(AD21/AD19)</f>
        <v>0.48980722065455312</v>
      </c>
      <c r="AE37" s="7">
        <f>(AE21/AE19)</f>
        <v>0.57155338109383191</v>
      </c>
    </row>
    <row r="38" spans="4:31" x14ac:dyDescent="0.35">
      <c r="D38" t="s">
        <v>20</v>
      </c>
      <c r="L38" s="7">
        <f t="shared" ref="L38:AC38" si="17">(L28/L19)</f>
        <v>-1.5825832938575715</v>
      </c>
      <c r="M38" s="7">
        <f t="shared" si="17"/>
        <v>-0.72748215737645672</v>
      </c>
      <c r="N38" s="7">
        <f t="shared" si="17"/>
        <v>-0.6928006754163788</v>
      </c>
      <c r="O38" s="7">
        <f t="shared" si="17"/>
        <v>-2.004635139367366</v>
      </c>
      <c r="P38" s="7">
        <f t="shared" si="17"/>
        <v>-1.6556671449067433</v>
      </c>
      <c r="Q38" s="7">
        <f t="shared" si="17"/>
        <v>-1.7585763293310464</v>
      </c>
      <c r="R38" s="7">
        <f t="shared" si="17"/>
        <v>-1.4087607893836267</v>
      </c>
      <c r="S38" s="7">
        <f t="shared" si="17"/>
        <v>-1.4655954944508862</v>
      </c>
      <c r="T38" s="7">
        <f t="shared" si="17"/>
        <v>-1.0738255033557047</v>
      </c>
      <c r="U38" s="7">
        <f t="shared" si="17"/>
        <v>-1.2924295546032982</v>
      </c>
      <c r="V38" s="7">
        <f t="shared" si="17"/>
        <v>-1.4271416626548763</v>
      </c>
      <c r="W38" s="7">
        <f t="shared" si="17"/>
        <v>-1.6239388346954917</v>
      </c>
      <c r="X38" s="7">
        <f t="shared" si="17"/>
        <v>-1.6344122216468151</v>
      </c>
      <c r="Y38" s="7">
        <f t="shared" si="17"/>
        <v>-1.2025194686211635</v>
      </c>
      <c r="Z38" s="7">
        <f t="shared" si="17"/>
        <v>-0.94984319464771061</v>
      </c>
      <c r="AA38" s="7">
        <f t="shared" si="17"/>
        <v>-0.70893872966411831</v>
      </c>
      <c r="AB38" s="7">
        <f t="shared" si="17"/>
        <v>-1.5191914362366192</v>
      </c>
      <c r="AC38" s="7">
        <f t="shared" si="17"/>
        <v>-0.9773535543473818</v>
      </c>
      <c r="AD38" s="7">
        <f>(AD28/AD19)</f>
        <v>-1.3438118093831588</v>
      </c>
      <c r="AE38" s="7">
        <f>(AE28/AE19)</f>
        <v>-1.552245325878036</v>
      </c>
    </row>
    <row r="39" spans="4:31" x14ac:dyDescent="0.35">
      <c r="D39" t="s">
        <v>21</v>
      </c>
      <c r="L39" s="7">
        <f t="shared" ref="L39:AC39" si="18">(L33/L19)</f>
        <v>-1.4716564029685772</v>
      </c>
      <c r="M39" s="7">
        <f t="shared" si="18"/>
        <v>-0.73940735387117174</v>
      </c>
      <c r="N39" s="7">
        <f t="shared" si="18"/>
        <v>-0.53534423209762838</v>
      </c>
      <c r="O39" s="7">
        <f t="shared" si="18"/>
        <v>-2.004635139367366</v>
      </c>
      <c r="P39" s="7">
        <f t="shared" si="18"/>
        <v>-1.5018173122907699</v>
      </c>
      <c r="Q39" s="7">
        <f t="shared" si="18"/>
        <v>-1.5978178006479893</v>
      </c>
      <c r="R39" s="7">
        <f t="shared" si="18"/>
        <v>-1.3962127837560363</v>
      </c>
      <c r="S39" s="7">
        <f t="shared" si="18"/>
        <v>-1.4765612058969686</v>
      </c>
      <c r="T39" s="7">
        <f t="shared" si="18"/>
        <v>-1.0572290723687634</v>
      </c>
      <c r="U39" s="7">
        <f t="shared" si="18"/>
        <v>-1.2803791715361641</v>
      </c>
      <c r="V39" s="7">
        <f t="shared" si="18"/>
        <v>-1.4188562596599692</v>
      </c>
      <c r="W39" s="7">
        <f t="shared" si="18"/>
        <v>-1.6176377537569206</v>
      </c>
      <c r="X39" s="7">
        <f t="shared" si="18"/>
        <v>-1.6273951320559297</v>
      </c>
      <c r="Y39" s="7">
        <f t="shared" si="18"/>
        <v>-1.1929454878607422</v>
      </c>
      <c r="Z39" s="7">
        <f t="shared" si="18"/>
        <v>-0.94750156805352292</v>
      </c>
      <c r="AA39" s="7">
        <f t="shared" si="18"/>
        <v>-0.72674734591833035</v>
      </c>
      <c r="AB39" s="7">
        <f t="shared" si="18"/>
        <v>-1.5326586447791324</v>
      </c>
      <c r="AC39" s="7">
        <f t="shared" si="18"/>
        <v>-0.97721048113477493</v>
      </c>
      <c r="AD39" s="7">
        <f>(AD33/AD19)</f>
        <v>-1.3271974471900629</v>
      </c>
      <c r="AE39" s="7">
        <f>(AE33/AE19)</f>
        <v>-1.2158614363096278</v>
      </c>
    </row>
    <row r="40" spans="4:31" x14ac:dyDescent="0.35">
      <c r="D40" t="s">
        <v>22</v>
      </c>
      <c r="L40" s="7">
        <f t="shared" ref="L40:AC40" si="19">(L31/L19)</f>
        <v>-2.0053687036159798E-2</v>
      </c>
      <c r="M40" s="7">
        <f t="shared" si="19"/>
        <v>-3.2071551178968288E-2</v>
      </c>
      <c r="N40" s="7">
        <f t="shared" si="19"/>
        <v>0</v>
      </c>
      <c r="O40" s="7">
        <f t="shared" si="19"/>
        <v>0</v>
      </c>
      <c r="P40" s="7">
        <f t="shared" si="19"/>
        <v>0</v>
      </c>
      <c r="Q40" s="7">
        <f t="shared" si="19"/>
        <v>0</v>
      </c>
      <c r="R40" s="7">
        <f t="shared" si="19"/>
        <v>0</v>
      </c>
      <c r="S40" s="7">
        <f t="shared" si="19"/>
        <v>0</v>
      </c>
      <c r="T40" s="7">
        <f t="shared" si="19"/>
        <v>0</v>
      </c>
      <c r="U40" s="7">
        <f t="shared" si="19"/>
        <v>0</v>
      </c>
      <c r="V40" s="7">
        <f t="shared" si="19"/>
        <v>0</v>
      </c>
      <c r="W40" s="7">
        <f t="shared" si="19"/>
        <v>0</v>
      </c>
      <c r="X40" s="7">
        <f t="shared" si="19"/>
        <v>0</v>
      </c>
      <c r="Y40" s="7">
        <f t="shared" si="19"/>
        <v>0</v>
      </c>
      <c r="Z40" s="7">
        <f t="shared" si="19"/>
        <v>0</v>
      </c>
      <c r="AA40" s="7">
        <f t="shared" si="19"/>
        <v>0</v>
      </c>
      <c r="AB40" s="7">
        <f t="shared" si="19"/>
        <v>0</v>
      </c>
      <c r="AC40" s="7">
        <f t="shared" si="19"/>
        <v>0</v>
      </c>
      <c r="AD40" s="7">
        <f>(AD31/AD19)</f>
        <v>0</v>
      </c>
      <c r="AE40" s="7">
        <f>(AE31/AE19)</f>
        <v>0</v>
      </c>
    </row>
    <row r="42" spans="4:31" x14ac:dyDescent="0.35">
      <c r="D42" t="s">
        <v>23</v>
      </c>
      <c r="O42" s="7" t="e">
        <f t="shared" ref="O42" si="20">(O$19/K$19)-1</f>
        <v>#DIV/0!</v>
      </c>
      <c r="P42" s="7">
        <f>(P$19/L$19)-1</f>
        <v>0.65087636191378495</v>
      </c>
      <c r="Q42" s="7">
        <f t="shared" ref="Q42" si="21">(Q$19/M$19)-1</f>
        <v>-5.1946878670159902E-2</v>
      </c>
      <c r="R42" s="7">
        <f t="shared" ref="R42:S42" si="22">(R$19/N$19)-1</f>
        <v>9.2485992785324989E-3</v>
      </c>
      <c r="S42" s="7">
        <f t="shared" si="22"/>
        <v>0.89069840275602874</v>
      </c>
      <c r="T42" s="7">
        <f>(T$19/P$19)-1</f>
        <v>0.83845050215208028</v>
      </c>
      <c r="U42" s="7">
        <f t="shared" ref="U42:AA42" si="23">(U$19/Q$19)-1</f>
        <v>0.8346197827329902</v>
      </c>
      <c r="V42" s="7">
        <f t="shared" si="23"/>
        <v>0.50070344880033457</v>
      </c>
      <c r="W42" s="7">
        <f t="shared" si="23"/>
        <v>0.25658439622328966</v>
      </c>
      <c r="X42" s="7">
        <f t="shared" si="23"/>
        <v>4.6303522189272694E-3</v>
      </c>
      <c r="Y42" s="7">
        <f t="shared" si="23"/>
        <v>0.13387871704973375</v>
      </c>
      <c r="Z42" s="7">
        <f t="shared" si="23"/>
        <v>0.21189854815415421</v>
      </c>
      <c r="AA42" s="7">
        <f t="shared" si="23"/>
        <v>0.45525968890060642</v>
      </c>
      <c r="AB42" s="7">
        <f>(AB$19/X$19)-1</f>
        <v>-2.5194199896426683E-2</v>
      </c>
      <c r="AC42" s="7">
        <f t="shared" ref="AC42" si="24">(AC$19/Y$19)-1</f>
        <v>0.12061383417315619</v>
      </c>
      <c r="AD42" s="7">
        <f>(AD$19/Z$19)-1</f>
        <v>-0.20721304620531045</v>
      </c>
      <c r="AE42" s="7">
        <f>(AE$19/AA$19)-1</f>
        <v>-0.17054965759628971</v>
      </c>
    </row>
    <row r="43" spans="4:31" x14ac:dyDescent="0.35">
      <c r="D43" t="s">
        <v>37</v>
      </c>
      <c r="R43" s="7"/>
      <c r="S43" s="7"/>
      <c r="T43" s="7">
        <f t="shared" ref="T43:AC43" si="25">(T8/P8)-1</f>
        <v>0.4111742823050466</v>
      </c>
      <c r="U43" s="7">
        <f t="shared" si="25"/>
        <v>0.54707225355895783</v>
      </c>
      <c r="V43" s="7">
        <f t="shared" si="25"/>
        <v>0.46413292826585661</v>
      </c>
      <c r="W43" s="7">
        <f t="shared" si="25"/>
        <v>4.4417297825555924E-2</v>
      </c>
      <c r="X43" s="7">
        <f t="shared" si="25"/>
        <v>3.5364337229544907E-2</v>
      </c>
      <c r="Y43" s="7">
        <f t="shared" si="25"/>
        <v>-2.8690481357697806E-2</v>
      </c>
      <c r="Z43" s="7">
        <f t="shared" si="25"/>
        <v>0.18056320135507087</v>
      </c>
      <c r="AA43" s="7">
        <f t="shared" si="25"/>
        <v>0.26747450173107512</v>
      </c>
      <c r="AB43" s="7">
        <f t="shared" si="25"/>
        <v>-0.22079169869331283</v>
      </c>
      <c r="AC43" s="7">
        <f t="shared" si="25"/>
        <v>2.9761372776834438E-2</v>
      </c>
      <c r="AD43" s="7">
        <f>(AD8/Z8)-1</f>
        <v>-0.52469600774776715</v>
      </c>
      <c r="AE43" s="7">
        <f>(AE8/AA8)-1</f>
        <v>-0.44549850503857369</v>
      </c>
    </row>
    <row r="44" spans="4:31" x14ac:dyDescent="0.35">
      <c r="D44" t="s">
        <v>40</v>
      </c>
      <c r="R44" s="7"/>
      <c r="S44" s="7"/>
      <c r="T44" s="7">
        <f>(T11/P11)-1</f>
        <v>1.7520636349992498</v>
      </c>
      <c r="U44" s="7">
        <f t="shared" ref="U44:AC44" si="26">(U11/Q11)-1</f>
        <v>1.5370734908136483</v>
      </c>
      <c r="V44" s="7">
        <f t="shared" si="26"/>
        <v>0.55870206489675511</v>
      </c>
      <c r="W44" s="7">
        <f t="shared" si="26"/>
        <v>0.70329218106995883</v>
      </c>
      <c r="X44" s="7">
        <f t="shared" si="26"/>
        <v>-2.9066913889949308E-2</v>
      </c>
      <c r="Y44" s="7">
        <f t="shared" si="26"/>
        <v>0.3760506918401656</v>
      </c>
      <c r="Z44" s="7">
        <f t="shared" si="26"/>
        <v>0.2585793590714105</v>
      </c>
      <c r="AA44" s="7">
        <f>(AA11/W11)-1</f>
        <v>0.69769267939115731</v>
      </c>
      <c r="AB44" s="7">
        <f t="shared" si="26"/>
        <v>0.20349359694450686</v>
      </c>
      <c r="AC44" s="7">
        <f t="shared" si="26"/>
        <v>0.21614509914481728</v>
      </c>
      <c r="AD44" s="7">
        <f>(AD11/Z11)-1</f>
        <v>0.23642925166658313</v>
      </c>
      <c r="AE44" s="7">
        <f>(AE11/AA11)-1</f>
        <v>9.4460454691002171E-2</v>
      </c>
    </row>
    <row r="45" spans="4:31" x14ac:dyDescent="0.35">
      <c r="D45" t="s">
        <v>91</v>
      </c>
      <c r="T45" s="7">
        <f>(T13/P13)-1</f>
        <v>0.41107561235356771</v>
      </c>
      <c r="U45" s="7">
        <f t="shared" ref="U45:W45" si="27">(U13/Q13)-1</f>
        <v>0.71125943122460833</v>
      </c>
      <c r="V45" s="7">
        <f t="shared" si="27"/>
        <v>0.44179172351068674</v>
      </c>
      <c r="W45" s="7">
        <f t="shared" si="27"/>
        <v>0.31402263571839639</v>
      </c>
    </row>
    <row r="47" spans="4:31" x14ac:dyDescent="0.35">
      <c r="D47" t="s">
        <v>72</v>
      </c>
    </row>
    <row r="48" spans="4:31" x14ac:dyDescent="0.35">
      <c r="D48" t="s">
        <v>4</v>
      </c>
    </row>
    <row r="49" spans="4:36" x14ac:dyDescent="0.35">
      <c r="D49" t="s">
        <v>73</v>
      </c>
      <c r="AJ49" t="s">
        <v>88</v>
      </c>
    </row>
    <row r="50" spans="4:36" x14ac:dyDescent="0.35">
      <c r="D50" t="s">
        <v>74</v>
      </c>
      <c r="AJ50" t="s">
        <v>2</v>
      </c>
    </row>
    <row r="51" spans="4:36" x14ac:dyDescent="0.35">
      <c r="D51" t="s">
        <v>75</v>
      </c>
      <c r="AJ51" t="s">
        <v>3</v>
      </c>
    </row>
    <row r="52" spans="4:36" x14ac:dyDescent="0.35">
      <c r="D52" t="s">
        <v>76</v>
      </c>
      <c r="AJ52" t="s">
        <v>4</v>
      </c>
    </row>
    <row r="53" spans="4:36" x14ac:dyDescent="0.35">
      <c r="D53" t="s">
        <v>77</v>
      </c>
      <c r="AJ53" t="s">
        <v>89</v>
      </c>
    </row>
    <row r="54" spans="4:36" x14ac:dyDescent="0.35">
      <c r="D54" t="s">
        <v>78</v>
      </c>
      <c r="AJ54" t="s">
        <v>6</v>
      </c>
    </row>
    <row r="55" spans="4:36" x14ac:dyDescent="0.35">
      <c r="D55" t="s">
        <v>79</v>
      </c>
      <c r="AJ55" s="2" t="s">
        <v>7</v>
      </c>
    </row>
    <row r="56" spans="4:36" x14ac:dyDescent="0.35">
      <c r="D56" t="s">
        <v>80</v>
      </c>
    </row>
    <row r="58" spans="4:36" x14ac:dyDescent="0.35">
      <c r="D58" t="s">
        <v>81</v>
      </c>
    </row>
    <row r="59" spans="4:36" x14ac:dyDescent="0.35">
      <c r="D59" t="s">
        <v>82</v>
      </c>
    </row>
    <row r="60" spans="4:36" x14ac:dyDescent="0.35">
      <c r="D60" t="s">
        <v>83</v>
      </c>
    </row>
    <row r="61" spans="4:36" x14ac:dyDescent="0.35">
      <c r="D61" t="s">
        <v>5</v>
      </c>
    </row>
    <row r="62" spans="4:36" x14ac:dyDescent="0.35">
      <c r="D62" t="s">
        <v>84</v>
      </c>
    </row>
    <row r="63" spans="4:36" x14ac:dyDescent="0.35">
      <c r="D63" t="s">
        <v>85</v>
      </c>
    </row>
    <row r="64" spans="4:36" x14ac:dyDescent="0.35">
      <c r="D64" t="s">
        <v>86</v>
      </c>
    </row>
    <row r="65" spans="4:4" x14ac:dyDescent="0.35">
      <c r="D65" t="s">
        <v>87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EEA9-14BB-4F38-B332-3F511258AC19}">
  <dimension ref="B3:F12"/>
  <sheetViews>
    <sheetView workbookViewId="0">
      <selection activeCell="D41" sqref="D41"/>
    </sheetView>
  </sheetViews>
  <sheetFormatPr defaultRowHeight="14.5" x14ac:dyDescent="0.35"/>
  <sheetData>
    <row r="3" spans="2:6" x14ac:dyDescent="0.35">
      <c r="B3" t="s">
        <v>50</v>
      </c>
    </row>
    <row r="5" spans="2:6" x14ac:dyDescent="0.35">
      <c r="B5" t="s">
        <v>51</v>
      </c>
    </row>
    <row r="6" spans="2:6" x14ac:dyDescent="0.35">
      <c r="B6" t="s">
        <v>52</v>
      </c>
      <c r="D6" t="s">
        <v>53</v>
      </c>
      <c r="F6" t="s">
        <v>60</v>
      </c>
    </row>
    <row r="7" spans="2:6" x14ac:dyDescent="0.35">
      <c r="D7" t="s">
        <v>54</v>
      </c>
    </row>
    <row r="8" spans="2:6" x14ac:dyDescent="0.35">
      <c r="D8" t="s">
        <v>55</v>
      </c>
    </row>
    <row r="10" spans="2:6" x14ac:dyDescent="0.35">
      <c r="B10" t="s">
        <v>56</v>
      </c>
      <c r="D10" t="s">
        <v>57</v>
      </c>
      <c r="F10" t="s">
        <v>61</v>
      </c>
    </row>
    <row r="11" spans="2:6" x14ac:dyDescent="0.35">
      <c r="D11" t="s">
        <v>58</v>
      </c>
    </row>
    <row r="12" spans="2:6" x14ac:dyDescent="0.35">
      <c r="D1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Aquanker</dc:creator>
  <cp:lastModifiedBy>Anthony S</cp:lastModifiedBy>
  <dcterms:created xsi:type="dcterms:W3CDTF">2023-05-31T03:09:01Z</dcterms:created>
  <dcterms:modified xsi:type="dcterms:W3CDTF">2024-04-03T14:16:34Z</dcterms:modified>
</cp:coreProperties>
</file>