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quanker\Documents\Biotech Analysis\"/>
    </mc:Choice>
  </mc:AlternateContent>
  <xr:revisionPtr revIDLastSave="0" documentId="13_ncr:1_{728EA6B1-9177-414D-B0C1-9059E178B9CE}" xr6:coauthVersionLast="47" xr6:coauthVersionMax="47" xr10:uidLastSave="{00000000-0000-0000-0000-000000000000}"/>
  <bookViews>
    <workbookView xWindow="65025" yWindow="5910" windowWidth="23160" windowHeight="13485" xr2:uid="{0374EBF8-924E-459F-88DF-3077CA4F0A6A}"/>
  </bookViews>
  <sheets>
    <sheet name="Financials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8" i="1" l="1"/>
  <c r="Z37" i="1"/>
  <c r="Z36" i="1"/>
  <c r="Z35" i="1"/>
  <c r="Z34" i="1"/>
  <c r="Z33" i="1"/>
  <c r="Z32" i="1"/>
  <c r="Z31" i="1"/>
  <c r="Z30" i="1"/>
  <c r="Z29" i="1"/>
  <c r="Z27" i="1"/>
  <c r="Z25" i="1"/>
  <c r="Z21" i="1"/>
  <c r="Z22" i="1" s="1"/>
  <c r="Z20" i="1"/>
  <c r="Z19" i="1"/>
  <c r="Z15" i="1"/>
  <c r="Z10" i="1"/>
  <c r="AI30" i="1"/>
  <c r="AI31" i="1"/>
  <c r="AI32" i="1"/>
  <c r="AI29" i="1"/>
  <c r="X37" i="1"/>
  <c r="AM4" i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AL4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I37" i="1"/>
  <c r="AF38" i="1"/>
  <c r="AG38" i="1"/>
  <c r="AH38" i="1"/>
  <c r="AI38" i="1"/>
  <c r="AE35" i="1"/>
  <c r="AE36" i="1"/>
  <c r="AE38" i="1"/>
  <c r="AE34" i="1"/>
  <c r="AF33" i="1"/>
  <c r="AG33" i="1"/>
  <c r="AH33" i="1"/>
  <c r="AI33" i="1"/>
  <c r="AE33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Y33" i="1"/>
  <c r="AD32" i="1"/>
  <c r="AD31" i="1"/>
  <c r="AD30" i="1"/>
  <c r="AD29" i="1"/>
  <c r="Y29" i="1"/>
  <c r="AI6" i="1"/>
  <c r="AI7" i="1"/>
  <c r="AI8" i="1"/>
  <c r="AI9" i="1"/>
  <c r="AI10" i="1"/>
  <c r="AI13" i="1"/>
  <c r="AI14" i="1"/>
  <c r="AI15" i="1"/>
  <c r="AI16" i="1"/>
  <c r="AI17" i="1"/>
  <c r="AI18" i="1"/>
  <c r="AI19" i="1"/>
  <c r="AI20" i="1"/>
  <c r="AI21" i="1"/>
  <c r="AI22" i="1"/>
  <c r="AI23" i="1"/>
  <c r="AI25" i="1"/>
  <c r="AI26" i="1"/>
  <c r="AI27" i="1"/>
  <c r="AH6" i="1"/>
  <c r="AH7" i="1"/>
  <c r="AH8" i="1"/>
  <c r="AH9" i="1"/>
  <c r="AH10" i="1"/>
  <c r="AH13" i="1"/>
  <c r="AH14" i="1"/>
  <c r="AH15" i="1"/>
  <c r="AH16" i="1"/>
  <c r="AH17" i="1"/>
  <c r="AH18" i="1"/>
  <c r="AH19" i="1"/>
  <c r="AH20" i="1"/>
  <c r="AH21" i="1"/>
  <c r="AH22" i="1"/>
  <c r="AH23" i="1"/>
  <c r="AH25" i="1"/>
  <c r="AH26" i="1"/>
  <c r="AH27" i="1"/>
  <c r="AG6" i="1"/>
  <c r="AG7" i="1"/>
  <c r="AG8" i="1"/>
  <c r="AG9" i="1"/>
  <c r="AG10" i="1"/>
  <c r="AG13" i="1"/>
  <c r="AG14" i="1"/>
  <c r="AG15" i="1"/>
  <c r="AG16" i="1"/>
  <c r="AG17" i="1"/>
  <c r="AG18" i="1"/>
  <c r="AG19" i="1"/>
  <c r="AG20" i="1"/>
  <c r="AG21" i="1"/>
  <c r="AG22" i="1"/>
  <c r="AG23" i="1"/>
  <c r="AG25" i="1"/>
  <c r="AG26" i="1"/>
  <c r="AG27" i="1"/>
  <c r="AF6" i="1"/>
  <c r="AF7" i="1"/>
  <c r="AF8" i="1"/>
  <c r="AF9" i="1"/>
  <c r="AF10" i="1"/>
  <c r="AF13" i="1"/>
  <c r="AF14" i="1"/>
  <c r="AF15" i="1"/>
  <c r="AF16" i="1"/>
  <c r="AF17" i="1"/>
  <c r="AF18" i="1"/>
  <c r="AF19" i="1"/>
  <c r="AF20" i="1"/>
  <c r="AF21" i="1"/>
  <c r="AF22" i="1"/>
  <c r="AF23" i="1"/>
  <c r="AF25" i="1"/>
  <c r="AF26" i="1"/>
  <c r="AF27" i="1"/>
  <c r="AI5" i="1"/>
  <c r="AH5" i="1"/>
  <c r="AG5" i="1"/>
  <c r="AE5" i="1"/>
  <c r="AF5" i="1"/>
  <c r="AE14" i="1"/>
  <c r="AE15" i="1"/>
  <c r="AE16" i="1"/>
  <c r="AE17" i="1"/>
  <c r="AE18" i="1"/>
  <c r="AE21" i="1"/>
  <c r="AE23" i="1"/>
  <c r="AE26" i="1"/>
  <c r="AE13" i="1"/>
  <c r="AE6" i="1"/>
  <c r="AE7" i="1"/>
  <c r="AE8" i="1"/>
  <c r="AE9" i="1"/>
  <c r="AE10" i="1"/>
  <c r="AD6" i="1"/>
  <c r="AD7" i="1"/>
  <c r="AD8" i="1"/>
  <c r="AD9" i="1"/>
  <c r="AD10" i="1"/>
  <c r="AD5" i="1"/>
  <c r="AD15" i="1"/>
  <c r="AD14" i="1"/>
  <c r="AD16" i="1"/>
  <c r="AD17" i="1"/>
  <c r="AD18" i="1"/>
  <c r="AD21" i="1"/>
  <c r="AD23" i="1"/>
  <c r="AD26" i="1"/>
  <c r="AD13" i="1"/>
  <c r="I26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V37" i="1"/>
  <c r="W37" i="1"/>
  <c r="Y37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F35" i="1"/>
  <c r="F36" i="1"/>
  <c r="F38" i="1"/>
  <c r="F34" i="1"/>
  <c r="E9" i="1"/>
  <c r="E6" i="1"/>
  <c r="F33" i="1"/>
  <c r="G33" i="1"/>
  <c r="H33" i="1"/>
  <c r="I33" i="1"/>
  <c r="I21" i="1"/>
  <c r="E21" i="1"/>
  <c r="E7" i="1"/>
  <c r="E5" i="1"/>
  <c r="B10" i="1"/>
  <c r="B21" i="1"/>
  <c r="B19" i="1"/>
  <c r="B15" i="1"/>
  <c r="B29" i="1" s="1"/>
  <c r="I9" i="1"/>
  <c r="I7" i="1"/>
  <c r="I6" i="1"/>
  <c r="I5" i="1"/>
  <c r="F10" i="1"/>
  <c r="D10" i="1"/>
  <c r="C10" i="1"/>
  <c r="F21" i="1"/>
  <c r="H21" i="1"/>
  <c r="D21" i="1"/>
  <c r="C21" i="1"/>
  <c r="C29" i="1"/>
  <c r="C19" i="1"/>
  <c r="C20" i="1" s="1"/>
  <c r="D19" i="1"/>
  <c r="D20" i="1" s="1"/>
  <c r="D30" i="1" s="1"/>
  <c r="E19" i="1"/>
  <c r="F19" i="1"/>
  <c r="F15" i="1"/>
  <c r="E15" i="1"/>
  <c r="D15" i="1"/>
  <c r="D29" i="1" s="1"/>
  <c r="C15" i="1"/>
  <c r="G21" i="1"/>
  <c r="M13" i="1"/>
  <c r="M33" i="1" s="1"/>
  <c r="J33" i="1"/>
  <c r="K33" i="1"/>
  <c r="L33" i="1"/>
  <c r="N33" i="1"/>
  <c r="O33" i="1"/>
  <c r="P33" i="1"/>
  <c r="R33" i="1"/>
  <c r="S33" i="1"/>
  <c r="T33" i="1"/>
  <c r="M23" i="1"/>
  <c r="M18" i="1"/>
  <c r="M17" i="1"/>
  <c r="M16" i="1"/>
  <c r="M14" i="1"/>
  <c r="M15" i="1" s="1"/>
  <c r="Q21" i="1"/>
  <c r="Q18" i="1"/>
  <c r="Q17" i="1"/>
  <c r="Q16" i="1"/>
  <c r="Q14" i="1"/>
  <c r="Q13" i="1"/>
  <c r="Q9" i="1"/>
  <c r="Q7" i="1"/>
  <c r="Q6" i="1"/>
  <c r="Q5" i="1"/>
  <c r="M9" i="1"/>
  <c r="M7" i="1"/>
  <c r="M6" i="1"/>
  <c r="M5" i="1"/>
  <c r="M10" i="1" s="1"/>
  <c r="L21" i="1"/>
  <c r="P21" i="1"/>
  <c r="O21" i="1"/>
  <c r="K21" i="1"/>
  <c r="J21" i="1"/>
  <c r="N21" i="1"/>
  <c r="P19" i="1"/>
  <c r="O19" i="1"/>
  <c r="N19" i="1"/>
  <c r="L19" i="1"/>
  <c r="K19" i="1"/>
  <c r="J19" i="1"/>
  <c r="I19" i="1"/>
  <c r="H19" i="1"/>
  <c r="G19" i="1"/>
  <c r="AE19" i="1" s="1"/>
  <c r="P15" i="1"/>
  <c r="P20" i="1" s="1"/>
  <c r="O15" i="1"/>
  <c r="O29" i="1" s="1"/>
  <c r="N15" i="1"/>
  <c r="N29" i="1" s="1"/>
  <c r="L15" i="1"/>
  <c r="L29" i="1" s="1"/>
  <c r="K15" i="1"/>
  <c r="K29" i="1" s="1"/>
  <c r="J15" i="1"/>
  <c r="J29" i="1" s="1"/>
  <c r="I15" i="1"/>
  <c r="I29" i="1" s="1"/>
  <c r="H15" i="1"/>
  <c r="H29" i="1" s="1"/>
  <c r="G15" i="1"/>
  <c r="G29" i="1" s="1"/>
  <c r="P10" i="1"/>
  <c r="O10" i="1"/>
  <c r="N10" i="1"/>
  <c r="L10" i="1"/>
  <c r="K10" i="1"/>
  <c r="J10" i="1"/>
  <c r="I10" i="1"/>
  <c r="H10" i="1"/>
  <c r="G10" i="1"/>
  <c r="AD20" i="1" l="1"/>
  <c r="AD19" i="1"/>
  <c r="E10" i="1"/>
  <c r="I20" i="1"/>
  <c r="E20" i="1"/>
  <c r="E30" i="1" s="1"/>
  <c r="E29" i="1"/>
  <c r="B20" i="1"/>
  <c r="F20" i="1"/>
  <c r="F22" i="1" s="1"/>
  <c r="F25" i="1" s="1"/>
  <c r="F29" i="1"/>
  <c r="D22" i="1"/>
  <c r="C22" i="1"/>
  <c r="C30" i="1"/>
  <c r="M19" i="1"/>
  <c r="Q10" i="1"/>
  <c r="Q15" i="1"/>
  <c r="M21" i="1"/>
  <c r="Q19" i="1"/>
  <c r="Q20" i="1" s="1"/>
  <c r="Q30" i="1" s="1"/>
  <c r="I30" i="1"/>
  <c r="I22" i="1"/>
  <c r="K20" i="1"/>
  <c r="K30" i="1" s="1"/>
  <c r="P22" i="1"/>
  <c r="P25" i="1" s="1"/>
  <c r="P31" i="1" s="1"/>
  <c r="G20" i="1"/>
  <c r="AE20" i="1" s="1"/>
  <c r="H20" i="1"/>
  <c r="Q33" i="1"/>
  <c r="M20" i="1"/>
  <c r="M30" i="1" s="1"/>
  <c r="M29" i="1"/>
  <c r="Q29" i="1"/>
  <c r="P29" i="1"/>
  <c r="P30" i="1"/>
  <c r="L20" i="1"/>
  <c r="L22" i="1" s="1"/>
  <c r="L32" i="1" s="1"/>
  <c r="O20" i="1"/>
  <c r="O30" i="1" s="1"/>
  <c r="K22" i="1"/>
  <c r="J20" i="1"/>
  <c r="N20" i="1"/>
  <c r="N30" i="1" s="1"/>
  <c r="AD22" i="1" l="1"/>
  <c r="E22" i="1"/>
  <c r="E32" i="1"/>
  <c r="E25" i="1"/>
  <c r="B30" i="1"/>
  <c r="B22" i="1"/>
  <c r="F30" i="1"/>
  <c r="F32" i="1"/>
  <c r="F27" i="1"/>
  <c r="F31" i="1"/>
  <c r="D25" i="1"/>
  <c r="D32" i="1"/>
  <c r="C32" i="1"/>
  <c r="C25" i="1"/>
  <c r="P32" i="1"/>
  <c r="P27" i="1"/>
  <c r="M22" i="1"/>
  <c r="H30" i="1"/>
  <c r="H22" i="1"/>
  <c r="G22" i="1"/>
  <c r="G30" i="1"/>
  <c r="Q22" i="1"/>
  <c r="Q25" i="1" s="1"/>
  <c r="I32" i="1"/>
  <c r="I25" i="1"/>
  <c r="M25" i="1"/>
  <c r="M32" i="1"/>
  <c r="L30" i="1"/>
  <c r="L25" i="1"/>
  <c r="L27" i="1" s="1"/>
  <c r="O22" i="1"/>
  <c r="O32" i="1" s="1"/>
  <c r="O25" i="1"/>
  <c r="K25" i="1"/>
  <c r="K32" i="1"/>
  <c r="J30" i="1"/>
  <c r="J22" i="1"/>
  <c r="N22" i="1"/>
  <c r="N32" i="1" s="1"/>
  <c r="AE22" i="1" l="1"/>
  <c r="AD25" i="1"/>
  <c r="E31" i="1"/>
  <c r="B32" i="1"/>
  <c r="B25" i="1"/>
  <c r="D27" i="1"/>
  <c r="D31" i="1"/>
  <c r="C27" i="1"/>
  <c r="AD27" i="1" s="1"/>
  <c r="C31" i="1"/>
  <c r="Q32" i="1"/>
  <c r="N25" i="1"/>
  <c r="G32" i="1"/>
  <c r="G25" i="1"/>
  <c r="I31" i="1"/>
  <c r="H32" i="1"/>
  <c r="H25" i="1"/>
  <c r="M31" i="1"/>
  <c r="M27" i="1"/>
  <c r="Q27" i="1"/>
  <c r="Q31" i="1"/>
  <c r="L31" i="1"/>
  <c r="O31" i="1"/>
  <c r="O27" i="1"/>
  <c r="K31" i="1"/>
  <c r="K27" i="1"/>
  <c r="J32" i="1"/>
  <c r="J25" i="1"/>
  <c r="N31" i="1"/>
  <c r="N27" i="1"/>
  <c r="AE25" i="1" l="1"/>
  <c r="B31" i="1"/>
  <c r="B27" i="1"/>
  <c r="H31" i="1"/>
  <c r="H27" i="1"/>
  <c r="G31" i="1"/>
  <c r="G27" i="1"/>
  <c r="AE27" i="1" s="1"/>
  <c r="J31" i="1"/>
  <c r="J27" i="1"/>
  <c r="W33" i="1" l="1"/>
  <c r="X33" i="1"/>
  <c r="V33" i="1"/>
  <c r="Y23" i="1"/>
  <c r="Y13" i="1"/>
  <c r="U23" i="1"/>
  <c r="U18" i="1"/>
  <c r="U17" i="1"/>
  <c r="U16" i="1"/>
  <c r="U14" i="1"/>
  <c r="U13" i="1"/>
  <c r="U33" i="1" s="1"/>
  <c r="Y17" i="1"/>
  <c r="Y16" i="1"/>
  <c r="Y14" i="1"/>
  <c r="Y9" i="1"/>
  <c r="Y8" i="1"/>
  <c r="Y7" i="1"/>
  <c r="Y6" i="1"/>
  <c r="Y5" i="1"/>
  <c r="U9" i="1"/>
  <c r="U8" i="1"/>
  <c r="U7" i="1"/>
  <c r="U6" i="1"/>
  <c r="S10" i="1"/>
  <c r="U5" i="1"/>
  <c r="T21" i="1"/>
  <c r="X21" i="1"/>
  <c r="X18" i="1"/>
  <c r="X19" i="1" s="1"/>
  <c r="S21" i="1"/>
  <c r="W21" i="1"/>
  <c r="W19" i="1"/>
  <c r="X15" i="1"/>
  <c r="X29" i="1" s="1"/>
  <c r="W15" i="1"/>
  <c r="W29" i="1" s="1"/>
  <c r="R21" i="1"/>
  <c r="T15" i="1"/>
  <c r="T29" i="1" s="1"/>
  <c r="S15" i="1"/>
  <c r="S29" i="1" s="1"/>
  <c r="T19" i="1"/>
  <c r="S19" i="1"/>
  <c r="R19" i="1"/>
  <c r="R15" i="1"/>
  <c r="R29" i="1" s="1"/>
  <c r="V21" i="1"/>
  <c r="V19" i="1"/>
  <c r="V15" i="1"/>
  <c r="V29" i="1" s="1"/>
  <c r="X10" i="1"/>
  <c r="W10" i="1"/>
  <c r="V10" i="1"/>
  <c r="T10" i="1"/>
  <c r="R10" i="1"/>
  <c r="U15" i="1" l="1"/>
  <c r="U29" i="1" s="1"/>
  <c r="Y15" i="1"/>
  <c r="U10" i="1"/>
  <c r="Y10" i="1"/>
  <c r="Y21" i="1"/>
  <c r="U21" i="1"/>
  <c r="Y18" i="1"/>
  <c r="Y19" i="1" s="1"/>
  <c r="Y20" i="1" s="1"/>
  <c r="U19" i="1"/>
  <c r="U20" i="1" s="1"/>
  <c r="R20" i="1"/>
  <c r="V20" i="1"/>
  <c r="T20" i="1"/>
  <c r="X20" i="1"/>
  <c r="S20" i="1"/>
  <c r="W20" i="1"/>
  <c r="X22" i="1" l="1"/>
  <c r="X30" i="1"/>
  <c r="V22" i="1"/>
  <c r="V30" i="1"/>
  <c r="Y22" i="1"/>
  <c r="Y30" i="1"/>
  <c r="W22" i="1"/>
  <c r="W30" i="1"/>
  <c r="T22" i="1"/>
  <c r="T30" i="1"/>
  <c r="S22" i="1"/>
  <c r="S30" i="1"/>
  <c r="R22" i="1"/>
  <c r="R30" i="1"/>
  <c r="U22" i="1"/>
  <c r="U30" i="1"/>
  <c r="T25" i="1" l="1"/>
  <c r="T32" i="1"/>
  <c r="Y25" i="1"/>
  <c r="Y32" i="1"/>
  <c r="U25" i="1"/>
  <c r="U32" i="1"/>
  <c r="V25" i="1"/>
  <c r="V32" i="1"/>
  <c r="S25" i="1"/>
  <c r="S32" i="1"/>
  <c r="W25" i="1"/>
  <c r="W32" i="1"/>
  <c r="R25" i="1"/>
  <c r="R32" i="1"/>
  <c r="X25" i="1"/>
  <c r="X32" i="1"/>
  <c r="S27" i="1" l="1"/>
  <c r="S31" i="1"/>
  <c r="Y27" i="1"/>
  <c r="Y31" i="1"/>
  <c r="V27" i="1"/>
  <c r="V31" i="1"/>
  <c r="X27" i="1"/>
  <c r="X31" i="1"/>
  <c r="W27" i="1"/>
  <c r="W31" i="1"/>
  <c r="U27" i="1"/>
  <c r="U31" i="1"/>
  <c r="R27" i="1"/>
  <c r="R31" i="1"/>
  <c r="T27" i="1"/>
  <c r="T31" i="1"/>
  <c r="E26" i="1"/>
</calcChain>
</file>

<file path=xl/sharedStrings.xml><?xml version="1.0" encoding="utf-8"?>
<sst xmlns="http://schemas.openxmlformats.org/spreadsheetml/2006/main" count="59" uniqueCount="59">
  <si>
    <t xml:space="preserve">INCOME STATEMENT </t>
  </si>
  <si>
    <t xml:space="preserve">Revenues </t>
  </si>
  <si>
    <t>Q123</t>
  </si>
  <si>
    <t>Q223</t>
  </si>
  <si>
    <t>Q323</t>
  </si>
  <si>
    <t>Q423</t>
  </si>
  <si>
    <t>Q422</t>
  </si>
  <si>
    <t xml:space="preserve">Synthetic Genes </t>
  </si>
  <si>
    <t xml:space="preserve">Oligo Pools </t>
  </si>
  <si>
    <t xml:space="preserve">DNA Libraries </t>
  </si>
  <si>
    <t xml:space="preserve">Antibody Discovery </t>
  </si>
  <si>
    <t xml:space="preserve">NGS Tools </t>
  </si>
  <si>
    <t xml:space="preserve">Totals </t>
  </si>
  <si>
    <t>Q322</t>
  </si>
  <si>
    <t>Q222</t>
  </si>
  <si>
    <t>Q122</t>
  </si>
  <si>
    <t>Q421</t>
  </si>
  <si>
    <t>Revenues</t>
  </si>
  <si>
    <t>COGS</t>
  </si>
  <si>
    <t xml:space="preserve">Gross Profit </t>
  </si>
  <si>
    <t>R&amp;D</t>
  </si>
  <si>
    <t xml:space="preserve">Operating Expenses </t>
  </si>
  <si>
    <t xml:space="preserve">Operating Profit </t>
  </si>
  <si>
    <t xml:space="preserve">Interest </t>
  </si>
  <si>
    <t xml:space="preserve">Pretax Income </t>
  </si>
  <si>
    <t xml:space="preserve">Taxes </t>
  </si>
  <si>
    <t xml:space="preserve">Net Income </t>
  </si>
  <si>
    <t xml:space="preserve">Shares </t>
  </si>
  <si>
    <t>EPS</t>
  </si>
  <si>
    <t>Gross Margin</t>
  </si>
  <si>
    <t xml:space="preserve">Operating Margin </t>
  </si>
  <si>
    <t xml:space="preserve">Tax Rate </t>
  </si>
  <si>
    <t>Revenue Y/Y</t>
  </si>
  <si>
    <t xml:space="preserve">Other </t>
  </si>
  <si>
    <t>SG&amp;A</t>
  </si>
  <si>
    <t>Q321</t>
  </si>
  <si>
    <t>Q221</t>
  </si>
  <si>
    <t>Q121</t>
  </si>
  <si>
    <t>Q420</t>
  </si>
  <si>
    <t>Net Margin</t>
  </si>
  <si>
    <t>Q320</t>
  </si>
  <si>
    <t>Q220</t>
  </si>
  <si>
    <t>Q120</t>
  </si>
  <si>
    <t>Q419</t>
  </si>
  <si>
    <t>Q319</t>
  </si>
  <si>
    <t>Q219</t>
  </si>
  <si>
    <t>Q119</t>
  </si>
  <si>
    <t xml:space="preserve">note: litigation settlement payment as income </t>
  </si>
  <si>
    <t>somewhere in here income from:</t>
  </si>
  <si>
    <t>Q418</t>
  </si>
  <si>
    <t>Q318</t>
  </si>
  <si>
    <t>Q218</t>
  </si>
  <si>
    <t>Q118</t>
  </si>
  <si>
    <t>Q417</t>
  </si>
  <si>
    <t>SG Y/Y</t>
  </si>
  <si>
    <t>OP Y/Y</t>
  </si>
  <si>
    <t>DNA Y/Y</t>
  </si>
  <si>
    <t>AD Y/Y</t>
  </si>
  <si>
    <t>NGS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</si>
</sst>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2" fillId="0" borderId="0" xfId="0" applyFont="1"/>
    <xf numFmtId="9" fontId="2" fillId="0" borderId="1" xfId="1" applyFont="1" applyBorder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6D48-10DF-4A0D-B9D5-6F2DDFC3BF1B}">
  <dimension ref="A2:BH39"/>
  <sheetViews>
    <sheetView tabSelected="1" zoomScaleNormal="100" workbookViewId="0">
      <pane xSplit="1" topLeftCell="K1" activePane="topRight" state="frozen"/>
      <selection pane="topRight" activeCell="AA11" sqref="AA11"/>
    </sheetView>
  </sheetViews>
  <sheetFormatPr defaultRowHeight="14.5" x14ac:dyDescent="0.35"/>
  <cols>
    <col min="1" max="1" width="17.81640625" customWidth="1"/>
    <col min="36" max="36" width="1" customWidth="1"/>
  </cols>
  <sheetData>
    <row r="2" spans="1:60" x14ac:dyDescent="0.35">
      <c r="A2" s="2" t="s">
        <v>0</v>
      </c>
    </row>
    <row r="4" spans="1:60" s="2" customFormat="1" x14ac:dyDescent="0.35">
      <c r="A4" s="2" t="s">
        <v>1</v>
      </c>
      <c r="B4" s="2" t="s">
        <v>53</v>
      </c>
      <c r="C4" s="2" t="s">
        <v>52</v>
      </c>
      <c r="D4" s="2" t="s">
        <v>51</v>
      </c>
      <c r="E4" s="2" t="s">
        <v>50</v>
      </c>
      <c r="F4" s="2" t="s">
        <v>49</v>
      </c>
      <c r="G4" s="2" t="s">
        <v>46</v>
      </c>
      <c r="H4" s="2" t="s">
        <v>45</v>
      </c>
      <c r="I4" s="2" t="s">
        <v>44</v>
      </c>
      <c r="J4" s="2" t="s">
        <v>43</v>
      </c>
      <c r="K4" s="2" t="s">
        <v>42</v>
      </c>
      <c r="L4" s="2" t="s">
        <v>41</v>
      </c>
      <c r="M4" s="2" t="s">
        <v>40</v>
      </c>
      <c r="N4" s="2" t="s">
        <v>38</v>
      </c>
      <c r="O4" s="2" t="s">
        <v>37</v>
      </c>
      <c r="P4" s="2" t="s">
        <v>36</v>
      </c>
      <c r="Q4" s="2" t="s">
        <v>35</v>
      </c>
      <c r="R4" s="2" t="s">
        <v>16</v>
      </c>
      <c r="S4" s="2" t="s">
        <v>15</v>
      </c>
      <c r="T4" s="2" t="s">
        <v>14</v>
      </c>
      <c r="U4" s="2" t="s">
        <v>13</v>
      </c>
      <c r="V4" s="2" t="s">
        <v>6</v>
      </c>
      <c r="W4" s="2" t="s">
        <v>2</v>
      </c>
      <c r="X4" s="2" t="s">
        <v>3</v>
      </c>
      <c r="Y4" s="2" t="s">
        <v>4</v>
      </c>
      <c r="Z4" s="2" t="s">
        <v>5</v>
      </c>
      <c r="AD4" s="2">
        <v>2018</v>
      </c>
      <c r="AE4" s="2">
        <v>2019</v>
      </c>
      <c r="AF4" s="2">
        <v>2020</v>
      </c>
      <c r="AG4" s="2">
        <v>2021</v>
      </c>
      <c r="AH4" s="2">
        <v>2022</v>
      </c>
      <c r="AI4" s="2">
        <v>2023</v>
      </c>
      <c r="AK4" s="2">
        <v>2024</v>
      </c>
      <c r="AL4" s="2">
        <f>AK4+1</f>
        <v>2025</v>
      </c>
      <c r="AM4" s="2">
        <f t="shared" ref="AM4:BH4" si="0">AL4+1</f>
        <v>2026</v>
      </c>
      <c r="AN4" s="2">
        <f t="shared" si="0"/>
        <v>2027</v>
      </c>
      <c r="AO4" s="2">
        <f t="shared" si="0"/>
        <v>2028</v>
      </c>
      <c r="AP4" s="2">
        <f t="shared" si="0"/>
        <v>2029</v>
      </c>
      <c r="AQ4" s="2">
        <f t="shared" si="0"/>
        <v>2030</v>
      </c>
      <c r="AR4" s="2">
        <f t="shared" si="0"/>
        <v>2031</v>
      </c>
      <c r="AS4" s="2">
        <f t="shared" si="0"/>
        <v>2032</v>
      </c>
      <c r="AT4" s="2">
        <f t="shared" si="0"/>
        <v>2033</v>
      </c>
      <c r="AU4" s="2">
        <f t="shared" si="0"/>
        <v>2034</v>
      </c>
      <c r="AV4" s="2">
        <f t="shared" si="0"/>
        <v>2035</v>
      </c>
      <c r="AW4" s="2">
        <f t="shared" si="0"/>
        <v>2036</v>
      </c>
      <c r="AX4" s="2">
        <f t="shared" si="0"/>
        <v>2037</v>
      </c>
      <c r="AY4" s="2">
        <f t="shared" si="0"/>
        <v>2038</v>
      </c>
      <c r="AZ4" s="2">
        <f t="shared" si="0"/>
        <v>2039</v>
      </c>
      <c r="BA4" s="2">
        <f t="shared" si="0"/>
        <v>2040</v>
      </c>
      <c r="BB4" s="2">
        <f t="shared" si="0"/>
        <v>2041</v>
      </c>
      <c r="BC4" s="2">
        <f t="shared" si="0"/>
        <v>2042</v>
      </c>
      <c r="BD4" s="2">
        <f t="shared" si="0"/>
        <v>2043</v>
      </c>
      <c r="BE4" s="2">
        <f t="shared" si="0"/>
        <v>2044</v>
      </c>
      <c r="BF4" s="2">
        <f t="shared" si="0"/>
        <v>2045</v>
      </c>
      <c r="BG4" s="2">
        <f t="shared" si="0"/>
        <v>2046</v>
      </c>
      <c r="BH4" s="2">
        <f t="shared" si="0"/>
        <v>2047</v>
      </c>
    </row>
    <row r="5" spans="1:60" x14ac:dyDescent="0.35">
      <c r="A5" t="s">
        <v>7</v>
      </c>
      <c r="B5">
        <v>3116</v>
      </c>
      <c r="C5">
        <v>4550</v>
      </c>
      <c r="D5">
        <v>4237</v>
      </c>
      <c r="E5">
        <f>17986-D5-C5-B5</f>
        <v>6083</v>
      </c>
      <c r="F5">
        <v>6511</v>
      </c>
      <c r="G5">
        <v>6098</v>
      </c>
      <c r="H5">
        <v>6242</v>
      </c>
      <c r="I5">
        <f>26712-H5-G5-F5</f>
        <v>7861</v>
      </c>
      <c r="J5">
        <v>7836</v>
      </c>
      <c r="K5">
        <v>9116</v>
      </c>
      <c r="L5">
        <v>9604</v>
      </c>
      <c r="M5">
        <f>35192-L5-K5-J5</f>
        <v>8636</v>
      </c>
      <c r="N5">
        <v>8874</v>
      </c>
      <c r="O5">
        <v>9189</v>
      </c>
      <c r="P5">
        <v>11164</v>
      </c>
      <c r="Q5">
        <f>38964-P5-O5-N5</f>
        <v>9737</v>
      </c>
      <c r="R5">
        <v>13525</v>
      </c>
      <c r="S5">
        <v>14163</v>
      </c>
      <c r="T5">
        <v>17400</v>
      </c>
      <c r="U5">
        <f>61509-T5-S5-R5</f>
        <v>16421</v>
      </c>
      <c r="V5">
        <v>16175</v>
      </c>
      <c r="W5">
        <v>18011</v>
      </c>
      <c r="X5">
        <v>19302</v>
      </c>
      <c r="Y5">
        <f>73541-X5-W5-V5</f>
        <v>20053</v>
      </c>
      <c r="Z5">
        <v>19726</v>
      </c>
      <c r="AD5">
        <f t="shared" ref="AD5:AD10" si="1">SUM(B5:E5)</f>
        <v>17986</v>
      </c>
      <c r="AE5">
        <f>SUM(F5:I5)</f>
        <v>26712</v>
      </c>
      <c r="AF5">
        <f>SUM(J5:M5)</f>
        <v>35192</v>
      </c>
      <c r="AG5">
        <f>SUM(N5:Q5)</f>
        <v>38964</v>
      </c>
      <c r="AH5">
        <f>SUM(R5:U5)</f>
        <v>61509</v>
      </c>
      <c r="AI5">
        <f>SUM(V5:Y5)</f>
        <v>73541</v>
      </c>
    </row>
    <row r="6" spans="1:60" x14ac:dyDescent="0.35">
      <c r="A6" t="s">
        <v>8</v>
      </c>
      <c r="B6">
        <v>728</v>
      </c>
      <c r="C6">
        <v>608</v>
      </c>
      <c r="D6">
        <v>810</v>
      </c>
      <c r="E6">
        <f>3002-D6-C6-B6</f>
        <v>856</v>
      </c>
      <c r="F6">
        <v>810</v>
      </c>
      <c r="G6">
        <v>1256</v>
      </c>
      <c r="H6">
        <v>1214</v>
      </c>
      <c r="I6">
        <f>4594-H6-G6-F6</f>
        <v>1314</v>
      </c>
      <c r="J6">
        <v>1242</v>
      </c>
      <c r="K6">
        <v>1101</v>
      </c>
      <c r="L6">
        <v>1004</v>
      </c>
      <c r="M6">
        <f>4545-L6-K6-J6</f>
        <v>1198</v>
      </c>
      <c r="N6">
        <v>1510</v>
      </c>
      <c r="O6">
        <v>1841</v>
      </c>
      <c r="P6">
        <v>2017</v>
      </c>
      <c r="Q6">
        <f>8039-P6-O6-N6</f>
        <v>2671</v>
      </c>
      <c r="R6">
        <v>3188</v>
      </c>
      <c r="S6">
        <v>2308</v>
      </c>
      <c r="T6">
        <v>3259</v>
      </c>
      <c r="U6">
        <f>12424-T6-S6-R6</f>
        <v>3669</v>
      </c>
      <c r="V6">
        <v>3699</v>
      </c>
      <c r="W6">
        <v>3315</v>
      </c>
      <c r="X6">
        <v>3735</v>
      </c>
      <c r="Y6">
        <f>14489-X6-W6-V6</f>
        <v>3740</v>
      </c>
      <c r="Z6">
        <v>4189</v>
      </c>
      <c r="AD6">
        <f t="shared" si="1"/>
        <v>3002</v>
      </c>
      <c r="AE6">
        <f t="shared" ref="AE6:AE10" si="2">SUM(F6:I6)</f>
        <v>4594</v>
      </c>
      <c r="AF6">
        <f t="shared" ref="AF6:AF27" si="3">SUM(J6:M6)</f>
        <v>4545</v>
      </c>
      <c r="AG6">
        <f t="shared" ref="AG6:AG27" si="4">SUM(N6:Q6)</f>
        <v>8039</v>
      </c>
      <c r="AH6">
        <f t="shared" ref="AH6:AH27" si="5">SUM(R6:U6)</f>
        <v>12424</v>
      </c>
      <c r="AI6">
        <f t="shared" ref="AI6:AI27" si="6">SUM(V6:Y6)</f>
        <v>14489</v>
      </c>
    </row>
    <row r="7" spans="1:60" x14ac:dyDescent="0.35">
      <c r="A7" t="s">
        <v>9</v>
      </c>
      <c r="B7">
        <v>308</v>
      </c>
      <c r="C7">
        <v>377</v>
      </c>
      <c r="D7">
        <v>523</v>
      </c>
      <c r="E7">
        <f>1771-D7-C7-B7</f>
        <v>563</v>
      </c>
      <c r="F7">
        <v>413</v>
      </c>
      <c r="G7">
        <v>663</v>
      </c>
      <c r="H7">
        <v>578</v>
      </c>
      <c r="I7">
        <f>2036-H7-G7-F7</f>
        <v>382</v>
      </c>
      <c r="J7">
        <v>1057</v>
      </c>
      <c r="K7">
        <v>1354</v>
      </c>
      <c r="L7">
        <v>1522</v>
      </c>
      <c r="M7">
        <f>6348-L7-K7-J7</f>
        <v>2415</v>
      </c>
      <c r="N7">
        <v>2205</v>
      </c>
      <c r="O7">
        <v>3223</v>
      </c>
      <c r="P7">
        <v>3140</v>
      </c>
      <c r="Q7">
        <f>12663-P7-O7-N7</f>
        <v>4095</v>
      </c>
      <c r="R7">
        <v>1261</v>
      </c>
      <c r="S7">
        <v>1967</v>
      </c>
      <c r="T7">
        <v>1422</v>
      </c>
      <c r="U7">
        <f>6149-T7-S7-R7</f>
        <v>1499</v>
      </c>
      <c r="V7">
        <v>1836</v>
      </c>
      <c r="W7">
        <v>2826</v>
      </c>
      <c r="X7">
        <v>2880</v>
      </c>
      <c r="Y7">
        <f>10201-X7-W7-V7</f>
        <v>2659</v>
      </c>
      <c r="Z7">
        <v>2939</v>
      </c>
      <c r="AD7">
        <f t="shared" si="1"/>
        <v>1771</v>
      </c>
      <c r="AE7">
        <f t="shared" si="2"/>
        <v>2036</v>
      </c>
      <c r="AF7">
        <f t="shared" si="3"/>
        <v>6348</v>
      </c>
      <c r="AG7">
        <f t="shared" si="4"/>
        <v>12663</v>
      </c>
      <c r="AH7">
        <f t="shared" si="5"/>
        <v>6149</v>
      </c>
      <c r="AI7">
        <f t="shared" si="6"/>
        <v>10201</v>
      </c>
    </row>
    <row r="8" spans="1:60" x14ac:dyDescent="0.35">
      <c r="A8" t="s">
        <v>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4813</v>
      </c>
      <c r="S8">
        <v>6587</v>
      </c>
      <c r="T8">
        <v>6242</v>
      </c>
      <c r="U8">
        <f>24171-T8-S8-R8</f>
        <v>6529</v>
      </c>
      <c r="V8">
        <v>8171</v>
      </c>
      <c r="W8">
        <v>7034</v>
      </c>
      <c r="X8">
        <v>4580</v>
      </c>
      <c r="Y8">
        <f>23172-X8-W8-V8</f>
        <v>3387</v>
      </c>
      <c r="Z8">
        <v>5226</v>
      </c>
      <c r="AD8">
        <f t="shared" si="1"/>
        <v>0</v>
      </c>
      <c r="AE8">
        <f t="shared" si="2"/>
        <v>0</v>
      </c>
      <c r="AF8">
        <f t="shared" si="3"/>
        <v>0</v>
      </c>
      <c r="AG8">
        <f t="shared" si="4"/>
        <v>0</v>
      </c>
      <c r="AH8">
        <f t="shared" si="5"/>
        <v>24171</v>
      </c>
      <c r="AI8">
        <f t="shared" si="6"/>
        <v>23172</v>
      </c>
    </row>
    <row r="9" spans="1:60" x14ac:dyDescent="0.35">
      <c r="A9" t="s">
        <v>11</v>
      </c>
      <c r="B9">
        <v>161</v>
      </c>
      <c r="C9">
        <v>631</v>
      </c>
      <c r="D9">
        <v>971</v>
      </c>
      <c r="E9">
        <f>2668-D9-C9-B9</f>
        <v>905</v>
      </c>
      <c r="F9">
        <v>3758</v>
      </c>
      <c r="G9">
        <v>5540</v>
      </c>
      <c r="H9">
        <v>5566</v>
      </c>
      <c r="I9">
        <f>21043-H9-G9-F9</f>
        <v>6179</v>
      </c>
      <c r="J9">
        <v>7029</v>
      </c>
      <c r="K9">
        <v>7726</v>
      </c>
      <c r="L9">
        <v>9077</v>
      </c>
      <c r="M9">
        <f>44015-L9-K9-J9</f>
        <v>20183</v>
      </c>
      <c r="N9">
        <v>15572</v>
      </c>
      <c r="O9">
        <v>16951</v>
      </c>
      <c r="P9">
        <v>18697</v>
      </c>
      <c r="Q9">
        <f>72667-P9-O9-N9</f>
        <v>21447</v>
      </c>
      <c r="R9">
        <v>19231</v>
      </c>
      <c r="S9">
        <v>23102</v>
      </c>
      <c r="T9">
        <v>27790</v>
      </c>
      <c r="U9">
        <f>99312-T9-S9-R9</f>
        <v>29189</v>
      </c>
      <c r="V9">
        <v>24362</v>
      </c>
      <c r="W9">
        <v>28994</v>
      </c>
      <c r="X9">
        <v>33243</v>
      </c>
      <c r="Y9">
        <f>123706-X9-W9-V9</f>
        <v>37107</v>
      </c>
      <c r="Z9">
        <v>39418</v>
      </c>
      <c r="AD9">
        <f t="shared" si="1"/>
        <v>2668</v>
      </c>
      <c r="AE9">
        <f t="shared" si="2"/>
        <v>21043</v>
      </c>
      <c r="AF9">
        <f t="shared" si="3"/>
        <v>44015</v>
      </c>
      <c r="AG9">
        <f t="shared" si="4"/>
        <v>72667</v>
      </c>
      <c r="AH9">
        <f t="shared" si="5"/>
        <v>99312</v>
      </c>
      <c r="AI9">
        <f t="shared" si="6"/>
        <v>123706</v>
      </c>
    </row>
    <row r="10" spans="1:60" x14ac:dyDescent="0.35">
      <c r="A10" t="s">
        <v>12</v>
      </c>
      <c r="B10">
        <f t="shared" ref="B10:C10" si="7">SUM(B5:B9)</f>
        <v>4313</v>
      </c>
      <c r="C10">
        <f t="shared" si="7"/>
        <v>6166</v>
      </c>
      <c r="D10">
        <f t="shared" ref="D10" si="8">SUM(D5:D9)</f>
        <v>6541</v>
      </c>
      <c r="E10">
        <f t="shared" ref="E10" si="9">SUM(E5:E9)</f>
        <v>8407</v>
      </c>
      <c r="F10">
        <f t="shared" ref="F10" si="10">SUM(F5:F9)</f>
        <v>11492</v>
      </c>
      <c r="G10">
        <f t="shared" ref="G10:Q10" si="11">SUM(G5:G9)</f>
        <v>13557</v>
      </c>
      <c r="H10">
        <f>SUM(H5:H9)</f>
        <v>13600</v>
      </c>
      <c r="I10">
        <f t="shared" si="11"/>
        <v>15736</v>
      </c>
      <c r="J10">
        <f t="shared" si="11"/>
        <v>17164</v>
      </c>
      <c r="K10">
        <f>SUM(K5:K9)</f>
        <v>19297</v>
      </c>
      <c r="L10">
        <f>SUM(L5:L9)</f>
        <v>21207</v>
      </c>
      <c r="M10">
        <f t="shared" si="11"/>
        <v>32432</v>
      </c>
      <c r="N10">
        <f t="shared" si="11"/>
        <v>28161</v>
      </c>
      <c r="O10">
        <f t="shared" si="11"/>
        <v>31204</v>
      </c>
      <c r="P10">
        <f>SUM(P5:P9)</f>
        <v>35018</v>
      </c>
      <c r="Q10">
        <f t="shared" si="11"/>
        <v>37950</v>
      </c>
      <c r="R10">
        <f>SUM(R5:R9)</f>
        <v>42018</v>
      </c>
      <c r="S10">
        <f>SUM(S5:S9)</f>
        <v>48127</v>
      </c>
      <c r="T10">
        <f t="shared" ref="T10:Z10" si="12">SUM(T5:T9)</f>
        <v>56113</v>
      </c>
      <c r="U10">
        <f t="shared" si="12"/>
        <v>57307</v>
      </c>
      <c r="V10">
        <f t="shared" si="12"/>
        <v>54243</v>
      </c>
      <c r="W10">
        <f t="shared" si="12"/>
        <v>60180</v>
      </c>
      <c r="X10">
        <f t="shared" si="12"/>
        <v>63740</v>
      </c>
      <c r="Y10">
        <f t="shared" si="12"/>
        <v>66946</v>
      </c>
      <c r="Z10">
        <f t="shared" si="12"/>
        <v>71498</v>
      </c>
      <c r="AD10" s="4">
        <f t="shared" si="1"/>
        <v>25427</v>
      </c>
      <c r="AE10" s="4">
        <f t="shared" si="2"/>
        <v>54385</v>
      </c>
      <c r="AF10" s="4">
        <f t="shared" si="3"/>
        <v>90100</v>
      </c>
      <c r="AG10" s="4">
        <f t="shared" si="4"/>
        <v>132333</v>
      </c>
      <c r="AH10" s="4">
        <f t="shared" si="5"/>
        <v>203565</v>
      </c>
      <c r="AI10" s="4">
        <f t="shared" si="6"/>
        <v>245109</v>
      </c>
    </row>
    <row r="13" spans="1:60" x14ac:dyDescent="0.35">
      <c r="A13" t="s">
        <v>17</v>
      </c>
      <c r="B13">
        <v>4313</v>
      </c>
      <c r="C13">
        <v>6166</v>
      </c>
      <c r="D13">
        <v>6541</v>
      </c>
      <c r="E13">
        <v>8407</v>
      </c>
      <c r="F13">
        <v>11492</v>
      </c>
      <c r="G13">
        <v>13557</v>
      </c>
      <c r="H13">
        <v>13600</v>
      </c>
      <c r="I13">
        <v>15736</v>
      </c>
      <c r="J13">
        <v>17164</v>
      </c>
      <c r="K13">
        <v>19297</v>
      </c>
      <c r="L13">
        <v>21207</v>
      </c>
      <c r="M13">
        <f>90100-L13-K13-J13</f>
        <v>32432</v>
      </c>
      <c r="N13">
        <v>28161</v>
      </c>
      <c r="O13">
        <v>31204</v>
      </c>
      <c r="P13">
        <v>35018</v>
      </c>
      <c r="Q13">
        <f>132333-P13-O13-N13</f>
        <v>37950</v>
      </c>
      <c r="R13">
        <v>42018</v>
      </c>
      <c r="S13">
        <v>48127</v>
      </c>
      <c r="T13">
        <v>56113</v>
      </c>
      <c r="U13">
        <f>203565-T13-S13-R13</f>
        <v>57307</v>
      </c>
      <c r="V13">
        <v>54243</v>
      </c>
      <c r="W13">
        <v>60180</v>
      </c>
      <c r="X13">
        <v>63740</v>
      </c>
      <c r="Y13">
        <f>245109-X13-W13-V13</f>
        <v>66946</v>
      </c>
      <c r="Z13">
        <v>71498</v>
      </c>
      <c r="AD13">
        <f t="shared" ref="AD13:AD23" si="13">SUM(B13:E13)</f>
        <v>25427</v>
      </c>
      <c r="AE13">
        <f>SUM(F13:I13)</f>
        <v>54385</v>
      </c>
      <c r="AF13">
        <f t="shared" si="3"/>
        <v>90100</v>
      </c>
      <c r="AG13">
        <f t="shared" si="4"/>
        <v>132333</v>
      </c>
      <c r="AH13">
        <f t="shared" si="5"/>
        <v>203565</v>
      </c>
      <c r="AI13">
        <f t="shared" si="6"/>
        <v>245109</v>
      </c>
    </row>
    <row r="14" spans="1:60" x14ac:dyDescent="0.35">
      <c r="A14" t="s">
        <v>18</v>
      </c>
      <c r="B14">
        <v>7498</v>
      </c>
      <c r="C14">
        <v>8095</v>
      </c>
      <c r="D14">
        <v>7503</v>
      </c>
      <c r="E14">
        <v>9093</v>
      </c>
      <c r="F14">
        <v>11857</v>
      </c>
      <c r="G14">
        <v>11789</v>
      </c>
      <c r="H14">
        <v>11394</v>
      </c>
      <c r="I14">
        <v>12386</v>
      </c>
      <c r="J14">
        <v>13792</v>
      </c>
      <c r="K14">
        <v>13564</v>
      </c>
      <c r="L14">
        <v>16472</v>
      </c>
      <c r="M14">
        <f>61406-L14-K14-J14</f>
        <v>17578</v>
      </c>
      <c r="N14">
        <v>18162</v>
      </c>
      <c r="O14">
        <v>19028</v>
      </c>
      <c r="P14">
        <v>20933</v>
      </c>
      <c r="Q14">
        <f>80620-P14-O14-N14</f>
        <v>22497</v>
      </c>
      <c r="R14">
        <v>27056</v>
      </c>
      <c r="S14">
        <v>29714</v>
      </c>
      <c r="T14">
        <v>30974</v>
      </c>
      <c r="U14">
        <f>119330-T14-S14-R14</f>
        <v>31586</v>
      </c>
      <c r="V14">
        <v>29442</v>
      </c>
      <c r="W14">
        <v>41669</v>
      </c>
      <c r="X14">
        <v>41845</v>
      </c>
      <c r="Y14">
        <f>155380-X14-W14-V14</f>
        <v>42424</v>
      </c>
      <c r="Z14">
        <v>42536</v>
      </c>
      <c r="AD14">
        <f t="shared" si="13"/>
        <v>32189</v>
      </c>
      <c r="AE14">
        <f t="shared" ref="AE14:AE27" si="14">SUM(F14:I14)</f>
        <v>47426</v>
      </c>
      <c r="AF14">
        <f t="shared" si="3"/>
        <v>61406</v>
      </c>
      <c r="AG14">
        <f t="shared" si="4"/>
        <v>80620</v>
      </c>
      <c r="AH14">
        <f t="shared" si="5"/>
        <v>119330</v>
      </c>
      <c r="AI14">
        <f t="shared" si="6"/>
        <v>155380</v>
      </c>
    </row>
    <row r="15" spans="1:60" x14ac:dyDescent="0.35">
      <c r="A15" t="s">
        <v>19</v>
      </c>
      <c r="B15" s="2">
        <f t="shared" ref="B15:C15" si="15">B13-B14</f>
        <v>-3185</v>
      </c>
      <c r="C15" s="2">
        <f t="shared" si="15"/>
        <v>-1929</v>
      </c>
      <c r="D15" s="2">
        <f t="shared" ref="D15" si="16">D13-D14</f>
        <v>-962</v>
      </c>
      <c r="E15" s="2">
        <f t="shared" ref="E15" si="17">E13-E14</f>
        <v>-686</v>
      </c>
      <c r="F15" s="2">
        <f t="shared" ref="F15" si="18">F13-F14</f>
        <v>-365</v>
      </c>
      <c r="G15" s="2">
        <f t="shared" ref="G15:Q15" si="19">G13-G14</f>
        <v>1768</v>
      </c>
      <c r="H15" s="2">
        <f t="shared" si="19"/>
        <v>2206</v>
      </c>
      <c r="I15" s="2">
        <f t="shared" si="19"/>
        <v>3350</v>
      </c>
      <c r="J15" s="2">
        <f t="shared" si="19"/>
        <v>3372</v>
      </c>
      <c r="K15" s="2">
        <f t="shared" si="19"/>
        <v>5733</v>
      </c>
      <c r="L15" s="2">
        <f t="shared" si="19"/>
        <v>4735</v>
      </c>
      <c r="M15" s="2">
        <f t="shared" si="19"/>
        <v>14854</v>
      </c>
      <c r="N15" s="2">
        <f t="shared" si="19"/>
        <v>9999</v>
      </c>
      <c r="O15" s="2">
        <f t="shared" si="19"/>
        <v>12176</v>
      </c>
      <c r="P15" s="2">
        <f t="shared" si="19"/>
        <v>14085</v>
      </c>
      <c r="Q15" s="2">
        <f t="shared" si="19"/>
        <v>15453</v>
      </c>
      <c r="R15" s="2">
        <f>R13-R14</f>
        <v>14962</v>
      </c>
      <c r="S15" s="2">
        <f t="shared" ref="S15:U15" si="20">S13-S14</f>
        <v>18413</v>
      </c>
      <c r="T15" s="2">
        <f t="shared" si="20"/>
        <v>25139</v>
      </c>
      <c r="U15" s="2">
        <f t="shared" si="20"/>
        <v>25721</v>
      </c>
      <c r="V15" s="2">
        <f>V13-V14</f>
        <v>24801</v>
      </c>
      <c r="W15" s="2">
        <f t="shared" ref="W15:Z15" si="21">W13-W14</f>
        <v>18511</v>
      </c>
      <c r="X15" s="2">
        <f t="shared" si="21"/>
        <v>21895</v>
      </c>
      <c r="Y15" s="2">
        <f t="shared" si="21"/>
        <v>24522</v>
      </c>
      <c r="Z15" s="2">
        <f t="shared" si="21"/>
        <v>28962</v>
      </c>
      <c r="AD15">
        <f t="shared" si="13"/>
        <v>-6762</v>
      </c>
      <c r="AE15">
        <f t="shared" si="14"/>
        <v>6959</v>
      </c>
      <c r="AF15">
        <f t="shared" si="3"/>
        <v>28694</v>
      </c>
      <c r="AG15">
        <f t="shared" si="4"/>
        <v>51713</v>
      </c>
      <c r="AH15">
        <f t="shared" si="5"/>
        <v>84235</v>
      </c>
      <c r="AI15">
        <f t="shared" si="6"/>
        <v>89729</v>
      </c>
    </row>
    <row r="16" spans="1:60" x14ac:dyDescent="0.35">
      <c r="A16" t="s">
        <v>20</v>
      </c>
      <c r="B16">
        <v>4303</v>
      </c>
      <c r="C16">
        <v>4711</v>
      </c>
      <c r="D16">
        <v>5268</v>
      </c>
      <c r="E16">
        <v>6065</v>
      </c>
      <c r="F16">
        <v>7273</v>
      </c>
      <c r="G16">
        <v>8907</v>
      </c>
      <c r="H16">
        <v>9007</v>
      </c>
      <c r="I16">
        <v>10496</v>
      </c>
      <c r="J16">
        <v>10297</v>
      </c>
      <c r="K16">
        <v>10629</v>
      </c>
      <c r="L16">
        <v>10444</v>
      </c>
      <c r="M16">
        <f>43006-L16-K16-J16</f>
        <v>11636</v>
      </c>
      <c r="N16">
        <v>14000</v>
      </c>
      <c r="O16">
        <v>15791</v>
      </c>
      <c r="P16">
        <v>19838</v>
      </c>
      <c r="Q16">
        <f>69072-P16-O16-N16</f>
        <v>19443</v>
      </c>
      <c r="R16">
        <v>22630</v>
      </c>
      <c r="S16">
        <v>31231</v>
      </c>
      <c r="T16">
        <v>36840</v>
      </c>
      <c r="U16">
        <f>120307-T16-S16-R16</f>
        <v>29606</v>
      </c>
      <c r="V16">
        <v>31242</v>
      </c>
      <c r="W16">
        <v>27379</v>
      </c>
      <c r="X16">
        <v>24528</v>
      </c>
      <c r="Y16">
        <f>106894-X16-W16-V16</f>
        <v>23745</v>
      </c>
      <c r="Z16">
        <v>23099</v>
      </c>
      <c r="AD16">
        <f t="shared" si="13"/>
        <v>20347</v>
      </c>
      <c r="AE16">
        <f t="shared" si="14"/>
        <v>35683</v>
      </c>
      <c r="AF16">
        <f t="shared" si="3"/>
        <v>43006</v>
      </c>
      <c r="AG16">
        <f t="shared" si="4"/>
        <v>69072</v>
      </c>
      <c r="AH16">
        <f t="shared" si="5"/>
        <v>120307</v>
      </c>
      <c r="AI16">
        <f t="shared" si="6"/>
        <v>106894</v>
      </c>
    </row>
    <row r="17" spans="1:35" x14ac:dyDescent="0.35">
      <c r="A17" t="s">
        <v>34</v>
      </c>
      <c r="B17">
        <v>9263</v>
      </c>
      <c r="C17">
        <v>9978</v>
      </c>
      <c r="D17">
        <v>11256</v>
      </c>
      <c r="E17">
        <v>12953</v>
      </c>
      <c r="F17">
        <v>15259</v>
      </c>
      <c r="G17">
        <v>19124</v>
      </c>
      <c r="H17">
        <v>21320</v>
      </c>
      <c r="I17">
        <v>24423</v>
      </c>
      <c r="J17">
        <v>26405</v>
      </c>
      <c r="K17">
        <v>27190</v>
      </c>
      <c r="L17">
        <v>22487</v>
      </c>
      <c r="M17">
        <f>103267-L17-K17-J17</f>
        <v>27185</v>
      </c>
      <c r="N17">
        <v>28792</v>
      </c>
      <c r="O17">
        <v>34389</v>
      </c>
      <c r="P17">
        <v>34478</v>
      </c>
      <c r="Q17">
        <f>135901-P17-O17-N17</f>
        <v>38242</v>
      </c>
      <c r="R17">
        <v>51098</v>
      </c>
      <c r="S17">
        <v>53998</v>
      </c>
      <c r="T17">
        <v>53693</v>
      </c>
      <c r="U17">
        <f>212949-T17-S17-R17</f>
        <v>54160</v>
      </c>
      <c r="V17">
        <v>42324</v>
      </c>
      <c r="W17">
        <v>53965</v>
      </c>
      <c r="X17">
        <v>46057</v>
      </c>
      <c r="Y17">
        <f>189738-X17-W17-V17</f>
        <v>47392</v>
      </c>
      <c r="Z17">
        <v>52840</v>
      </c>
      <c r="AD17">
        <f t="shared" si="13"/>
        <v>43450</v>
      </c>
      <c r="AE17">
        <f t="shared" si="14"/>
        <v>80126</v>
      </c>
      <c r="AF17">
        <f t="shared" si="3"/>
        <v>103267</v>
      </c>
      <c r="AG17">
        <f t="shared" si="4"/>
        <v>135901</v>
      </c>
      <c r="AH17">
        <f t="shared" si="5"/>
        <v>212949</v>
      </c>
      <c r="AI17">
        <f t="shared" si="6"/>
        <v>189738</v>
      </c>
    </row>
    <row r="18" spans="1:35" x14ac:dyDescent="0.35">
      <c r="A18" t="s">
        <v>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22500</v>
      </c>
      <c r="K18">
        <v>0</v>
      </c>
      <c r="L18">
        <v>0</v>
      </c>
      <c r="M18">
        <f>22500-L18-K18-J18</f>
        <v>0</v>
      </c>
      <c r="N18">
        <v>0</v>
      </c>
      <c r="P18">
        <v>1887</v>
      </c>
      <c r="Q18">
        <f>-534-P18-O18-N18</f>
        <v>-2421</v>
      </c>
      <c r="R18">
        <v>-2826</v>
      </c>
      <c r="S18">
        <v>-6014</v>
      </c>
      <c r="T18">
        <v>-4231</v>
      </c>
      <c r="U18">
        <f>-14245-T18-S18-R18</f>
        <v>-1174</v>
      </c>
      <c r="V18">
        <v>-4135</v>
      </c>
      <c r="W18">
        <v>-1196</v>
      </c>
      <c r="X18">
        <f>12672-581</f>
        <v>12091</v>
      </c>
      <c r="Y18">
        <f>16169-X18-W18-V18-5913</f>
        <v>3496</v>
      </c>
      <c r="Z18">
        <v>0</v>
      </c>
      <c r="AD18">
        <f t="shared" si="13"/>
        <v>0</v>
      </c>
      <c r="AE18">
        <f t="shared" si="14"/>
        <v>0</v>
      </c>
      <c r="AF18">
        <f t="shared" si="3"/>
        <v>22500</v>
      </c>
      <c r="AG18">
        <f t="shared" si="4"/>
        <v>-534</v>
      </c>
      <c r="AH18">
        <f t="shared" si="5"/>
        <v>-14245</v>
      </c>
      <c r="AI18">
        <f t="shared" si="6"/>
        <v>10256</v>
      </c>
    </row>
    <row r="19" spans="1:35" x14ac:dyDescent="0.35">
      <c r="A19" t="s">
        <v>21</v>
      </c>
      <c r="B19">
        <f t="shared" ref="B19:C19" si="22">B18+B17+B16</f>
        <v>13566</v>
      </c>
      <c r="C19">
        <f t="shared" si="22"/>
        <v>14689</v>
      </c>
      <c r="D19">
        <f t="shared" ref="D19" si="23">D18+D17+D16</f>
        <v>16524</v>
      </c>
      <c r="E19">
        <f t="shared" ref="E19" si="24">E18+E17+E16</f>
        <v>19018</v>
      </c>
      <c r="F19">
        <f t="shared" ref="F19" si="25">F18+F17+F16</f>
        <v>22532</v>
      </c>
      <c r="G19">
        <f t="shared" ref="G19:Q19" si="26">G18+G17+G16</f>
        <v>28031</v>
      </c>
      <c r="H19">
        <f t="shared" si="26"/>
        <v>30327</v>
      </c>
      <c r="I19">
        <f t="shared" si="26"/>
        <v>34919</v>
      </c>
      <c r="J19">
        <f t="shared" si="26"/>
        <v>59202</v>
      </c>
      <c r="K19">
        <f t="shared" si="26"/>
        <v>37819</v>
      </c>
      <c r="L19">
        <f t="shared" si="26"/>
        <v>32931</v>
      </c>
      <c r="M19">
        <f t="shared" si="26"/>
        <v>38821</v>
      </c>
      <c r="N19">
        <f t="shared" si="26"/>
        <v>42792</v>
      </c>
      <c r="O19">
        <f t="shared" si="26"/>
        <v>50180</v>
      </c>
      <c r="P19">
        <f t="shared" si="26"/>
        <v>56203</v>
      </c>
      <c r="Q19">
        <f t="shared" si="26"/>
        <v>55264</v>
      </c>
      <c r="R19">
        <f>R18+R17+R16</f>
        <v>70902</v>
      </c>
      <c r="S19">
        <f t="shared" ref="S19:U19" si="27">S18+S17+S16</f>
        <v>79215</v>
      </c>
      <c r="T19">
        <f t="shared" si="27"/>
        <v>86302</v>
      </c>
      <c r="U19">
        <f t="shared" si="27"/>
        <v>82592</v>
      </c>
      <c r="V19">
        <f>V18+V17+V16</f>
        <v>69431</v>
      </c>
      <c r="W19">
        <f t="shared" ref="W19:Z19" si="28">W18+W17+W16</f>
        <v>80148</v>
      </c>
      <c r="X19">
        <f t="shared" si="28"/>
        <v>82676</v>
      </c>
      <c r="Y19">
        <f t="shared" si="28"/>
        <v>74633</v>
      </c>
      <c r="Z19">
        <f t="shared" si="28"/>
        <v>75939</v>
      </c>
      <c r="AD19">
        <f t="shared" si="13"/>
        <v>63797</v>
      </c>
      <c r="AE19">
        <f t="shared" si="14"/>
        <v>115809</v>
      </c>
      <c r="AF19">
        <f t="shared" si="3"/>
        <v>168773</v>
      </c>
      <c r="AG19">
        <f t="shared" si="4"/>
        <v>204439</v>
      </c>
      <c r="AH19">
        <f t="shared" si="5"/>
        <v>319011</v>
      </c>
      <c r="AI19">
        <f t="shared" si="6"/>
        <v>306888</v>
      </c>
    </row>
    <row r="20" spans="1:35" x14ac:dyDescent="0.35">
      <c r="A20" t="s">
        <v>22</v>
      </c>
      <c r="B20">
        <f t="shared" ref="B20:C20" si="29">B15-B19</f>
        <v>-16751</v>
      </c>
      <c r="C20">
        <f t="shared" si="29"/>
        <v>-16618</v>
      </c>
      <c r="D20">
        <f t="shared" ref="D20" si="30">D15-D19</f>
        <v>-17486</v>
      </c>
      <c r="E20">
        <f t="shared" ref="E20" si="31">E15-E19</f>
        <v>-19704</v>
      </c>
      <c r="F20">
        <f t="shared" ref="F20" si="32">F15-F19</f>
        <v>-22897</v>
      </c>
      <c r="G20">
        <f t="shared" ref="G20" si="33">G15-G19</f>
        <v>-26263</v>
      </c>
      <c r="H20">
        <f t="shared" ref="H20" si="34">H15-H19</f>
        <v>-28121</v>
      </c>
      <c r="I20">
        <f t="shared" ref="I20" si="35">I15-I19</f>
        <v>-31569</v>
      </c>
      <c r="J20">
        <f t="shared" ref="J20" si="36">J15-J19</f>
        <v>-55830</v>
      </c>
      <c r="K20">
        <f t="shared" ref="K20" si="37">K15-K19</f>
        <v>-32086</v>
      </c>
      <c r="L20">
        <f t="shared" ref="L20" si="38">L15-L19</f>
        <v>-28196</v>
      </c>
      <c r="M20">
        <f t="shared" ref="M20" si="39">M15-M19</f>
        <v>-23967</v>
      </c>
      <c r="N20">
        <f t="shared" ref="N20" si="40">N15-N19</f>
        <v>-32793</v>
      </c>
      <c r="O20">
        <f t="shared" ref="O20" si="41">O15-O19</f>
        <v>-38004</v>
      </c>
      <c r="P20">
        <f t="shared" ref="P20" si="42">P15-P19</f>
        <v>-42118</v>
      </c>
      <c r="Q20">
        <f t="shared" ref="Q20" si="43">Q15-Q19</f>
        <v>-39811</v>
      </c>
      <c r="R20">
        <f t="shared" ref="R20:U20" si="44">R15-R19</f>
        <v>-55940</v>
      </c>
      <c r="S20">
        <f t="shared" si="44"/>
        <v>-60802</v>
      </c>
      <c r="T20">
        <f t="shared" si="44"/>
        <v>-61163</v>
      </c>
      <c r="U20">
        <f t="shared" si="44"/>
        <v>-56871</v>
      </c>
      <c r="V20">
        <f>V15-V19</f>
        <v>-44630</v>
      </c>
      <c r="W20">
        <f t="shared" ref="W20:Z20" si="45">W15-W19</f>
        <v>-61637</v>
      </c>
      <c r="X20">
        <f t="shared" si="45"/>
        <v>-60781</v>
      </c>
      <c r="Y20">
        <f t="shared" si="45"/>
        <v>-50111</v>
      </c>
      <c r="Z20">
        <f t="shared" si="45"/>
        <v>-46977</v>
      </c>
      <c r="AD20">
        <f t="shared" si="13"/>
        <v>-70559</v>
      </c>
      <c r="AE20">
        <f t="shared" si="14"/>
        <v>-108850</v>
      </c>
      <c r="AF20">
        <f t="shared" si="3"/>
        <v>-140079</v>
      </c>
      <c r="AG20">
        <f t="shared" si="4"/>
        <v>-152726</v>
      </c>
      <c r="AH20">
        <f t="shared" si="5"/>
        <v>-234776</v>
      </c>
      <c r="AI20">
        <f t="shared" si="6"/>
        <v>-217159</v>
      </c>
    </row>
    <row r="21" spans="1:35" x14ac:dyDescent="0.35">
      <c r="A21" t="s">
        <v>23</v>
      </c>
      <c r="B21">
        <f>158-273-19</f>
        <v>-134</v>
      </c>
      <c r="C21">
        <f>148-317-43</f>
        <v>-212</v>
      </c>
      <c r="D21">
        <f>284-337-14</f>
        <v>-67</v>
      </c>
      <c r="E21">
        <f>409-386-45</f>
        <v>-22</v>
      </c>
      <c r="F21">
        <f>664-348-15</f>
        <v>301</v>
      </c>
      <c r="G21">
        <f>775-340-21</f>
        <v>414</v>
      </c>
      <c r="H21">
        <f>804-318-227</f>
        <v>259</v>
      </c>
      <c r="I21">
        <f>789-288-2</f>
        <v>499</v>
      </c>
      <c r="J21">
        <f>564-248-87</f>
        <v>229</v>
      </c>
      <c r="K21">
        <f>576-215+18</f>
        <v>379</v>
      </c>
      <c r="L21">
        <f>247-181-56</f>
        <v>10</v>
      </c>
      <c r="M21">
        <f>1499-787-182-L21-K21-J21</f>
        <v>-88</v>
      </c>
      <c r="N21">
        <f>134-118-77</f>
        <v>-61</v>
      </c>
      <c r="O21">
        <f>157-95+84</f>
        <v>146</v>
      </c>
      <c r="P21">
        <f>86-70-312</f>
        <v>-296</v>
      </c>
      <c r="Q21">
        <f>435-367-1370</f>
        <v>-1302</v>
      </c>
      <c r="R21">
        <f>154-26-156</f>
        <v>-28</v>
      </c>
      <c r="S21">
        <f>259-29-245</f>
        <v>-15</v>
      </c>
      <c r="T21">
        <f>722-225</f>
        <v>497</v>
      </c>
      <c r="U21">
        <f>3062-80+4607-1087-T21-S21-R21</f>
        <v>6048</v>
      </c>
      <c r="V21">
        <f>3040-1-157</f>
        <v>2882</v>
      </c>
      <c r="W21">
        <f>3464-2-305</f>
        <v>3157</v>
      </c>
      <c r="X21">
        <f>3968-1+41</f>
        <v>4008</v>
      </c>
      <c r="Y21">
        <f>14365-5-667-X21-W21-V21</f>
        <v>3646</v>
      </c>
      <c r="Z21">
        <f>4120-31</f>
        <v>4089</v>
      </c>
      <c r="AD21">
        <f t="shared" si="13"/>
        <v>-435</v>
      </c>
      <c r="AE21">
        <f t="shared" si="14"/>
        <v>1473</v>
      </c>
      <c r="AF21">
        <f t="shared" si="3"/>
        <v>530</v>
      </c>
      <c r="AG21">
        <f t="shared" si="4"/>
        <v>-1513</v>
      </c>
      <c r="AH21">
        <f t="shared" si="5"/>
        <v>6502</v>
      </c>
      <c r="AI21">
        <f t="shared" si="6"/>
        <v>13693</v>
      </c>
    </row>
    <row r="22" spans="1:35" x14ac:dyDescent="0.35">
      <c r="A22" t="s">
        <v>24</v>
      </c>
      <c r="B22">
        <f t="shared" ref="B22:C22" si="46">B20+B21</f>
        <v>-16885</v>
      </c>
      <c r="C22">
        <f t="shared" si="46"/>
        <v>-16830</v>
      </c>
      <c r="D22">
        <f t="shared" ref="D22" si="47">D20+D21</f>
        <v>-17553</v>
      </c>
      <c r="E22">
        <f t="shared" ref="E22" si="48">E20+E21</f>
        <v>-19726</v>
      </c>
      <c r="F22">
        <f t="shared" ref="F22" si="49">F20+F21</f>
        <v>-22596</v>
      </c>
      <c r="G22">
        <f t="shared" ref="G22" si="50">G20+G21</f>
        <v>-25849</v>
      </c>
      <c r="H22">
        <f t="shared" ref="H22" si="51">H20+H21</f>
        <v>-27862</v>
      </c>
      <c r="I22">
        <f t="shared" ref="I22" si="52">I20+I21</f>
        <v>-31070</v>
      </c>
      <c r="J22">
        <f t="shared" ref="J22" si="53">J20+J21</f>
        <v>-55601</v>
      </c>
      <c r="K22">
        <f t="shared" ref="K22" si="54">K20+K21</f>
        <v>-31707</v>
      </c>
      <c r="L22">
        <f t="shared" ref="L22" si="55">L20+L21</f>
        <v>-28186</v>
      </c>
      <c r="M22">
        <f t="shared" ref="M22" si="56">M20+M21</f>
        <v>-24055</v>
      </c>
      <c r="N22">
        <f t="shared" ref="N22" si="57">N20+N21</f>
        <v>-32854</v>
      </c>
      <c r="O22">
        <f t="shared" ref="O22" si="58">O20+O21</f>
        <v>-37858</v>
      </c>
      <c r="P22">
        <f t="shared" ref="P22" si="59">P20+P21</f>
        <v>-42414</v>
      </c>
      <c r="Q22">
        <f t="shared" ref="Q22" si="60">Q20+Q21</f>
        <v>-41113</v>
      </c>
      <c r="R22">
        <f t="shared" ref="R22:U22" si="61">R20+R21</f>
        <v>-55968</v>
      </c>
      <c r="S22">
        <f t="shared" si="61"/>
        <v>-60817</v>
      </c>
      <c r="T22">
        <f t="shared" si="61"/>
        <v>-60666</v>
      </c>
      <c r="U22">
        <f t="shared" si="61"/>
        <v>-50823</v>
      </c>
      <c r="V22">
        <f>V20+V21</f>
        <v>-41748</v>
      </c>
      <c r="W22">
        <f t="shared" ref="W22:Z22" si="62">W20+W21</f>
        <v>-58480</v>
      </c>
      <c r="X22">
        <f t="shared" si="62"/>
        <v>-56773</v>
      </c>
      <c r="Y22">
        <f t="shared" si="62"/>
        <v>-46465</v>
      </c>
      <c r="Z22">
        <f t="shared" si="62"/>
        <v>-42888</v>
      </c>
      <c r="AD22">
        <f t="shared" si="13"/>
        <v>-70994</v>
      </c>
      <c r="AE22">
        <f t="shared" si="14"/>
        <v>-107377</v>
      </c>
      <c r="AF22">
        <f t="shared" si="3"/>
        <v>-139549</v>
      </c>
      <c r="AG22">
        <f t="shared" si="4"/>
        <v>-154239</v>
      </c>
      <c r="AH22">
        <f t="shared" si="5"/>
        <v>-228274</v>
      </c>
      <c r="AI22">
        <f t="shared" si="6"/>
        <v>-203466</v>
      </c>
    </row>
    <row r="23" spans="1:35" x14ac:dyDescent="0.35">
      <c r="A23" t="s">
        <v>25</v>
      </c>
      <c r="B23">
        <v>-52</v>
      </c>
      <c r="C23">
        <v>-43</v>
      </c>
      <c r="D23">
        <v>-71</v>
      </c>
      <c r="E23">
        <v>-76</v>
      </c>
      <c r="F23">
        <v>-43</v>
      </c>
      <c r="G23">
        <v>-84</v>
      </c>
      <c r="H23">
        <v>-54</v>
      </c>
      <c r="I23">
        <v>-111</v>
      </c>
      <c r="J23">
        <v>-37</v>
      </c>
      <c r="K23">
        <v>-61</v>
      </c>
      <c r="L23">
        <v>-21</v>
      </c>
      <c r="M23">
        <f>-382-L23-K23-J23</f>
        <v>-263</v>
      </c>
      <c r="N23">
        <v>-46</v>
      </c>
      <c r="O23">
        <v>-61</v>
      </c>
      <c r="P23">
        <v>2377</v>
      </c>
      <c r="Q23">
        <v>1930</v>
      </c>
      <c r="R23">
        <v>10405</v>
      </c>
      <c r="S23">
        <v>149</v>
      </c>
      <c r="T23">
        <v>149</v>
      </c>
      <c r="U23">
        <f>10411-T23-S23-R23</f>
        <v>-292</v>
      </c>
      <c r="V23">
        <v>-76</v>
      </c>
      <c r="W23">
        <v>-676</v>
      </c>
      <c r="X23">
        <v>-622</v>
      </c>
      <c r="Y23">
        <f>-1152-X23-W23-V23</f>
        <v>222</v>
      </c>
      <c r="Z23">
        <v>-120</v>
      </c>
      <c r="AD23">
        <f t="shared" si="13"/>
        <v>-242</v>
      </c>
      <c r="AE23">
        <f t="shared" si="14"/>
        <v>-292</v>
      </c>
      <c r="AF23">
        <f t="shared" si="3"/>
        <v>-382</v>
      </c>
      <c r="AG23">
        <f t="shared" si="4"/>
        <v>4200</v>
      </c>
      <c r="AH23">
        <f t="shared" si="5"/>
        <v>10411</v>
      </c>
      <c r="AI23">
        <f t="shared" si="6"/>
        <v>-1152</v>
      </c>
    </row>
    <row r="25" spans="1:35" x14ac:dyDescent="0.35">
      <c r="A25" t="s">
        <v>26</v>
      </c>
      <c r="B25" s="2">
        <f t="shared" ref="B25" si="63">B22+B23</f>
        <v>-16937</v>
      </c>
      <c r="C25" s="2">
        <f t="shared" ref="C25:F25" si="64">C22+C23</f>
        <v>-16873</v>
      </c>
      <c r="D25" s="2">
        <f t="shared" si="64"/>
        <v>-17624</v>
      </c>
      <c r="E25" s="2">
        <f t="shared" si="64"/>
        <v>-19802</v>
      </c>
      <c r="F25" s="2">
        <f t="shared" si="64"/>
        <v>-22639</v>
      </c>
      <c r="G25" s="2">
        <f t="shared" ref="G25:Q25" si="65">G22+G23</f>
        <v>-25933</v>
      </c>
      <c r="H25" s="2">
        <f t="shared" si="65"/>
        <v>-27916</v>
      </c>
      <c r="I25" s="2">
        <f t="shared" si="65"/>
        <v>-31181</v>
      </c>
      <c r="J25" s="2">
        <f t="shared" si="65"/>
        <v>-55638</v>
      </c>
      <c r="K25" s="2">
        <f t="shared" si="65"/>
        <v>-31768</v>
      </c>
      <c r="L25" s="2">
        <f t="shared" si="65"/>
        <v>-28207</v>
      </c>
      <c r="M25" s="2">
        <f t="shared" si="65"/>
        <v>-24318</v>
      </c>
      <c r="N25" s="2">
        <f t="shared" si="65"/>
        <v>-32900</v>
      </c>
      <c r="O25" s="2">
        <f t="shared" si="65"/>
        <v>-37919</v>
      </c>
      <c r="P25" s="2">
        <f t="shared" si="65"/>
        <v>-40037</v>
      </c>
      <c r="Q25" s="2">
        <f t="shared" si="65"/>
        <v>-39183</v>
      </c>
      <c r="R25" s="2">
        <f t="shared" ref="R25:U25" si="66">R22+R23</f>
        <v>-45563</v>
      </c>
      <c r="S25" s="2">
        <f t="shared" si="66"/>
        <v>-60668</v>
      </c>
      <c r="T25" s="2">
        <f t="shared" si="66"/>
        <v>-60517</v>
      </c>
      <c r="U25" s="2">
        <f t="shared" si="66"/>
        <v>-51115</v>
      </c>
      <c r="V25" s="2">
        <f>V22+V23</f>
        <v>-41824</v>
      </c>
      <c r="W25" s="2">
        <f t="shared" ref="W25:Z25" si="67">W22+W23</f>
        <v>-59156</v>
      </c>
      <c r="X25" s="2">
        <f t="shared" si="67"/>
        <v>-57395</v>
      </c>
      <c r="Y25" s="2">
        <f t="shared" si="67"/>
        <v>-46243</v>
      </c>
      <c r="Z25" s="2">
        <f>Z22+Z23</f>
        <v>-43008</v>
      </c>
      <c r="AD25">
        <f>SUM(B25:E25)</f>
        <v>-71236</v>
      </c>
      <c r="AE25">
        <f t="shared" si="14"/>
        <v>-107669</v>
      </c>
      <c r="AF25">
        <f t="shared" si="3"/>
        <v>-139931</v>
      </c>
      <c r="AG25">
        <f t="shared" si="4"/>
        <v>-150039</v>
      </c>
      <c r="AH25">
        <f t="shared" si="5"/>
        <v>-217863</v>
      </c>
      <c r="AI25">
        <f t="shared" si="6"/>
        <v>-204618</v>
      </c>
    </row>
    <row r="26" spans="1:35" x14ac:dyDescent="0.35">
      <c r="A26" t="s">
        <v>27</v>
      </c>
      <c r="B26">
        <v>2638</v>
      </c>
      <c r="C26">
        <v>2670</v>
      </c>
      <c r="D26">
        <v>2850</v>
      </c>
      <c r="E26">
        <f>E25/E27</f>
        <v>-3004.8558421851289</v>
      </c>
      <c r="F26">
        <v>19187</v>
      </c>
      <c r="G26">
        <v>27891</v>
      </c>
      <c r="H26">
        <v>30290</v>
      </c>
      <c r="I26">
        <f>I25/I27</f>
        <v>32480.208333333336</v>
      </c>
      <c r="J26">
        <v>32976</v>
      </c>
      <c r="K26">
        <v>37164</v>
      </c>
      <c r="L26">
        <v>41838</v>
      </c>
      <c r="M26">
        <v>39190</v>
      </c>
      <c r="N26">
        <v>46000</v>
      </c>
      <c r="O26">
        <v>48709</v>
      </c>
      <c r="P26">
        <v>48963</v>
      </c>
      <c r="Q26">
        <v>48251</v>
      </c>
      <c r="R26">
        <v>49912</v>
      </c>
      <c r="S26">
        <v>53472</v>
      </c>
      <c r="T26">
        <v>56287</v>
      </c>
      <c r="U26">
        <v>53885</v>
      </c>
      <c r="V26">
        <v>56444</v>
      </c>
      <c r="W26">
        <v>56777</v>
      </c>
      <c r="X26">
        <v>57041</v>
      </c>
      <c r="Y26">
        <v>56885</v>
      </c>
      <c r="Z26">
        <v>57497</v>
      </c>
      <c r="AD26">
        <f>SUM(B26:E26)</f>
        <v>5153.1441578148715</v>
      </c>
      <c r="AE26">
        <f t="shared" si="14"/>
        <v>109848.20833333334</v>
      </c>
      <c r="AF26">
        <f t="shared" si="3"/>
        <v>151168</v>
      </c>
      <c r="AG26">
        <f t="shared" si="4"/>
        <v>191923</v>
      </c>
      <c r="AH26">
        <f t="shared" si="5"/>
        <v>213556</v>
      </c>
      <c r="AI26">
        <f t="shared" si="6"/>
        <v>227147</v>
      </c>
    </row>
    <row r="27" spans="1:35" x14ac:dyDescent="0.35">
      <c r="A27" t="s">
        <v>28</v>
      </c>
      <c r="B27">
        <f t="shared" ref="B27:C27" si="68">B25/B26</f>
        <v>-6.4203942380591359</v>
      </c>
      <c r="C27">
        <f t="shared" si="68"/>
        <v>-6.3194756554307112</v>
      </c>
      <c r="D27">
        <f t="shared" ref="D27" si="69">D25/D26</f>
        <v>-6.1838596491228071</v>
      </c>
      <c r="E27">
        <v>6.59</v>
      </c>
      <c r="F27">
        <f t="shared" ref="F27" si="70">F25/F26</f>
        <v>-1.1799134830875071</v>
      </c>
      <c r="G27">
        <f t="shared" ref="G27" si="71">G25/G26</f>
        <v>-0.92979814277006922</v>
      </c>
      <c r="H27">
        <f t="shared" ref="H27" si="72">H25/H26</f>
        <v>-0.92162429844833282</v>
      </c>
      <c r="I27">
        <v>-0.96</v>
      </c>
      <c r="J27">
        <f t="shared" ref="J27" si="73">J25/J26</f>
        <v>-1.6872270742358078</v>
      </c>
      <c r="K27">
        <f t="shared" ref="K27" si="74">K25/K26</f>
        <v>-0.85480572597137017</v>
      </c>
      <c r="L27">
        <f t="shared" ref="L27" si="75">L25/L26</f>
        <v>-0.67419570725178068</v>
      </c>
      <c r="M27">
        <f t="shared" ref="M27" si="76">M25/M26</f>
        <v>-0.62051543761163563</v>
      </c>
      <c r="N27">
        <f t="shared" ref="N27" si="77">N25/N26</f>
        <v>-0.7152173913043478</v>
      </c>
      <c r="O27">
        <f t="shared" ref="O27" si="78">O25/O26</f>
        <v>-0.77848036297193535</v>
      </c>
      <c r="P27">
        <f t="shared" ref="P27" si="79">P25/P26</f>
        <v>-0.81769907889630944</v>
      </c>
      <c r="Q27">
        <f t="shared" ref="Q27" si="80">Q25/Q26</f>
        <v>-0.81206607116950946</v>
      </c>
      <c r="R27">
        <f t="shared" ref="R27:U27" si="81">R25/R26</f>
        <v>-0.91286664529572048</v>
      </c>
      <c r="S27">
        <f t="shared" si="81"/>
        <v>-1.134575104727708</v>
      </c>
      <c r="T27">
        <f t="shared" si="81"/>
        <v>-1.0751505676266278</v>
      </c>
      <c r="U27">
        <f t="shared" si="81"/>
        <v>-0.94859422844947572</v>
      </c>
      <c r="V27">
        <f>V25/V26</f>
        <v>-0.74098221245836582</v>
      </c>
      <c r="W27">
        <f t="shared" ref="W27:Z27" si="82">W25/W26</f>
        <v>-1.0419007696778626</v>
      </c>
      <c r="X27">
        <f t="shared" si="82"/>
        <v>-1.0062060623060605</v>
      </c>
      <c r="Y27">
        <f t="shared" si="82"/>
        <v>-0.81292080513316345</v>
      </c>
      <c r="Z27">
        <f t="shared" si="82"/>
        <v>-0.74800424369967133</v>
      </c>
      <c r="AD27">
        <f>SUM(B27:E27)</f>
        <v>-12.333729542612655</v>
      </c>
      <c r="AE27">
        <f t="shared" si="14"/>
        <v>-3.991335924305909</v>
      </c>
      <c r="AF27">
        <f t="shared" si="3"/>
        <v>-3.836743945070594</v>
      </c>
      <c r="AG27">
        <f t="shared" si="4"/>
        <v>-3.1234629043421021</v>
      </c>
      <c r="AH27">
        <f t="shared" si="5"/>
        <v>-4.0711865460995318</v>
      </c>
      <c r="AI27">
        <f t="shared" si="6"/>
        <v>-3.602009849575452</v>
      </c>
    </row>
    <row r="29" spans="1:35" x14ac:dyDescent="0.35">
      <c r="A29" t="s">
        <v>29</v>
      </c>
      <c r="B29" s="1">
        <f t="shared" ref="B29" si="83">B15/B13</f>
        <v>-0.7384651054950151</v>
      </c>
      <c r="C29" s="1">
        <f t="shared" ref="C29:F29" si="84">C15/C13</f>
        <v>-0.3128446318520921</v>
      </c>
      <c r="D29" s="1">
        <f t="shared" si="84"/>
        <v>-0.14707231310197216</v>
      </c>
      <c r="E29" s="1">
        <f t="shared" si="84"/>
        <v>-8.1598667776852624E-2</v>
      </c>
      <c r="F29" s="1">
        <f t="shared" si="84"/>
        <v>-3.1761225200139229E-2</v>
      </c>
      <c r="G29" s="1">
        <f t="shared" ref="G29:Q29" si="85">G15/G13</f>
        <v>0.13041233311204545</v>
      </c>
      <c r="H29" s="1">
        <f t="shared" si="85"/>
        <v>0.16220588235294117</v>
      </c>
      <c r="I29" s="1">
        <f t="shared" si="85"/>
        <v>0.21288764616166753</v>
      </c>
      <c r="J29" s="1">
        <f t="shared" si="85"/>
        <v>0.19645770216732697</v>
      </c>
      <c r="K29" s="1">
        <f t="shared" si="85"/>
        <v>0.29709281235425195</v>
      </c>
      <c r="L29" s="1">
        <f t="shared" si="85"/>
        <v>0.22327533361625879</v>
      </c>
      <c r="M29" s="1">
        <f t="shared" si="85"/>
        <v>0.45800444005920077</v>
      </c>
      <c r="N29" s="1">
        <f t="shared" si="85"/>
        <v>0.35506551613934162</v>
      </c>
      <c r="O29" s="1">
        <f t="shared" si="85"/>
        <v>0.39020638379694911</v>
      </c>
      <c r="P29" s="1">
        <f t="shared" si="85"/>
        <v>0.4022217145468045</v>
      </c>
      <c r="Q29" s="1">
        <f t="shared" si="85"/>
        <v>0.40719367588932809</v>
      </c>
      <c r="R29" s="1">
        <f>R15/R13</f>
        <v>0.35608548717216432</v>
      </c>
      <c r="S29" s="1">
        <f t="shared" ref="S29:X29" si="86">S15/S13</f>
        <v>0.38259189228499596</v>
      </c>
      <c r="T29" s="1">
        <f t="shared" si="86"/>
        <v>0.4480067007645287</v>
      </c>
      <c r="U29" s="1">
        <f t="shared" si="86"/>
        <v>0.44882824087807771</v>
      </c>
      <c r="V29" s="1">
        <f t="shared" si="86"/>
        <v>0.45722028648857915</v>
      </c>
      <c r="W29" s="1">
        <f t="shared" si="86"/>
        <v>0.30759388501163176</v>
      </c>
      <c r="X29" s="1">
        <f t="shared" si="86"/>
        <v>0.34350486350800125</v>
      </c>
      <c r="Y29" s="1">
        <f>Y15/Y13</f>
        <v>0.36629522301556477</v>
      </c>
      <c r="Z29" s="1">
        <f>Z15/Z13</f>
        <v>0.40507426781168704</v>
      </c>
      <c r="AD29" s="1">
        <f>AD15/AD13</f>
        <v>-0.26593778267196289</v>
      </c>
      <c r="AE29" s="1">
        <f t="shared" ref="AE29:AH29" si="87">AE15/AE13</f>
        <v>0.12795807667555392</v>
      </c>
      <c r="AF29" s="1">
        <f t="shared" si="87"/>
        <v>0.31846836847946725</v>
      </c>
      <c r="AG29" s="1">
        <f t="shared" si="87"/>
        <v>0.39077932186227171</v>
      </c>
      <c r="AH29" s="1">
        <f t="shared" si="87"/>
        <v>0.41379903225014125</v>
      </c>
      <c r="AI29" s="1">
        <f>AI15/AI13</f>
        <v>0.36607794899412099</v>
      </c>
    </row>
    <row r="30" spans="1:35" x14ac:dyDescent="0.35">
      <c r="A30" t="s">
        <v>30</v>
      </c>
      <c r="B30" s="1">
        <f t="shared" ref="B30" si="88">B20/B13</f>
        <v>-3.8838395548342222</v>
      </c>
      <c r="C30" s="1">
        <f t="shared" ref="C30:F30" si="89">C20/C13</f>
        <v>-2.6951021732079146</v>
      </c>
      <c r="D30" s="1">
        <f t="shared" si="89"/>
        <v>-2.673291545635224</v>
      </c>
      <c r="E30" s="1">
        <f t="shared" si="89"/>
        <v>-2.3437611514214347</v>
      </c>
      <c r="F30" s="1">
        <f t="shared" si="89"/>
        <v>-1.9924295161851724</v>
      </c>
      <c r="G30" s="1">
        <f t="shared" ref="G30:Q30" si="90">G20/G13</f>
        <v>-1.9372280002950506</v>
      </c>
      <c r="H30" s="1">
        <f t="shared" si="90"/>
        <v>-2.0677205882352943</v>
      </c>
      <c r="I30" s="1">
        <f t="shared" si="90"/>
        <v>-2.0061642094560246</v>
      </c>
      <c r="J30" s="1">
        <f t="shared" si="90"/>
        <v>-3.2527382894430201</v>
      </c>
      <c r="K30" s="1">
        <f t="shared" si="90"/>
        <v>-1.6627455044825621</v>
      </c>
      <c r="L30" s="1">
        <f t="shared" si="90"/>
        <v>-1.3295609940114113</v>
      </c>
      <c r="M30" s="1">
        <f t="shared" si="90"/>
        <v>-0.73899235323137646</v>
      </c>
      <c r="N30" s="1">
        <f t="shared" si="90"/>
        <v>-1.1644827953552785</v>
      </c>
      <c r="O30" s="1">
        <f t="shared" si="90"/>
        <v>-1.217920779387258</v>
      </c>
      <c r="P30" s="1">
        <f t="shared" si="90"/>
        <v>-1.2027528699525958</v>
      </c>
      <c r="Q30" s="1">
        <f t="shared" si="90"/>
        <v>-1.0490382081686429</v>
      </c>
      <c r="R30" s="1">
        <f>R20/R13</f>
        <v>-1.331334190109001</v>
      </c>
      <c r="S30" s="1">
        <f t="shared" ref="S30:Y30" si="91">S20/S13</f>
        <v>-1.2633656783094729</v>
      </c>
      <c r="T30" s="1">
        <f t="shared" si="91"/>
        <v>-1.0899969703990162</v>
      </c>
      <c r="U30" s="1">
        <f t="shared" si="91"/>
        <v>-0.99239185439824107</v>
      </c>
      <c r="V30" s="1">
        <f t="shared" si="91"/>
        <v>-0.82277897608908057</v>
      </c>
      <c r="W30" s="1">
        <f t="shared" si="91"/>
        <v>-1.0242107012296444</v>
      </c>
      <c r="X30" s="1">
        <f t="shared" si="91"/>
        <v>-0.95357703169124564</v>
      </c>
      <c r="Y30" s="1">
        <f t="shared" si="91"/>
        <v>-0.74852866489409375</v>
      </c>
      <c r="Z30" s="1">
        <f t="shared" ref="Z30" si="92">Z20/Z13</f>
        <v>-0.65703935774427258</v>
      </c>
      <c r="AD30" s="1">
        <f t="shared" ref="AD30:AH30" si="93">AD20/AD13</f>
        <v>-2.7749636213473865</v>
      </c>
      <c r="AE30" s="1">
        <f t="shared" si="93"/>
        <v>-2.0014709938402131</v>
      </c>
      <c r="AF30" s="1">
        <f t="shared" si="93"/>
        <v>-1.5547058823529412</v>
      </c>
      <c r="AG30" s="1">
        <f t="shared" si="93"/>
        <v>-1.1541036627296291</v>
      </c>
      <c r="AH30" s="1">
        <f t="shared" si="93"/>
        <v>-1.1533220347309214</v>
      </c>
      <c r="AI30" s="1">
        <f>AI20/AI13</f>
        <v>-0.88596909946187208</v>
      </c>
    </row>
    <row r="31" spans="1:35" x14ac:dyDescent="0.35">
      <c r="A31" t="s">
        <v>39</v>
      </c>
      <c r="B31" s="1">
        <f t="shared" ref="B31" si="94">B25/B13</f>
        <v>-3.9269649895664269</v>
      </c>
      <c r="C31" s="1">
        <f t="shared" ref="C31:F31" si="95">C25/C13</f>
        <v>-2.7364579954589687</v>
      </c>
      <c r="D31" s="1">
        <f t="shared" si="95"/>
        <v>-2.6943892371197067</v>
      </c>
      <c r="E31" s="1">
        <f t="shared" si="95"/>
        <v>-2.3554181039609849</v>
      </c>
      <c r="F31" s="1">
        <f t="shared" si="95"/>
        <v>-1.9699791159067177</v>
      </c>
      <c r="G31" s="1">
        <f t="shared" ref="G31:Q31" si="96">G25/G13</f>
        <v>-1.9128863317843181</v>
      </c>
      <c r="H31" s="1">
        <f t="shared" si="96"/>
        <v>-2.0526470588235295</v>
      </c>
      <c r="I31" s="1">
        <f t="shared" si="96"/>
        <v>-1.9815073716319267</v>
      </c>
      <c r="J31" s="1">
        <f t="shared" si="96"/>
        <v>-3.2415520857608948</v>
      </c>
      <c r="K31" s="1">
        <f t="shared" si="96"/>
        <v>-1.6462662590039903</v>
      </c>
      <c r="L31" s="1">
        <f t="shared" si="96"/>
        <v>-1.3300796906681756</v>
      </c>
      <c r="M31" s="1">
        <f t="shared" si="96"/>
        <v>-0.7498149975333005</v>
      </c>
      <c r="N31" s="1">
        <f t="shared" si="96"/>
        <v>-1.1682823763360677</v>
      </c>
      <c r="O31" s="1">
        <f t="shared" si="96"/>
        <v>-1.2151967696449173</v>
      </c>
      <c r="P31" s="1">
        <f t="shared" si="96"/>
        <v>-1.1433262893369125</v>
      </c>
      <c r="Q31" s="1">
        <f t="shared" si="96"/>
        <v>-1.0324901185770752</v>
      </c>
      <c r="R31" s="1">
        <f>R25/R13</f>
        <v>-1.0843686039316482</v>
      </c>
      <c r="S31" s="1">
        <f t="shared" ref="S31:Y31" si="97">S25/S13</f>
        <v>-1.2605813784362208</v>
      </c>
      <c r="T31" s="1">
        <f t="shared" si="97"/>
        <v>-1.0784844866608452</v>
      </c>
      <c r="U31" s="1">
        <f t="shared" si="97"/>
        <v>-0.89195037255483622</v>
      </c>
      <c r="V31" s="1">
        <f t="shared" si="97"/>
        <v>-0.77104879892336342</v>
      </c>
      <c r="W31" s="1">
        <f t="shared" si="97"/>
        <v>-0.98298438019275503</v>
      </c>
      <c r="X31" s="1">
        <f t="shared" si="97"/>
        <v>-0.9004549733291497</v>
      </c>
      <c r="Y31" s="1">
        <f t="shared" si="97"/>
        <v>-0.69075075433931821</v>
      </c>
      <c r="Z31" s="1">
        <f t="shared" ref="Z31" si="98">Z25/Z13</f>
        <v>-0.6015273154493832</v>
      </c>
      <c r="AD31" s="1">
        <f t="shared" ref="AD31:AH31" si="99">AD25/AD13</f>
        <v>-2.8015888622330594</v>
      </c>
      <c r="AE31" s="1">
        <f t="shared" si="99"/>
        <v>-1.9797554472740646</v>
      </c>
      <c r="AF31" s="1">
        <f t="shared" si="99"/>
        <v>-1.5530632630410655</v>
      </c>
      <c r="AG31" s="1">
        <f t="shared" si="99"/>
        <v>-1.1337988256897373</v>
      </c>
      <c r="AH31" s="1">
        <f t="shared" si="99"/>
        <v>-1.0702380075160267</v>
      </c>
      <c r="AI31" s="1">
        <f>AI25/AI13</f>
        <v>-0.83480410756030987</v>
      </c>
    </row>
    <row r="32" spans="1:35" x14ac:dyDescent="0.35">
      <c r="A32" t="s">
        <v>31</v>
      </c>
      <c r="B32" s="1">
        <f t="shared" ref="B32" si="100">B23/B22</f>
        <v>3.0796564998519394E-3</v>
      </c>
      <c r="C32" s="1">
        <f t="shared" ref="C32:F32" si="101">C23/C22</f>
        <v>2.55496137849079E-3</v>
      </c>
      <c r="D32" s="1">
        <f t="shared" si="101"/>
        <v>4.0448926109496949E-3</v>
      </c>
      <c r="E32" s="1">
        <f t="shared" si="101"/>
        <v>3.8527831288654567E-3</v>
      </c>
      <c r="F32" s="1">
        <f t="shared" si="101"/>
        <v>1.9029916799433529E-3</v>
      </c>
      <c r="G32" s="1">
        <f t="shared" ref="G32:Q32" si="102">G23/G22</f>
        <v>3.2496421525010639E-3</v>
      </c>
      <c r="H32" s="1">
        <f t="shared" si="102"/>
        <v>1.9381236092168544E-3</v>
      </c>
      <c r="I32" s="1">
        <f t="shared" si="102"/>
        <v>3.5725780495654974E-3</v>
      </c>
      <c r="J32" s="1">
        <f t="shared" si="102"/>
        <v>6.6545565727235126E-4</v>
      </c>
      <c r="K32" s="1">
        <f t="shared" si="102"/>
        <v>1.9238653925000787E-3</v>
      </c>
      <c r="L32" s="1">
        <f t="shared" si="102"/>
        <v>7.4505073440715253E-4</v>
      </c>
      <c r="M32" s="1">
        <f t="shared" si="102"/>
        <v>1.0933277904801496E-2</v>
      </c>
      <c r="N32" s="1">
        <f>N23/N22</f>
        <v>1.4001339258537773E-3</v>
      </c>
      <c r="O32" s="1">
        <f t="shared" si="102"/>
        <v>1.6112842728089175E-3</v>
      </c>
      <c r="P32" s="1">
        <f t="shared" si="102"/>
        <v>-5.6042816051303818E-2</v>
      </c>
      <c r="Q32" s="1">
        <f t="shared" si="102"/>
        <v>-4.6943789069150879E-2</v>
      </c>
      <c r="R32" s="1">
        <f>R23/R22</f>
        <v>-0.18590980560320183</v>
      </c>
      <c r="S32" s="1">
        <f t="shared" ref="S32:Y32" si="103">S23/S22</f>
        <v>-2.4499728694279562E-3</v>
      </c>
      <c r="T32" s="1">
        <f t="shared" si="103"/>
        <v>-2.4560709458345698E-3</v>
      </c>
      <c r="U32" s="1">
        <f t="shared" si="103"/>
        <v>5.7454302186018139E-3</v>
      </c>
      <c r="V32" s="1">
        <f t="shared" si="103"/>
        <v>1.8204464884545367E-3</v>
      </c>
      <c r="W32" s="1">
        <f t="shared" si="103"/>
        <v>1.1559507523939808E-2</v>
      </c>
      <c r="X32" s="1">
        <f t="shared" si="103"/>
        <v>1.0955912141334789E-2</v>
      </c>
      <c r="Y32" s="1">
        <f t="shared" si="103"/>
        <v>-4.777789734208544E-3</v>
      </c>
      <c r="Z32" s="1">
        <f t="shared" ref="Z32" si="104">Z23/Z22</f>
        <v>2.7979854504756574E-3</v>
      </c>
      <c r="AD32" s="1">
        <f t="shared" ref="AD32:AH32" si="105">AD23/AD22</f>
        <v>3.4087387666563371E-3</v>
      </c>
      <c r="AE32" s="1">
        <f t="shared" si="105"/>
        <v>2.7193905584994922E-3</v>
      </c>
      <c r="AF32" s="1">
        <f t="shared" si="105"/>
        <v>2.7373897340719029E-3</v>
      </c>
      <c r="AG32" s="1">
        <f t="shared" si="105"/>
        <v>-2.7230467002509091E-2</v>
      </c>
      <c r="AH32" s="1">
        <f t="shared" si="105"/>
        <v>-4.5607471722579007E-2</v>
      </c>
      <c r="AI32" s="1">
        <f>AI23/AI22</f>
        <v>5.6618796260800332E-3</v>
      </c>
    </row>
    <row r="33" spans="1:35" x14ac:dyDescent="0.35">
      <c r="A33" t="s">
        <v>32</v>
      </c>
      <c r="F33" s="3">
        <f t="shared" ref="F33" si="106">(F13/B13)-1</f>
        <v>1.664502666357524</v>
      </c>
      <c r="G33" s="3">
        <f t="shared" ref="G33" si="107">(G13/C13)-1</f>
        <v>1.1986701265001622</v>
      </c>
      <c r="H33" s="3">
        <f t="shared" ref="H33" si="108">(H13/D13)-1</f>
        <v>1.0791927839779851</v>
      </c>
      <c r="I33" s="3">
        <f t="shared" ref="I33" si="109">(I13/E13)-1</f>
        <v>0.87177352206494585</v>
      </c>
      <c r="J33" s="3">
        <f t="shared" ref="J33:U33" si="110">(J13/F13)-1</f>
        <v>0.4935607379046294</v>
      </c>
      <c r="K33" s="3">
        <f t="shared" si="110"/>
        <v>0.42339750682304356</v>
      </c>
      <c r="L33" s="3">
        <f t="shared" si="110"/>
        <v>0.55933823529411764</v>
      </c>
      <c r="M33" s="3">
        <f t="shared" si="110"/>
        <v>1.0610066090493135</v>
      </c>
      <c r="N33" s="3">
        <f t="shared" si="110"/>
        <v>0.64070146818923335</v>
      </c>
      <c r="O33" s="3">
        <f t="shared" si="110"/>
        <v>0.61703891796652321</v>
      </c>
      <c r="P33" s="3">
        <f t="shared" si="110"/>
        <v>0.6512472296883105</v>
      </c>
      <c r="Q33" s="3">
        <f>(Q13/M13)-1</f>
        <v>0.1701406018746916</v>
      </c>
      <c r="R33" s="3">
        <f t="shared" si="110"/>
        <v>0.49206349206349209</v>
      </c>
      <c r="S33" s="3">
        <f t="shared" si="110"/>
        <v>0.54233431611331873</v>
      </c>
      <c r="T33" s="3">
        <f t="shared" si="110"/>
        <v>0.60240447769718442</v>
      </c>
      <c r="U33" s="3">
        <f t="shared" si="110"/>
        <v>0.51006587615283272</v>
      </c>
      <c r="V33" s="3">
        <f>(V13/R13)-1</f>
        <v>0.29094673711266594</v>
      </c>
      <c r="W33" s="3">
        <f t="shared" ref="W33:X33" si="111">(W13/S13)-1</f>
        <v>0.25044154009184028</v>
      </c>
      <c r="X33" s="3">
        <f t="shared" si="111"/>
        <v>0.13592215707590038</v>
      </c>
      <c r="Y33" s="3">
        <f>(Y13/U13)-1</f>
        <v>0.16819934737466635</v>
      </c>
      <c r="Z33" s="3">
        <f>(Z13/V13)-1</f>
        <v>0.31810556200800111</v>
      </c>
      <c r="AD33" s="3"/>
      <c r="AE33" s="1">
        <f>(AE13/AD13)-1</f>
        <v>1.1388681323003107</v>
      </c>
      <c r="AF33" s="1">
        <f t="shared" ref="AF33:AI33" si="112">(AF13/AE13)-1</f>
        <v>0.65670681254022245</v>
      </c>
      <c r="AG33" s="1">
        <f t="shared" si="112"/>
        <v>0.46873473917869024</v>
      </c>
      <c r="AH33" s="1">
        <f t="shared" si="112"/>
        <v>0.53827843395071517</v>
      </c>
      <c r="AI33" s="1">
        <f t="shared" si="112"/>
        <v>0.20408223417581617</v>
      </c>
    </row>
    <row r="34" spans="1:35" x14ac:dyDescent="0.35">
      <c r="A34" t="s">
        <v>54</v>
      </c>
      <c r="F34" s="1">
        <f>(F5/B5)-1</f>
        <v>1.0895378690629012</v>
      </c>
      <c r="G34" s="1">
        <f t="shared" ref="G34:Z38" si="113">(G5/C5)-1</f>
        <v>0.34021978021978017</v>
      </c>
      <c r="H34" s="1">
        <f t="shared" si="113"/>
        <v>0.47321217842813312</v>
      </c>
      <c r="I34" s="1">
        <f t="shared" si="113"/>
        <v>0.29228998849252008</v>
      </c>
      <c r="J34" s="1">
        <f t="shared" si="113"/>
        <v>0.20350176624174465</v>
      </c>
      <c r="K34" s="1">
        <f t="shared" si="113"/>
        <v>0.49491636602164646</v>
      </c>
      <c r="L34" s="1">
        <f t="shared" si="113"/>
        <v>0.53860942005767387</v>
      </c>
      <c r="M34" s="1">
        <f t="shared" si="113"/>
        <v>9.8587965907645403E-2</v>
      </c>
      <c r="N34" s="1">
        <f t="shared" si="113"/>
        <v>0.13246554364471663</v>
      </c>
      <c r="O34" s="1">
        <f t="shared" si="113"/>
        <v>8.0078982009652577E-3</v>
      </c>
      <c r="P34" s="1">
        <f t="shared" si="113"/>
        <v>0.16243231986672213</v>
      </c>
      <c r="Q34" s="1">
        <f t="shared" si="113"/>
        <v>0.12748957850856879</v>
      </c>
      <c r="R34" s="1">
        <f t="shared" si="113"/>
        <v>0.52411539328375034</v>
      </c>
      <c r="S34" s="1">
        <f t="shared" si="113"/>
        <v>0.54129937969311137</v>
      </c>
      <c r="T34" s="1">
        <f t="shared" si="113"/>
        <v>0.55858115370834827</v>
      </c>
      <c r="U34" s="1">
        <f t="shared" si="113"/>
        <v>0.68645373318270519</v>
      </c>
      <c r="V34" s="1">
        <f t="shared" si="113"/>
        <v>0.1959334565619224</v>
      </c>
      <c r="W34" s="1">
        <f t="shared" si="113"/>
        <v>0.27169385017298597</v>
      </c>
      <c r="X34" s="1">
        <f t="shared" si="113"/>
        <v>0.10931034482758628</v>
      </c>
      <c r="Y34" s="1">
        <f t="shared" si="113"/>
        <v>0.22118019609037209</v>
      </c>
      <c r="Z34" s="1">
        <f t="shared" si="113"/>
        <v>0.21953632148377134</v>
      </c>
      <c r="AD34" s="1"/>
      <c r="AE34" s="1">
        <f>(AE5/AD5)-1</f>
        <v>0.48515512064939403</v>
      </c>
      <c r="AF34" s="1">
        <f t="shared" ref="AF34:AI34" si="114">(AF5/AE5)-1</f>
        <v>0.31746031746031744</v>
      </c>
      <c r="AG34" s="1">
        <f t="shared" si="114"/>
        <v>0.10718345078426905</v>
      </c>
      <c r="AH34" s="1">
        <f t="shared" si="114"/>
        <v>0.57861102556205735</v>
      </c>
      <c r="AI34" s="1">
        <f t="shared" si="114"/>
        <v>0.19561365003495435</v>
      </c>
    </row>
    <row r="35" spans="1:35" x14ac:dyDescent="0.35">
      <c r="A35" t="s">
        <v>55</v>
      </c>
      <c r="F35" s="1">
        <f t="shared" ref="F35:F38" si="115">(F6/B6)-1</f>
        <v>0.11263736263736268</v>
      </c>
      <c r="G35" s="1">
        <f t="shared" si="113"/>
        <v>1.0657894736842106</v>
      </c>
      <c r="H35" s="1">
        <f t="shared" si="113"/>
        <v>0.49876543209876534</v>
      </c>
      <c r="I35" s="1">
        <f t="shared" si="113"/>
        <v>0.5350467289719627</v>
      </c>
      <c r="J35" s="1">
        <f t="shared" si="113"/>
        <v>0.53333333333333344</v>
      </c>
      <c r="K35" s="1">
        <f t="shared" si="113"/>
        <v>-0.12340764331210186</v>
      </c>
      <c r="L35" s="1">
        <f t="shared" si="113"/>
        <v>-0.17298187808896215</v>
      </c>
      <c r="M35" s="1">
        <f t="shared" si="113"/>
        <v>-8.8280060882800604E-2</v>
      </c>
      <c r="N35" s="1">
        <f t="shared" si="113"/>
        <v>0.21578099838969411</v>
      </c>
      <c r="O35" s="1">
        <f t="shared" si="113"/>
        <v>0.67211625794732055</v>
      </c>
      <c r="P35" s="1">
        <f t="shared" si="113"/>
        <v>1.008964143426295</v>
      </c>
      <c r="Q35" s="1">
        <f t="shared" si="113"/>
        <v>1.2295492487479134</v>
      </c>
      <c r="R35" s="1">
        <f t="shared" si="113"/>
        <v>1.1112582781456952</v>
      </c>
      <c r="S35" s="1">
        <f t="shared" si="113"/>
        <v>0.25366648560564919</v>
      </c>
      <c r="T35" s="1">
        <f t="shared" si="113"/>
        <v>0.61576598909271185</v>
      </c>
      <c r="U35" s="1">
        <f t="shared" si="113"/>
        <v>0.37364283040059898</v>
      </c>
      <c r="V35" s="1">
        <f t="shared" si="113"/>
        <v>0.16028858218318698</v>
      </c>
      <c r="W35" s="1">
        <f t="shared" si="113"/>
        <v>0.43630849220103984</v>
      </c>
      <c r="X35" s="1">
        <f t="shared" si="113"/>
        <v>0.14605707272169388</v>
      </c>
      <c r="Y35" s="1">
        <f t="shared" si="113"/>
        <v>1.9351321886072581E-2</v>
      </c>
      <c r="Z35" s="1">
        <f t="shared" si="113"/>
        <v>0.13246823465801572</v>
      </c>
      <c r="AD35" s="1"/>
      <c r="AE35" s="1">
        <f t="shared" ref="AE35:AI38" si="116">(AE6/AD6)-1</f>
        <v>0.53031312458361102</v>
      </c>
      <c r="AF35" s="1">
        <f t="shared" si="116"/>
        <v>-1.0666086199390468E-2</v>
      </c>
      <c r="AG35" s="1">
        <f t="shared" si="116"/>
        <v>0.76875687568756867</v>
      </c>
      <c r="AH35" s="1">
        <f t="shared" si="116"/>
        <v>0.54546585396193548</v>
      </c>
      <c r="AI35" s="1">
        <f t="shared" si="116"/>
        <v>0.16621056020605285</v>
      </c>
    </row>
    <row r="36" spans="1:35" x14ac:dyDescent="0.35">
      <c r="A36" t="s">
        <v>56</v>
      </c>
      <c r="F36" s="1">
        <f t="shared" si="115"/>
        <v>0.34090909090909083</v>
      </c>
      <c r="G36" s="1">
        <f t="shared" si="113"/>
        <v>0.75862068965517238</v>
      </c>
      <c r="H36" s="1">
        <f t="shared" si="113"/>
        <v>0.10516252390057357</v>
      </c>
      <c r="I36" s="1">
        <f t="shared" si="113"/>
        <v>-0.32149200710479575</v>
      </c>
      <c r="J36" s="1">
        <f t="shared" si="113"/>
        <v>1.5593220338983049</v>
      </c>
      <c r="K36" s="1">
        <f t="shared" si="113"/>
        <v>1.042232277526395</v>
      </c>
      <c r="L36" s="1">
        <f t="shared" si="113"/>
        <v>1.6332179930795849</v>
      </c>
      <c r="M36" s="1">
        <f t="shared" si="113"/>
        <v>5.3219895287958119</v>
      </c>
      <c r="N36" s="1">
        <f t="shared" si="113"/>
        <v>1.0860927152317883</v>
      </c>
      <c r="O36" s="1">
        <f t="shared" si="113"/>
        <v>1.3803545051698669</v>
      </c>
      <c r="P36" s="1">
        <f t="shared" si="113"/>
        <v>1.0630749014454666</v>
      </c>
      <c r="Q36" s="1">
        <f t="shared" si="113"/>
        <v>0.69565217391304346</v>
      </c>
      <c r="R36" s="1">
        <f t="shared" si="113"/>
        <v>-0.42811791383219955</v>
      </c>
      <c r="S36" s="1">
        <f t="shared" si="113"/>
        <v>-0.38969903816320195</v>
      </c>
      <c r="T36" s="1">
        <f t="shared" si="113"/>
        <v>-0.54713375796178343</v>
      </c>
      <c r="U36" s="1">
        <f t="shared" si="113"/>
        <v>-0.63394383394383391</v>
      </c>
      <c r="V36" s="1">
        <f t="shared" si="113"/>
        <v>0.45598731165741468</v>
      </c>
      <c r="W36" s="1">
        <f t="shared" si="113"/>
        <v>0.43670564311133697</v>
      </c>
      <c r="X36" s="1">
        <f t="shared" si="113"/>
        <v>1.0253164556962027</v>
      </c>
      <c r="Y36" s="1">
        <f t="shared" si="113"/>
        <v>0.77384923282188134</v>
      </c>
      <c r="Z36" s="1">
        <f t="shared" si="113"/>
        <v>0.60076252723311541</v>
      </c>
      <c r="AD36" s="1"/>
      <c r="AE36" s="1">
        <f t="shared" si="116"/>
        <v>0.14963297571993217</v>
      </c>
      <c r="AF36" s="1">
        <f t="shared" si="116"/>
        <v>2.117878192534381</v>
      </c>
      <c r="AG36" s="1">
        <f t="shared" si="116"/>
        <v>0.9948015122873346</v>
      </c>
      <c r="AH36" s="1">
        <f t="shared" si="116"/>
        <v>-0.51441206665087269</v>
      </c>
      <c r="AI36" s="1">
        <f t="shared" si="116"/>
        <v>0.65896893803870538</v>
      </c>
    </row>
    <row r="37" spans="1:35" x14ac:dyDescent="0.35">
      <c r="A37" t="s">
        <v>57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>
        <f t="shared" si="113"/>
        <v>0.6976937461043009</v>
      </c>
      <c r="W37" s="1">
        <f t="shared" si="113"/>
        <v>6.7860938211628863E-2</v>
      </c>
      <c r="X37" s="1">
        <f t="shared" si="113"/>
        <v>-0.2662608138417174</v>
      </c>
      <c r="Y37" s="1">
        <f t="shared" si="113"/>
        <v>-0.48123755552151937</v>
      </c>
      <c r="Z37" s="1">
        <f t="shared" si="113"/>
        <v>-0.36042100110145636</v>
      </c>
      <c r="AD37" s="1"/>
      <c r="AE37" s="1"/>
      <c r="AF37" s="1"/>
      <c r="AG37" s="1"/>
      <c r="AH37" s="1"/>
      <c r="AI37" s="1">
        <f t="shared" si="116"/>
        <v>-4.1330520044681629E-2</v>
      </c>
    </row>
    <row r="38" spans="1:35" x14ac:dyDescent="0.35">
      <c r="A38" t="s">
        <v>58</v>
      </c>
      <c r="F38" s="1">
        <f t="shared" si="115"/>
        <v>22.341614906832298</v>
      </c>
      <c r="G38" s="1">
        <f t="shared" si="113"/>
        <v>7.7797147385103003</v>
      </c>
      <c r="H38" s="1">
        <f t="shared" si="113"/>
        <v>4.7322348094747682</v>
      </c>
      <c r="I38" s="1">
        <f t="shared" si="113"/>
        <v>5.8276243093922648</v>
      </c>
      <c r="J38" s="1">
        <f t="shared" si="113"/>
        <v>0.87040979244278871</v>
      </c>
      <c r="K38" s="1">
        <f t="shared" si="113"/>
        <v>0.39458483754512641</v>
      </c>
      <c r="L38" s="1">
        <f t="shared" si="113"/>
        <v>0.63079410707869199</v>
      </c>
      <c r="M38" s="1">
        <f t="shared" si="113"/>
        <v>2.2663861466256674</v>
      </c>
      <c r="N38" s="1">
        <f t="shared" si="113"/>
        <v>1.2153933703229476</v>
      </c>
      <c r="O38" s="1">
        <f t="shared" si="113"/>
        <v>1.1940201915609632</v>
      </c>
      <c r="P38" s="1">
        <f t="shared" si="113"/>
        <v>1.0598215269362123</v>
      </c>
      <c r="Q38" s="1">
        <f t="shared" si="113"/>
        <v>6.2626963285933757E-2</v>
      </c>
      <c r="R38" s="1">
        <f t="shared" si="113"/>
        <v>0.23497302851271518</v>
      </c>
      <c r="S38" s="1">
        <f t="shared" si="113"/>
        <v>0.36286944723025183</v>
      </c>
      <c r="T38" s="1">
        <f t="shared" si="113"/>
        <v>0.48633470610258334</v>
      </c>
      <c r="U38" s="1">
        <f t="shared" si="113"/>
        <v>0.36098288804961065</v>
      </c>
      <c r="V38" s="1">
        <f t="shared" si="113"/>
        <v>0.2668087982944205</v>
      </c>
      <c r="W38" s="1">
        <f t="shared" si="113"/>
        <v>0.25504285343260324</v>
      </c>
      <c r="X38" s="1">
        <f t="shared" si="113"/>
        <v>0.1962216624685138</v>
      </c>
      <c r="Y38" s="1">
        <f t="shared" si="113"/>
        <v>0.27126657302408441</v>
      </c>
      <c r="Z38" s="1">
        <f t="shared" si="113"/>
        <v>0.61801165749938436</v>
      </c>
      <c r="AD38" s="1"/>
      <c r="AE38" s="1">
        <f t="shared" si="116"/>
        <v>6.8871814092953523</v>
      </c>
      <c r="AF38" s="1">
        <f t="shared" si="116"/>
        <v>1.0916694387682364</v>
      </c>
      <c r="AG38" s="1">
        <f t="shared" si="116"/>
        <v>0.65095990003407933</v>
      </c>
      <c r="AH38" s="1">
        <f t="shared" si="116"/>
        <v>0.3666726299420644</v>
      </c>
      <c r="AI38" s="1">
        <f t="shared" si="116"/>
        <v>0.24562993394554544</v>
      </c>
    </row>
    <row r="39" spans="1:35" x14ac:dyDescent="0.35">
      <c r="N39" t="s">
        <v>47</v>
      </c>
      <c r="V3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3FF2E-88F8-4EA5-AFDE-45E637B465B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</dc:creator>
  <cp:lastModifiedBy>Tony soprano</cp:lastModifiedBy>
  <dcterms:created xsi:type="dcterms:W3CDTF">2024-01-01T18:56:19Z</dcterms:created>
  <dcterms:modified xsi:type="dcterms:W3CDTF">2024-03-20T17:54:54Z</dcterms:modified>
</cp:coreProperties>
</file>