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quanker\Documents\Biotech Analysis\"/>
    </mc:Choice>
  </mc:AlternateContent>
  <xr:revisionPtr revIDLastSave="0" documentId="13_ncr:1_{BDE1DDCB-C0D3-4506-B997-16A63EBBCC01}" xr6:coauthVersionLast="47" xr6:coauthVersionMax="47" xr10:uidLastSave="{00000000-0000-0000-0000-000000000000}"/>
  <bookViews>
    <workbookView xWindow="22670" yWindow="0" windowWidth="15240" windowHeight="21000" activeTab="2" xr2:uid="{E08E4425-E74E-46ED-A5A8-D33167C05B9D}"/>
  </bookViews>
  <sheets>
    <sheet name="Financials" sheetId="1" r:id="rId1"/>
    <sheet name="Data pts" sheetId="2" r:id="rId2"/>
    <sheet name="Pubmed timeline" sheetId="3" r:id="rId3"/>
    <sheet name="Competitors"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3" i="3" l="1"/>
  <c r="D96" i="3"/>
  <c r="C96" i="3"/>
  <c r="B96" i="3"/>
  <c r="H20" i="2" l="1"/>
  <c r="H21" i="2" s="1"/>
  <c r="H22" i="2" s="1"/>
  <c r="H23" i="2" s="1"/>
  <c r="H24" i="2" s="1"/>
  <c r="H19" i="2"/>
  <c r="E19" i="3"/>
  <c r="D19" i="3"/>
  <c r="C19" i="3"/>
  <c r="E18" i="3"/>
  <c r="D18" i="3"/>
  <c r="C18" i="3"/>
  <c r="I17" i="3"/>
  <c r="H17" i="3"/>
  <c r="G17" i="3"/>
  <c r="F17" i="3"/>
  <c r="E17" i="3"/>
  <c r="D17" i="3"/>
  <c r="C17" i="3"/>
  <c r="K16" i="3"/>
  <c r="J16" i="3"/>
  <c r="I16" i="3"/>
  <c r="H16" i="3"/>
  <c r="G16" i="3"/>
  <c r="F16" i="3"/>
  <c r="E16" i="3"/>
  <c r="D16" i="3"/>
  <c r="C16" i="3"/>
  <c r="K15" i="3"/>
  <c r="J15" i="3"/>
  <c r="I15" i="3"/>
  <c r="H15" i="3"/>
  <c r="G15" i="3"/>
  <c r="F15" i="3"/>
  <c r="E15" i="3"/>
  <c r="D15" i="3"/>
  <c r="C15" i="3"/>
  <c r="B67" i="3"/>
  <c r="C67" i="3"/>
  <c r="AG47" i="1" l="1"/>
  <c r="AG37" i="1"/>
  <c r="AG38" i="1"/>
  <c r="AG39" i="1"/>
  <c r="AG40" i="1"/>
  <c r="AG42" i="1"/>
  <c r="AG35" i="1"/>
  <c r="AG27" i="1"/>
  <c r="AG28" i="1" s="1"/>
  <c r="AG30" i="1" s="1"/>
  <c r="AG33" i="1" s="1"/>
  <c r="AG21" i="1"/>
  <c r="AF47" i="1"/>
  <c r="AF37" i="1"/>
  <c r="AF38" i="1"/>
  <c r="AF39" i="1"/>
  <c r="AF40" i="1"/>
  <c r="AF42" i="1"/>
  <c r="AF35" i="1"/>
  <c r="AF27" i="1"/>
  <c r="AF28" i="1" s="1"/>
  <c r="AF30" i="1" s="1"/>
  <c r="AF33" i="1" s="1"/>
  <c r="AF21" i="1"/>
  <c r="W45" i="1"/>
  <c r="AF44" i="1"/>
  <c r="AG44" i="1"/>
  <c r="AF43" i="1"/>
  <c r="AG43" i="1"/>
  <c r="AG12" i="1"/>
  <c r="AG11" i="1"/>
  <c r="AG8" i="1"/>
  <c r="AF12" i="1"/>
  <c r="AF11" i="1"/>
  <c r="AF8" i="1"/>
  <c r="N47" i="1"/>
  <c r="P47" i="1"/>
  <c r="Q47" i="1"/>
  <c r="R47" i="1"/>
  <c r="T47" i="1"/>
  <c r="U47" i="1"/>
  <c r="V47" i="1"/>
  <c r="X47" i="1"/>
  <c r="Y47" i="1"/>
  <c r="Z47" i="1"/>
  <c r="AB47" i="1"/>
  <c r="AC47" i="1"/>
  <c r="AD47" i="1"/>
  <c r="M47" i="1"/>
  <c r="AN13" i="1"/>
  <c r="AL34" i="1"/>
  <c r="AL29" i="1"/>
  <c r="AL26" i="1"/>
  <c r="AL25" i="1"/>
  <c r="AL19" i="1"/>
  <c r="AM6" i="1"/>
  <c r="AP25" i="1"/>
  <c r="AO26" i="1"/>
  <c r="AO25" i="1"/>
  <c r="AP34" i="1"/>
  <c r="AO34" i="1"/>
  <c r="AN34" i="1"/>
  <c r="AM34" i="1"/>
  <c r="AN25" i="1"/>
  <c r="AN19" i="1"/>
  <c r="AM25" i="1"/>
  <c r="AM19" i="1"/>
  <c r="AP10" i="1"/>
  <c r="AN10" i="1"/>
  <c r="AN9" i="1"/>
  <c r="AN7" i="1"/>
  <c r="AN6" i="1"/>
  <c r="AM13" i="1"/>
  <c r="AM9" i="1"/>
  <c r="AM10" i="1"/>
  <c r="AM7" i="1"/>
  <c r="R42" i="1"/>
  <c r="S42" i="1"/>
  <c r="AN42" i="1" l="1"/>
  <c r="AM42" i="1"/>
  <c r="AN8" i="1"/>
  <c r="AM8" i="1"/>
  <c r="AN43" i="1" s="1"/>
  <c r="AN45" i="1"/>
  <c r="AE9" i="1" l="1"/>
  <c r="AP9" i="1" s="1"/>
  <c r="AE7" i="1"/>
  <c r="AP7" i="1" s="1"/>
  <c r="AE6" i="1"/>
  <c r="AP6" i="1" s="1"/>
  <c r="AE26" i="1"/>
  <c r="AP26" i="1" s="1"/>
  <c r="AE24" i="1"/>
  <c r="AP24" i="1" s="1"/>
  <c r="AE23" i="1"/>
  <c r="AP23" i="1" s="1"/>
  <c r="AE20" i="1"/>
  <c r="AE19" i="1"/>
  <c r="S14" i="1"/>
  <c r="U45" i="1"/>
  <c r="V45" i="1"/>
  <c r="T45" i="1"/>
  <c r="L40" i="1"/>
  <c r="M40" i="1"/>
  <c r="N40" i="1"/>
  <c r="O40" i="1"/>
  <c r="P40" i="1"/>
  <c r="Q40" i="1"/>
  <c r="R40" i="1"/>
  <c r="S40" i="1"/>
  <c r="T40" i="1"/>
  <c r="U40" i="1"/>
  <c r="V40" i="1"/>
  <c r="W40" i="1"/>
  <c r="X40" i="1"/>
  <c r="Y40" i="1"/>
  <c r="Z40" i="1"/>
  <c r="AB40" i="1"/>
  <c r="AC40" i="1"/>
  <c r="K33" i="1"/>
  <c r="P42" i="1"/>
  <c r="Q42" i="1"/>
  <c r="AD42" i="1"/>
  <c r="AD40" i="1"/>
  <c r="W23" i="1"/>
  <c r="AN23" i="1" s="1"/>
  <c r="O24" i="1"/>
  <c r="AL24" i="1" s="1"/>
  <c r="O23" i="1"/>
  <c r="AL23" i="1" s="1"/>
  <c r="O22" i="1"/>
  <c r="AL22" i="1" s="1"/>
  <c r="O20" i="1"/>
  <c r="O47" i="1" s="1"/>
  <c r="O7" i="1"/>
  <c r="AL7" i="1" s="1"/>
  <c r="O6" i="1"/>
  <c r="AL6" i="1" s="1"/>
  <c r="L21" i="1"/>
  <c r="L37" i="1" s="1"/>
  <c r="N12" i="1"/>
  <c r="M12" i="1"/>
  <c r="L12" i="1"/>
  <c r="J12" i="1"/>
  <c r="I12" i="1"/>
  <c r="G12" i="1"/>
  <c r="H12" i="1"/>
  <c r="G21" i="1"/>
  <c r="H21" i="1"/>
  <c r="I21" i="1"/>
  <c r="J21" i="1"/>
  <c r="G27" i="1"/>
  <c r="H27" i="1"/>
  <c r="I27" i="1"/>
  <c r="J27" i="1"/>
  <c r="S26" i="1"/>
  <c r="AM26" i="1" s="1"/>
  <c r="S24" i="1"/>
  <c r="AM24" i="1" s="1"/>
  <c r="S23" i="1"/>
  <c r="AM23" i="1" s="1"/>
  <c r="S22" i="1"/>
  <c r="AM22" i="1" s="1"/>
  <c r="S20" i="1"/>
  <c r="W29" i="1"/>
  <c r="AN29" i="1" s="1"/>
  <c r="W26" i="1"/>
  <c r="AN26" i="1" s="1"/>
  <c r="W24" i="1"/>
  <c r="AN24" i="1" s="1"/>
  <c r="W22" i="1"/>
  <c r="AN22" i="1" s="1"/>
  <c r="W20" i="1"/>
  <c r="W47" i="1" s="1"/>
  <c r="R29" i="1"/>
  <c r="Q29" i="1"/>
  <c r="L27" i="1"/>
  <c r="M27" i="1"/>
  <c r="N27" i="1"/>
  <c r="P27" i="1"/>
  <c r="Q27" i="1"/>
  <c r="R27" i="1"/>
  <c r="T27" i="1"/>
  <c r="U27" i="1"/>
  <c r="V27" i="1"/>
  <c r="X27" i="1"/>
  <c r="Y27" i="1"/>
  <c r="Z27" i="1"/>
  <c r="AB27" i="1"/>
  <c r="AD27" i="1"/>
  <c r="T21" i="1"/>
  <c r="T37" i="1" s="1"/>
  <c r="P29" i="1"/>
  <c r="V21" i="1"/>
  <c r="V37" i="1" s="1"/>
  <c r="U21" i="1"/>
  <c r="U37" i="1" s="1"/>
  <c r="S21" i="1"/>
  <c r="S37" i="1" s="1"/>
  <c r="R21" i="1"/>
  <c r="R37" i="1" s="1"/>
  <c r="Q21" i="1"/>
  <c r="Q37" i="1" s="1"/>
  <c r="P21" i="1"/>
  <c r="P37" i="1" s="1"/>
  <c r="N21" i="1"/>
  <c r="N37" i="1" s="1"/>
  <c r="M21" i="1"/>
  <c r="M37" i="1" s="1"/>
  <c r="AP20" i="1" l="1"/>
  <c r="AE47" i="1"/>
  <c r="AM20" i="1"/>
  <c r="AM21" i="1" s="1"/>
  <c r="S47" i="1"/>
  <c r="AL8" i="1"/>
  <c r="O21" i="1"/>
  <c r="O37" i="1" s="1"/>
  <c r="AL20" i="1"/>
  <c r="AL21" i="1" s="1"/>
  <c r="AP8" i="1"/>
  <c r="W21" i="1"/>
  <c r="W37" i="1" s="1"/>
  <c r="AN20" i="1"/>
  <c r="AN21" i="1" s="1"/>
  <c r="AN37" i="1" s="1"/>
  <c r="AE21" i="1"/>
  <c r="AE37" i="1" s="1"/>
  <c r="AP19" i="1"/>
  <c r="AP21" i="1" s="1"/>
  <c r="AP37" i="1" s="1"/>
  <c r="AE8" i="1"/>
  <c r="AM27" i="1"/>
  <c r="AE11" i="1"/>
  <c r="AN27" i="1"/>
  <c r="AE40" i="1"/>
  <c r="AM37" i="1"/>
  <c r="O12" i="1"/>
  <c r="AL12" i="1" s="1"/>
  <c r="W27" i="1"/>
  <c r="T28" i="1"/>
  <c r="S27" i="1"/>
  <c r="S28" i="1" s="1"/>
  <c r="S38" i="1" s="1"/>
  <c r="V28" i="1"/>
  <c r="P28" i="1"/>
  <c r="J28" i="1"/>
  <c r="J30" i="1" s="1"/>
  <c r="L28" i="1"/>
  <c r="S29" i="1"/>
  <c r="AM29" i="1" s="1"/>
  <c r="H28" i="1"/>
  <c r="H30" i="1" s="1"/>
  <c r="G28" i="1"/>
  <c r="G30" i="1" s="1"/>
  <c r="I28" i="1"/>
  <c r="I30" i="1" s="1"/>
  <c r="U28" i="1"/>
  <c r="O27" i="1"/>
  <c r="O28" i="1" s="1"/>
  <c r="N28" i="1"/>
  <c r="M28" i="1"/>
  <c r="W28" i="1"/>
  <c r="R28" i="1"/>
  <c r="Q28" i="1"/>
  <c r="AM28" i="1" l="1"/>
  <c r="AM38" i="1" s="1"/>
  <c r="AL37" i="1"/>
  <c r="AL27" i="1"/>
  <c r="AL28" i="1" s="1"/>
  <c r="AL38" i="1" s="1"/>
  <c r="AE12" i="1"/>
  <c r="AN28" i="1"/>
  <c r="AN38" i="1" s="1"/>
  <c r="I33" i="1"/>
  <c r="I35" i="1" s="1"/>
  <c r="H33" i="1"/>
  <c r="H35" i="1" s="1"/>
  <c r="Q30" i="1"/>
  <c r="Q38" i="1"/>
  <c r="R30" i="1"/>
  <c r="R38" i="1"/>
  <c r="U30" i="1"/>
  <c r="U38" i="1"/>
  <c r="J33" i="1"/>
  <c r="J35" i="1" s="1"/>
  <c r="P30" i="1"/>
  <c r="P38" i="1"/>
  <c r="T30" i="1"/>
  <c r="T38" i="1"/>
  <c r="G33" i="1"/>
  <c r="G35" i="1" s="1"/>
  <c r="L30" i="1"/>
  <c r="L38" i="1"/>
  <c r="W30" i="1"/>
  <c r="W38" i="1"/>
  <c r="M30" i="1"/>
  <c r="M38" i="1"/>
  <c r="N30" i="1"/>
  <c r="N38" i="1"/>
  <c r="O30" i="1"/>
  <c r="O38" i="1"/>
  <c r="V30" i="1"/>
  <c r="V38" i="1"/>
  <c r="S30" i="1"/>
  <c r="AL30" i="1" l="1"/>
  <c r="AL33" i="1" s="1"/>
  <c r="P33" i="1"/>
  <c r="AM30" i="1"/>
  <c r="AM33" i="1" s="1"/>
  <c r="L33" i="1"/>
  <c r="L39" i="1" s="1"/>
  <c r="Q33" i="1"/>
  <c r="Q39" i="1" s="1"/>
  <c r="R33" i="1"/>
  <c r="R39" i="1" s="1"/>
  <c r="U33" i="1"/>
  <c r="U39" i="1" s="1"/>
  <c r="M33" i="1"/>
  <c r="M39" i="1" s="1"/>
  <c r="W33" i="1"/>
  <c r="W39" i="1" s="1"/>
  <c r="S33" i="1"/>
  <c r="S39" i="1" s="1"/>
  <c r="O33" i="1"/>
  <c r="O39" i="1" s="1"/>
  <c r="T33" i="1"/>
  <c r="T39" i="1" s="1"/>
  <c r="N33" i="1"/>
  <c r="N39" i="1" s="1"/>
  <c r="P39" i="1"/>
  <c r="P35" i="1"/>
  <c r="V33" i="1"/>
  <c r="V39" i="1" s="1"/>
  <c r="T42" i="1"/>
  <c r="U42" i="1"/>
  <c r="V42" i="1"/>
  <c r="W42" i="1"/>
  <c r="X42" i="1"/>
  <c r="Y42" i="1"/>
  <c r="Z42" i="1"/>
  <c r="AC42" i="1"/>
  <c r="AB42" i="1"/>
  <c r="AD29" i="1"/>
  <c r="Z29" i="1"/>
  <c r="AC29" i="1"/>
  <c r="AB29" i="1"/>
  <c r="AA24" i="1"/>
  <c r="AO24" i="1" s="1"/>
  <c r="AA23" i="1"/>
  <c r="AO23" i="1" s="1"/>
  <c r="AA22" i="1"/>
  <c r="AO22" i="1" s="1"/>
  <c r="Z21" i="1"/>
  <c r="AA20" i="1"/>
  <c r="AA19" i="1"/>
  <c r="AO19" i="1" s="1"/>
  <c r="W14" i="1"/>
  <c r="AA10" i="1"/>
  <c r="AO10" i="1" s="1"/>
  <c r="AA7" i="1"/>
  <c r="AO7" i="1" s="1"/>
  <c r="AA6" i="1"/>
  <c r="AO6" i="1" s="1"/>
  <c r="AD21" i="1"/>
  <c r="AD37" i="1" s="1"/>
  <c r="Z9" i="1"/>
  <c r="Z8" i="1"/>
  <c r="AD11" i="1"/>
  <c r="AD8" i="1"/>
  <c r="AD43" i="1" s="1"/>
  <c r="AC22" i="1"/>
  <c r="AC21" i="1"/>
  <c r="AC37" i="1" s="1"/>
  <c r="Y21" i="1"/>
  <c r="AC11" i="1"/>
  <c r="AC8" i="1"/>
  <c r="Y11" i="1"/>
  <c r="Y8" i="1"/>
  <c r="AB11" i="1"/>
  <c r="AB8" i="1"/>
  <c r="X11" i="1"/>
  <c r="X8" i="1"/>
  <c r="X21" i="1"/>
  <c r="AB21" i="1"/>
  <c r="AP4" i="1"/>
  <c r="AQ4" i="1" s="1"/>
  <c r="AR4" i="1" s="1"/>
  <c r="AS4" i="1" s="1"/>
  <c r="AT4" i="1" s="1"/>
  <c r="AU4" i="1" s="1"/>
  <c r="AV4" i="1" s="1"/>
  <c r="AW4" i="1" s="1"/>
  <c r="AX4" i="1" s="1"/>
  <c r="AY4" i="1" s="1"/>
  <c r="AZ4" i="1" s="1"/>
  <c r="BA4" i="1" s="1"/>
  <c r="BB4" i="1" s="1"/>
  <c r="BC4" i="1" s="1"/>
  <c r="BD4" i="1" s="1"/>
  <c r="BE4" i="1" s="1"/>
  <c r="BF4" i="1" s="1"/>
  <c r="BG4" i="1" s="1"/>
  <c r="P11" i="1"/>
  <c r="P8" i="1"/>
  <c r="S11" i="1"/>
  <c r="S17" i="1" s="1"/>
  <c r="Q8" i="1"/>
  <c r="R8" i="1"/>
  <c r="S8" i="1"/>
  <c r="T8" i="1"/>
  <c r="U8" i="1"/>
  <c r="V11" i="1"/>
  <c r="V17" i="1" s="1"/>
  <c r="Q11" i="1"/>
  <c r="Q17" i="1" s="1"/>
  <c r="R11" i="1"/>
  <c r="R17" i="1" s="1"/>
  <c r="T11" i="1"/>
  <c r="U11" i="1"/>
  <c r="V8" i="1"/>
  <c r="W11" i="1"/>
  <c r="W8" i="1"/>
  <c r="AO20" i="1" l="1"/>
  <c r="AA47" i="1"/>
  <c r="AO42" i="1"/>
  <c r="AP42" i="1"/>
  <c r="AO8" i="1"/>
  <c r="AL39" i="1"/>
  <c r="AL35" i="1"/>
  <c r="AO27" i="1"/>
  <c r="W16" i="1"/>
  <c r="AA16" i="1"/>
  <c r="P17" i="1"/>
  <c r="AM11" i="1"/>
  <c r="T17" i="1"/>
  <c r="AN11" i="1"/>
  <c r="AA9" i="1"/>
  <c r="AA11" i="1" s="1"/>
  <c r="AA40" i="1"/>
  <c r="AO21" i="1"/>
  <c r="AE42" i="1"/>
  <c r="AA29" i="1"/>
  <c r="AO29" i="1" s="1"/>
  <c r="AM39" i="1"/>
  <c r="AM35" i="1"/>
  <c r="AP11" i="1"/>
  <c r="AE29" i="1"/>
  <c r="AP29" i="1" s="1"/>
  <c r="W44" i="1"/>
  <c r="W17" i="1"/>
  <c r="AC27" i="1"/>
  <c r="AC28" i="1" s="1"/>
  <c r="AC38" i="1" s="1"/>
  <c r="AE22" i="1"/>
  <c r="AP22" i="1" s="1"/>
  <c r="AP27" i="1" s="1"/>
  <c r="AP28" i="1" s="1"/>
  <c r="AP38" i="1" s="1"/>
  <c r="U44" i="1"/>
  <c r="U17" i="1"/>
  <c r="N35" i="1"/>
  <c r="M35" i="1"/>
  <c r="W15" i="1"/>
  <c r="V15" i="1"/>
  <c r="U15" i="1"/>
  <c r="T15" i="1"/>
  <c r="AB43" i="1"/>
  <c r="AB44" i="1"/>
  <c r="Y43" i="1"/>
  <c r="T43" i="1"/>
  <c r="Y44" i="1"/>
  <c r="W43" i="1"/>
  <c r="U35" i="1"/>
  <c r="T35" i="1"/>
  <c r="R35" i="1"/>
  <c r="V43" i="1"/>
  <c r="Y28" i="1"/>
  <c r="Y38" i="1" s="1"/>
  <c r="Y37" i="1"/>
  <c r="T44" i="1"/>
  <c r="AB28" i="1"/>
  <c r="AB38" i="1" s="1"/>
  <c r="AB37" i="1"/>
  <c r="Z28" i="1"/>
  <c r="Z38" i="1" s="1"/>
  <c r="Z37" i="1"/>
  <c r="W35" i="1"/>
  <c r="O35" i="1"/>
  <c r="Q35" i="1"/>
  <c r="AC43" i="1"/>
  <c r="AC44" i="1"/>
  <c r="X28" i="1"/>
  <c r="X38" i="1" s="1"/>
  <c r="X37" i="1"/>
  <c r="X43" i="1"/>
  <c r="V44" i="1"/>
  <c r="U43" i="1"/>
  <c r="X44" i="1"/>
  <c r="Z43" i="1"/>
  <c r="S35" i="1"/>
  <c r="L35" i="1"/>
  <c r="V35" i="1"/>
  <c r="AA27" i="1"/>
  <c r="AA21" i="1"/>
  <c r="AD12" i="1"/>
  <c r="AA42" i="1"/>
  <c r="AB12" i="1"/>
  <c r="AD28" i="1"/>
  <c r="Z11" i="1"/>
  <c r="AA8" i="1"/>
  <c r="Y12" i="1"/>
  <c r="AC12" i="1"/>
  <c r="X12" i="1"/>
  <c r="P12" i="1"/>
  <c r="V12" i="1"/>
  <c r="W12" i="1"/>
  <c r="U12" i="1"/>
  <c r="T12" i="1"/>
  <c r="Q12" i="1"/>
  <c r="R12" i="1"/>
  <c r="S12" i="1"/>
  <c r="AO11" i="1" l="1"/>
  <c r="AO44" i="1" s="1"/>
  <c r="AN44" i="1"/>
  <c r="AP44" i="1"/>
  <c r="AO43" i="1"/>
  <c r="AP43" i="1"/>
  <c r="AO28" i="1"/>
  <c r="AO38" i="1" s="1"/>
  <c r="AO37" i="1"/>
  <c r="AO9" i="1"/>
  <c r="AM12" i="1"/>
  <c r="AA44" i="1"/>
  <c r="AE44" i="1"/>
  <c r="AA13" i="1"/>
  <c r="AA17" i="1" s="1"/>
  <c r="AE13" i="1"/>
  <c r="AE17" i="1" s="1"/>
  <c r="Y13" i="1"/>
  <c r="Y17" i="1" s="1"/>
  <c r="AC13" i="1"/>
  <c r="AC17" i="1" s="1"/>
  <c r="AD13" i="1"/>
  <c r="AD17" i="1" s="1"/>
  <c r="Z13" i="1"/>
  <c r="Z17" i="1" s="1"/>
  <c r="AA43" i="1"/>
  <c r="AE43" i="1"/>
  <c r="X13" i="1"/>
  <c r="AB13" i="1"/>
  <c r="Y30" i="1"/>
  <c r="Y33" i="1" s="1"/>
  <c r="Y39" i="1" s="1"/>
  <c r="AE27" i="1"/>
  <c r="AE28" i="1" s="1"/>
  <c r="AN12" i="1"/>
  <c r="AP12" i="1"/>
  <c r="AD44" i="1"/>
  <c r="AC30" i="1"/>
  <c r="AC33" i="1" s="1"/>
  <c r="AC39" i="1" s="1"/>
  <c r="Z30" i="1"/>
  <c r="Z33" i="1" s="1"/>
  <c r="Z39" i="1" s="1"/>
  <c r="AA28" i="1"/>
  <c r="AA37" i="1"/>
  <c r="AB30" i="1"/>
  <c r="AD30" i="1"/>
  <c r="AD38" i="1"/>
  <c r="X30" i="1"/>
  <c r="Z12" i="1"/>
  <c r="Z44" i="1"/>
  <c r="AA12" i="1"/>
  <c r="AO12" i="1" l="1"/>
  <c r="AO13" i="1"/>
  <c r="AO45" i="1" s="1"/>
  <c r="X17" i="1"/>
  <c r="AE38" i="1"/>
  <c r="AE30" i="1"/>
  <c r="AE33" i="1" s="1"/>
  <c r="AO30" i="1"/>
  <c r="AO33" i="1" s="1"/>
  <c r="AN30" i="1"/>
  <c r="AN33" i="1" s="1"/>
  <c r="AP30" i="1"/>
  <c r="AP33" i="1" s="1"/>
  <c r="AB17" i="1"/>
  <c r="AP13" i="1"/>
  <c r="AP45" i="1" s="1"/>
  <c r="AD33" i="1"/>
  <c r="AD39" i="1" s="1"/>
  <c r="X33" i="1"/>
  <c r="X39" i="1" s="1"/>
  <c r="AC35" i="1"/>
  <c r="Y35" i="1"/>
  <c r="AB33" i="1"/>
  <c r="AB39" i="1" s="1"/>
  <c r="AA38" i="1"/>
  <c r="AA30" i="1"/>
  <c r="Z35" i="1"/>
  <c r="AP35" i="1" l="1"/>
  <c r="AP39" i="1"/>
  <c r="AO35" i="1"/>
  <c r="AO39" i="1"/>
  <c r="AN35" i="1"/>
  <c r="AN39" i="1"/>
  <c r="AE39" i="1"/>
  <c r="AE35" i="1"/>
  <c r="AA33" i="1"/>
  <c r="AA39" i="1" s="1"/>
  <c r="X35" i="1"/>
  <c r="AB35" i="1"/>
  <c r="AD35" i="1"/>
  <c r="AA35" i="1" l="1"/>
</calcChain>
</file>

<file path=xl/sharedStrings.xml><?xml version="1.0" encoding="utf-8"?>
<sst xmlns="http://schemas.openxmlformats.org/spreadsheetml/2006/main" count="409" uniqueCount="372">
  <si>
    <t xml:space="preserve">Adaptive Biotechnologies </t>
  </si>
  <si>
    <t>Price</t>
  </si>
  <si>
    <t>S/O</t>
  </si>
  <si>
    <t>MC</t>
  </si>
  <si>
    <t>Cash</t>
  </si>
  <si>
    <t>Debt</t>
  </si>
  <si>
    <t>NC</t>
  </si>
  <si>
    <t>EV</t>
  </si>
  <si>
    <t>INCOME STATEMENTS</t>
  </si>
  <si>
    <t>COGS</t>
  </si>
  <si>
    <t>Gross Profit</t>
  </si>
  <si>
    <t>R&amp;D</t>
  </si>
  <si>
    <t>Operating Expenses</t>
  </si>
  <si>
    <t xml:space="preserve">Operating Profit </t>
  </si>
  <si>
    <t xml:space="preserve">Pretax Income </t>
  </si>
  <si>
    <t>Taxes</t>
  </si>
  <si>
    <t xml:space="preserve">Net Income </t>
  </si>
  <si>
    <t>Shares</t>
  </si>
  <si>
    <t>EPS</t>
  </si>
  <si>
    <t>Gross Margin</t>
  </si>
  <si>
    <t>Opeating Margin</t>
  </si>
  <si>
    <t>Net Margin</t>
  </si>
  <si>
    <t xml:space="preserve">Tax rate </t>
  </si>
  <si>
    <t>Revenue Y/Y</t>
  </si>
  <si>
    <t>Q120</t>
  </si>
  <si>
    <t>Q220</t>
  </si>
  <si>
    <t>Q320</t>
  </si>
  <si>
    <t>Q420</t>
  </si>
  <si>
    <t>Q121</t>
  </si>
  <si>
    <t>Q221</t>
  </si>
  <si>
    <t>Q321</t>
  </si>
  <si>
    <t>Q421</t>
  </si>
  <si>
    <t>Q122</t>
  </si>
  <si>
    <t>Q222</t>
  </si>
  <si>
    <t>Q322</t>
  </si>
  <si>
    <t>Q4422</t>
  </si>
  <si>
    <t>Q123</t>
  </si>
  <si>
    <t>Immune Revenue</t>
  </si>
  <si>
    <t>MRD Revenue</t>
  </si>
  <si>
    <t>Total Revenue</t>
  </si>
  <si>
    <t>REVENUES</t>
  </si>
  <si>
    <t>Vol cSEQ</t>
  </si>
  <si>
    <t>Revenue</t>
  </si>
  <si>
    <t>S&amp;M</t>
  </si>
  <si>
    <t>G&amp;A</t>
  </si>
  <si>
    <t>Q223</t>
  </si>
  <si>
    <t>Q323</t>
  </si>
  <si>
    <t xml:space="preserve">Interest </t>
  </si>
  <si>
    <t xml:space="preserve">Uses for MRD testing </t>
  </si>
  <si>
    <t>clonoSEQ</t>
  </si>
  <si>
    <t xml:space="preserve">FDA cleared </t>
  </si>
  <si>
    <t>MM, BM</t>
  </si>
  <si>
    <t>B-ALL, BM</t>
  </si>
  <si>
    <t>CLL, blood and BM</t>
  </si>
  <si>
    <t>LDT</t>
  </si>
  <si>
    <t>DLBCL</t>
  </si>
  <si>
    <t>MCL</t>
  </si>
  <si>
    <t>FL</t>
  </si>
  <si>
    <t>from peripheral blood shown off at ASH23</t>
  </si>
  <si>
    <t>ctDNA showed off at ASH23</t>
  </si>
  <si>
    <t>Vol Total</t>
  </si>
  <si>
    <t xml:space="preserve">Vol Total </t>
  </si>
  <si>
    <t>Q419</t>
  </si>
  <si>
    <t>Q319</t>
  </si>
  <si>
    <t>Q219</t>
  </si>
  <si>
    <t>Q119</t>
  </si>
  <si>
    <t>Q418</t>
  </si>
  <si>
    <t>Q318</t>
  </si>
  <si>
    <t>Q218</t>
  </si>
  <si>
    <t>Q118</t>
  </si>
  <si>
    <t>BALANCE SHEET</t>
  </si>
  <si>
    <t>A/R</t>
  </si>
  <si>
    <t>Inventories</t>
  </si>
  <si>
    <t>Vendor NTR</t>
  </si>
  <si>
    <t>OCA</t>
  </si>
  <si>
    <t>PP&amp;E</t>
  </si>
  <si>
    <t xml:space="preserve">Goodwill+Intangibles </t>
  </si>
  <si>
    <t>ONCA</t>
  </si>
  <si>
    <t>Assets</t>
  </si>
  <si>
    <t>A/P</t>
  </si>
  <si>
    <t>A/E</t>
  </si>
  <si>
    <t>D/R</t>
  </si>
  <si>
    <t>ONCL</t>
  </si>
  <si>
    <t>Liabilities</t>
  </si>
  <si>
    <t>S/E</t>
  </si>
  <si>
    <t>L+S/E</t>
  </si>
  <si>
    <t>P</t>
  </si>
  <si>
    <t xml:space="preserve">Debt </t>
  </si>
  <si>
    <t xml:space="preserve">Amoritization </t>
  </si>
  <si>
    <t>Test Vol Y/Y</t>
  </si>
  <si>
    <t>rev/test</t>
  </si>
  <si>
    <t>Impairment of right-of-use and related long-lived assets</t>
  </si>
  <si>
    <t>Q423</t>
  </si>
  <si>
    <t xml:space="preserve">y/y MRD vol </t>
  </si>
  <si>
    <t>COGS/REV %</t>
  </si>
  <si>
    <t>Q124</t>
  </si>
  <si>
    <t>Q224</t>
  </si>
  <si>
    <t>Q324</t>
  </si>
  <si>
    <t>Q424</t>
  </si>
  <si>
    <t xml:space="preserve">Sequencing Revenue/ Service Revenue </t>
  </si>
  <si>
    <t xml:space="preserve">Development Revenue/ Collaboration Revenue </t>
  </si>
  <si>
    <t xml:space="preserve">Development Revenue/ Regulatory Milestone revenue </t>
  </si>
  <si>
    <t>got IVDR designation 08/29/2024</t>
  </si>
  <si>
    <t xml:space="preserve">Timeline </t>
  </si>
  <si>
    <t>Leukemia (2016) 30, 929–936; doi:10.1038/leu.2015.313</t>
  </si>
  <si>
    <t xml:space="preserve">comparison btwn MFC and clonoseq on CLL pts </t>
  </si>
  <si>
    <t xml:space="preserve">compared at 10-4, but discuss 10-6 linearity/ potential </t>
  </si>
  <si>
    <t>i) N=13 peripheral blood</t>
  </si>
  <si>
    <t>ii) n=18, dilution samples from 3 CLL cases</t>
  </si>
  <si>
    <t>iii) N=51, peripheral blood CLL pts, had done Sanger seq</t>
  </si>
  <si>
    <t xml:space="preserve">more of an academic study </t>
  </si>
  <si>
    <t>Ibrutinib efficacy and tolerability in patients with relapsed chronic lymphocytic leukemia following allogeneic HCT</t>
  </si>
  <si>
    <t>4/11 pts evaluated w clonoseq, achieved MRD-ive 10-4</t>
  </si>
  <si>
    <t>Acalabrutinib in relapsed or refractory mantle cell lymphoma (ACE-LY-004): a single-arm, multicentre, phase 2 trial</t>
  </si>
  <si>
    <t>https://doi.org/10.1016/S0140-6736(17)33108-2</t>
  </si>
  <si>
    <t>need to get paper</t>
  </si>
  <si>
    <t>Five-year follow-up of lenalidomide plus rituximab as initial treatment of mantle cell lymphoma</t>
  </si>
  <si>
    <r>
      <t>Blood</t>
    </r>
    <r>
      <rPr>
        <sz val="6"/>
        <color rgb="FF1A1A1A"/>
        <rFont val="Arial"/>
        <family val="2"/>
      </rPr>
      <t> (2018) 132 (19): 2016–2025.</t>
    </r>
  </si>
  <si>
    <t>https://doi.org/10.1182/blood-2018-07-859769</t>
  </si>
  <si>
    <t>clonoseq accepted as exploratory endpt</t>
  </si>
  <si>
    <t>peripheral blood testing, 8/10 pts MRD-ive who had 3+yrs of tx w samples for analysis</t>
  </si>
  <si>
    <t>tumor clonotypes defined as reads &gt;5% freq</t>
  </si>
  <si>
    <t>they were added into this study. It was not designed prospectively to include MRD</t>
  </si>
  <si>
    <t>The kinetics of achieving MRD negativity with LR induction, the predictive value of MRD status on response duration, and the outcome both on and off LR maintenance therapy, as well as the molecular remission rate of LR relative to other lenalidomide-based novel regimens,34-36  remain to be determined in future studies.</t>
  </si>
  <si>
    <t>A number of ongoing frontline MCL studies with prospective and serial monitoring of MRD may provide clues to some of the questions, including the phase 2 randomized United States intergroup E1411 with induction of bendamustine and rituximab (BR), with or without bortezomib, followed by maintenance with LR vs R alone (NCT01415752) and the phase 3 randomized European MCL Network LR Elderly study evaluating induction with R-CHOP + R-HAD (rituximab, high dose cytarabine, and dexamethasone) vs R-CHOP alone, followed by maintenance with LR vs R alone.</t>
  </si>
  <si>
    <t>Pubmed search</t>
  </si>
  <si>
    <t xml:space="preserve">Official timeline </t>
  </si>
  <si>
    <t xml:space="preserve">first academic paper abt rep seq </t>
  </si>
  <si>
    <t>founded ADPT</t>
  </si>
  <si>
    <t>immunoseq launch</t>
  </si>
  <si>
    <t xml:space="preserve">new HQ in seattle </t>
  </si>
  <si>
    <t xml:space="preserve">50 publications </t>
  </si>
  <si>
    <t xml:space="preserve">t-cell seq, antigen mapping, chain pairing </t>
  </si>
  <si>
    <t xml:space="preserve">100 publications </t>
  </si>
  <si>
    <t xml:space="preserve">200 publications </t>
  </si>
  <si>
    <t>microsoft partnership, TCR seq, MRD</t>
  </si>
  <si>
    <t>FDA approval for clonoseq</t>
  </si>
  <si>
    <t>ADPT + Genentech partnership</t>
  </si>
  <si>
    <t xml:space="preserve">medicare coverage </t>
  </si>
  <si>
    <t>goes public</t>
  </si>
  <si>
    <t xml:space="preserve">500 publications </t>
  </si>
  <si>
    <t xml:space="preserve">immunoseq t-map covid launch </t>
  </si>
  <si>
    <t>3rd indication for clonoseq, CLL approval, blood based test</t>
  </si>
  <si>
    <t>covid test launch, and immuneCODE</t>
  </si>
  <si>
    <t xml:space="preserve">setting the stage for "hard cases", setting thresholds </t>
  </si>
  <si>
    <t>A complementary role of multiparameter flow cytometry and high-throughput sequencing for minimal residual disease detection in chronic lymphocytic leukemia: an European Research Initiative on CLL study</t>
  </si>
  <si>
    <t>IgH-V(D)J NGS-MRD measurement pre- and early post-allotransplant defines very low- and very high-risk ALL patients</t>
  </si>
  <si>
    <t>Detection of minimal residual disease in B lymphoblastic leukemia by high-throughput sequencing of IGH</t>
  </si>
  <si>
    <t>doi: 10.1158/1078-0432.CCR-13-3231</t>
  </si>
  <si>
    <t>doi: 10.1182/blood-2014-12-615757</t>
  </si>
  <si>
    <t xml:space="preserve">High-Throughput Sequencing Detects Minimal Residual Disease in Acute T Lymphoblastic Leukemia </t>
  </si>
  <si>
    <t>DOI:10.1126/scitranslmed.3003656</t>
  </si>
  <si>
    <t>N=43, assessed MRD at d29 post tx</t>
  </si>
  <si>
    <t>clonoseq</t>
  </si>
  <si>
    <t>MFC</t>
  </si>
  <si>
    <t>MRD not detected</t>
  </si>
  <si>
    <t>aplying HTS to T-ALL pts</t>
  </si>
  <si>
    <t>Detection of minimal residual disease identifies differences in treatment response between T-ALL and precursor B-ALL</t>
  </si>
  <si>
    <t>https://doi.org/10.1182/blood.V99.12.4386</t>
  </si>
  <si>
    <t>the euro/ dutch consortium</t>
  </si>
  <si>
    <t>MRD at TP1 5wks (end of induction), TP2 3mths (before consolidation)</t>
  </si>
  <si>
    <t xml:space="preserve">high risk MRD was 10-3 or higher </t>
  </si>
  <si>
    <t>T-ALL</t>
  </si>
  <si>
    <t>B-ALL</t>
  </si>
  <si>
    <t>n=</t>
  </si>
  <si>
    <t>5yr RFS</t>
  </si>
  <si>
    <t>high risk</t>
  </si>
  <si>
    <t>low risk p=0.01</t>
  </si>
  <si>
    <t>98%+</t>
  </si>
  <si>
    <t>TBS</t>
  </si>
  <si>
    <t xml:space="preserve">Exent </t>
  </si>
  <si>
    <t>Adaptive Biotech</t>
  </si>
  <si>
    <t xml:space="preserve">Sebia </t>
  </si>
  <si>
    <t>SR</t>
  </si>
  <si>
    <t>IR</t>
  </si>
  <si>
    <t>HR</t>
  </si>
  <si>
    <t xml:space="preserve">negative TP1 OR TP2, and &lt;10-3 d78 </t>
  </si>
  <si>
    <t>negative TP1+TP2</t>
  </si>
  <si>
    <t>pos (&gt;10-3) d78</t>
  </si>
  <si>
    <t>n=464, T-ALL</t>
  </si>
  <si>
    <t>MRD</t>
  </si>
  <si>
    <t>7yr even free survival p&lt;0.001</t>
  </si>
  <si>
    <t>Late MRD response determines relapse risk overall and in subsets of childhood T-cell ALL: results of the AIEOP-BFM-ALL 2000 study</t>
  </si>
  <si>
    <t>https://doi.org/10.1182/blood-2011-03-338707</t>
  </si>
  <si>
    <t>Prognostic value of minimal residual disease in acute lymphoblastic leukaemia in childhood</t>
  </si>
  <si>
    <t>say they have MRD 10-2 or more, 10-3, 10-4 or less</t>
  </si>
  <si>
    <t>doi:10.1016/S0140-6736(98)04058-6</t>
  </si>
  <si>
    <t>n=240, childhood ALL, from n=625 march 1991 to may 1995 study</t>
  </si>
  <si>
    <t>looking at gene rearangements w PCR from BM samples</t>
  </si>
  <si>
    <t>1425 BM samples analyzed</t>
  </si>
  <si>
    <t>SRG, MRG, HRG</t>
  </si>
  <si>
    <t>Relapse rates at 3yrs</t>
  </si>
  <si>
    <t>neg</t>
  </si>
  <si>
    <t>pos</t>
  </si>
  <si>
    <t>low (&lt;10-4)</t>
  </si>
  <si>
    <t>int (10-3)</t>
  </si>
  <si>
    <t>high (&gt;10-2)</t>
  </si>
  <si>
    <t>Time points</t>
  </si>
  <si>
    <t>BM samples, 9time pts, 71 children, T-ALL (n=71), compared to precursor B-ALL(n=210)previous study</t>
  </si>
  <si>
    <t>LR</t>
  </si>
  <si>
    <t>TP1+TP2 MRD neg</t>
  </si>
  <si>
    <t>TP1+TP2 MRD pos</t>
  </si>
  <si>
    <t>the rest</t>
  </si>
  <si>
    <t>trying to set prognostic value for MRD in childhood T-ALL</t>
  </si>
  <si>
    <t>Trial AIEOP-BFM-ALL 2000</t>
  </si>
  <si>
    <t>needed at least 2 genetic markers for MRD</t>
  </si>
  <si>
    <t>EuroMRD used to set guidelines for FP/FN</t>
  </si>
  <si>
    <t>Minimal residual disease-directed risk stratification using real-time quantitative PCR analysis of immunoglobulin and T-cell receptor gene rearrangements in the international multicenter trial AIEOP-BFM ALL 2000 for childhood acute lymphoblastic leukemia</t>
  </si>
  <si>
    <t>https://doi.org/10.1038/leu.2008.5</t>
  </si>
  <si>
    <t>The 10-year update on the I-BFM-SG MRD study 91</t>
  </si>
  <si>
    <t>event free survival</t>
  </si>
  <si>
    <t>AIEOP-BFM ALL 2000, jul 2000 to oct 2004</t>
  </si>
  <si>
    <t xml:space="preserve">two or more sensitive targets </t>
  </si>
  <si>
    <t>3341 pts</t>
  </si>
  <si>
    <t>HTS of IGH genes in B-ALL samples for MRD</t>
  </si>
  <si>
    <t xml:space="preserve">pre and post d29 tx samples </t>
  </si>
  <si>
    <t>comparing HTS and MFC</t>
  </si>
  <si>
    <t>n=98, 92 have rearangements</t>
  </si>
  <si>
    <t>MRD found in all MFC pos cases by HTS, no false neg</t>
  </si>
  <si>
    <t>and some MFC neg were HTS pos</t>
  </si>
  <si>
    <t>bone marrow</t>
  </si>
  <si>
    <t>For this study, a very conservative definition of a neoplastic clone was chosen as representing a minimum of 10% of nucleated cells</t>
  </si>
  <si>
    <t>Quantifying the fraction of B cells in bone marrow or blood The ClonoSEQ™ assay amplifies and sequences rearranged IGH molecules.</t>
  </si>
  <si>
    <r>
      <t xml:space="preserve">We quantify the amount of DNA input into the assay and convert this to the equivalent total number of nucleated cells, assuming </t>
    </r>
    <r>
      <rPr>
        <sz val="11"/>
        <color rgb="FFFF0000"/>
        <rFont val="Calibri"/>
        <family val="2"/>
        <scheme val="minor"/>
      </rPr>
      <t>∼6.4 pg genomic DNA per diploid cell</t>
    </r>
  </si>
  <si>
    <t>MM, blood</t>
  </si>
  <si>
    <t>Pubmed Central Search</t>
  </si>
  <si>
    <t>2009-2016</t>
  </si>
  <si>
    <t xml:space="preserve">potential for technology to define lower detection thresholds for MRD that could affect tx decisions </t>
  </si>
  <si>
    <t>Randomized Trial of Lenalidomide, Bortezomib, Dexamethasone vs High-Dose Treatment With SCT in MM Patients up to Age 65 (DFCI 10-106)</t>
  </si>
  <si>
    <t>DOI: 10.1016/S0140-6736(19)32956-3</t>
  </si>
  <si>
    <t>Overall survival with daratumumab, bortezomib, melphalan, and prednisone in newly diagnosed multiple myeloma (ALCYONE): a randomised, open-label, phase 3 trial</t>
  </si>
  <si>
    <t xml:space="preserve">interim readout from 2014-Nov 2017 used to support application </t>
  </si>
  <si>
    <t xml:space="preserve">Used in the de novo app for ADPT </t>
  </si>
  <si>
    <t>De novo application to FDA</t>
  </si>
  <si>
    <t>indication: using PCR and NGS to quanitfy rearanged IgH(VDJ+DJ), IgK, IgL receptor gene seqs and translocated BCL1+2/ IgH (J) seqs in DNA from BM in ALL and MM pts</t>
  </si>
  <si>
    <t>single site, operating in line with guidelines established by docs</t>
  </si>
  <si>
    <t>Clinical Performance</t>
  </si>
  <si>
    <t>ALL:</t>
  </si>
  <si>
    <t>MM:</t>
  </si>
  <si>
    <t xml:space="preserve">AALL0232 and AALL0331 </t>
  </si>
  <si>
    <t>CLIA certified in 2012</t>
  </si>
  <si>
    <t>commercial launch 2013</t>
  </si>
  <si>
    <t>ADPT and Sequenta, ClonoSIGHT</t>
  </si>
  <si>
    <t>Minimal Residual Disease Detection By Next Generation Sequencing in Adult B-Cell Acute Lymphoblastic Leukemia (ALL) Patients Treated on SWOG Trial S0333</t>
  </si>
  <si>
    <t>sensitivity 10-6, if clone &gt;5% of total rep of IgG, it's leukemic</t>
  </si>
  <si>
    <t>ph2 study, n=153, B-ALL, multicenter "SWOG S0333", academic study, not drug co sponsored, at fred hutch</t>
  </si>
  <si>
    <t>N=32 ND B-ALL, analyzed popln</t>
  </si>
  <si>
    <t>https://doi.org/10.1182/blood.V124.21.2399.2399</t>
  </si>
  <si>
    <t>Comparison to MFC, n=66</t>
  </si>
  <si>
    <t>NGS-/MFC+</t>
  </si>
  <si>
    <t>NGS+/MFC-</t>
  </si>
  <si>
    <t>concordant</t>
  </si>
  <si>
    <t xml:space="preserve">looking at rearangements, no mention yet of translocations </t>
  </si>
  <si>
    <t xml:space="preserve">54 paired BM and PB samples </t>
  </si>
  <si>
    <t>median values of leukemia 6fold higher in BM than PB</t>
  </si>
  <si>
    <t>25 pairs show no detectable MRD</t>
  </si>
  <si>
    <t xml:space="preserve">MRD+ in 20/29 PB remaining cases </t>
  </si>
  <si>
    <t>1 was MRD neg w BM</t>
  </si>
  <si>
    <t>in 6/9 pairs disease detected in BM but not PB by NGS, but 0/9 were MRD + by MFC</t>
  </si>
  <si>
    <t>NGS MRD -ive pts had 5yr relapse free survival of 80%</t>
  </si>
  <si>
    <t>MRD +ive w MFC+NGS, all dead by mth 22</t>
  </si>
  <si>
    <t>NGS+ only</t>
  </si>
  <si>
    <t>p</t>
  </si>
  <si>
    <t>intermediate RFS</t>
  </si>
  <si>
    <t>MRD -ive by both</t>
  </si>
  <si>
    <t>A Complementary Role of High Throughput Sequencing and Multiparameter Cytometry for Minimal Residual Disease (MRD) Detection in Chronic Lymphocytic Leukemia (CLL):an European Research Initiative (ERIC) Study</t>
  </si>
  <si>
    <t>https://doi.org/10.1182/blood.V124.21.1976.1976</t>
  </si>
  <si>
    <t xml:space="preserve">comparison btwn MFC and clonoseq </t>
  </si>
  <si>
    <t>The feasibility of using MRD as a surrogate or intermediate endpoint for accelerated approval of new treatments is under review by regulatory agencies but further prospective validation is required. </t>
  </si>
  <si>
    <t>n=109 for comparison, 21 dilution study, 88 post-tx, complete data on 13/88</t>
  </si>
  <si>
    <t>94% concordance at 10-4, n=14</t>
  </si>
  <si>
    <t xml:space="preserve">they note more variability in quant but stronger LoD and linearity </t>
  </si>
  <si>
    <t>does not require viable cells</t>
  </si>
  <si>
    <t>Phase I/II Clinical Trial of CpG-Activated Whole Cell Vaccine in Mantle Cell Lymphoma (MCL): Results in Safety and Efficacy from Planned Interim Analysis</t>
  </si>
  <si>
    <t>ph1/2, n=59, transplant study, MCL, at Stanford, academic, OL</t>
  </si>
  <si>
    <t>primary endpt: MRD from ASCT using clonoseq, 10-4</t>
  </si>
  <si>
    <t>Molecular Remission One Year Following Reduced-Intensity Allogeneic Hematopoietic Cell Transplantation for Chronic Lymphocytic Leukemia Predicts Relapse-Free and Overall Survival: A Multi-Institutional Landmark Analysis</t>
  </si>
  <si>
    <t>https://doi.org/10.1182/blood.V126.23.4340.4340</t>
  </si>
  <si>
    <t>Blood</t>
  </si>
  <si>
    <t>https://doi.org/10.1182/blood.V126.23.1536.1536</t>
  </si>
  <si>
    <t>CLL, landmark analysis, assessing prognostic utility of mol MRD</t>
  </si>
  <si>
    <t>in 97pts IgH calibration rate was 90%</t>
  </si>
  <si>
    <t xml:space="preserve">5 archived samples didn't work </t>
  </si>
  <si>
    <t>pts alive and in remission at 1yr:</t>
  </si>
  <si>
    <t>MRD-ive 10-6</t>
  </si>
  <si>
    <t>MRD+ive 10-6</t>
  </si>
  <si>
    <t>relapse, p&lt;0.0001</t>
  </si>
  <si>
    <t>Hazard ratio, p=0.03</t>
  </si>
  <si>
    <t>ALL, MFC vs NGS, post-HCT eval</t>
  </si>
  <si>
    <t>n=56, B-ALL</t>
  </si>
  <si>
    <t>MRD-ive</t>
  </si>
  <si>
    <t>NGS-ive</t>
  </si>
  <si>
    <t>MFC -ive</t>
  </si>
  <si>
    <t>survival, p=0.003</t>
  </si>
  <si>
    <t>2yrs</t>
  </si>
  <si>
    <t>NGS+ive</t>
  </si>
  <si>
    <t>MFC+ive</t>
  </si>
  <si>
    <t>d30 relapse, p=0.004</t>
  </si>
  <si>
    <t>hazard ratio, p=0.05</t>
  </si>
  <si>
    <t>7.7 for either NGS or MFC+ive</t>
  </si>
  <si>
    <t>Prognostic Impact of Molecular Response Assessed By Next-Generation Sequencing in a Large Cohort of Multiple Myeloma Patients</t>
  </si>
  <si>
    <t>MRD in MM with clonoseq and in-house Spanish group</t>
  </si>
  <si>
    <t>in-house</t>
  </si>
  <si>
    <t>n</t>
  </si>
  <si>
    <t>MRD+ive</t>
  </si>
  <si>
    <t>mPFS,mths</t>
  </si>
  <si>
    <t>mOS, mths</t>
  </si>
  <si>
    <t>NR</t>
  </si>
  <si>
    <t>Comparison of MRD Detection By MFC, NGS and PET-CT in Patients at Different Treatment Stages for Multiple Myeloma</t>
  </si>
  <si>
    <t>The achievement of Minimal Residual Disease (MRD) negativity has become a new standard of care for patients with multiple myeloma (MM).</t>
  </si>
  <si>
    <t>https://doi.org/10.1182/blood.V128.22.377.377</t>
  </si>
  <si>
    <t>NDMM: n=53</t>
  </si>
  <si>
    <t>Remish: n=32</t>
  </si>
  <si>
    <t>post SCT</t>
  </si>
  <si>
    <t>RRMM: n=5</t>
  </si>
  <si>
    <t>n=100, at least VGPR, all got MFC (10-5), NGS (10-6) and PET-CT</t>
  </si>
  <si>
    <t xml:space="preserve">90pts had clonal rearangement </t>
  </si>
  <si>
    <t>Cohort 1:</t>
  </si>
  <si>
    <t>6 in induction, MRD +ive my NGS+MFC</t>
  </si>
  <si>
    <t>8 post SCT, 6 -ive MFV, 2 -ive NGS</t>
  </si>
  <si>
    <t>39 maintenance, 26 -iveMFC, 17-ive NGS</t>
  </si>
  <si>
    <t>Cohort 2:</t>
  </si>
  <si>
    <t>19 -ive MFC, 15 -ive NGS</t>
  </si>
  <si>
    <t>long remission group &gt;5yrs, off tx for 2yrs+, n=14</t>
  </si>
  <si>
    <t xml:space="preserve">14 MFC -ive, 11 NGS -ive </t>
  </si>
  <si>
    <t>Cohort 3:</t>
  </si>
  <si>
    <t>PET-CT sees new lesions in 4/5, MACROFOCAL disease</t>
  </si>
  <si>
    <r>
      <t>Functional imaging of Multiple Myeloma (MM) is redefining our knowledge of disease patterns. A pattern, termed macrofocal MM (macro MM), is defined by </t>
    </r>
    <r>
      <rPr>
        <sz val="10"/>
        <color rgb="FF040C28"/>
        <rFont val="Arial"/>
        <family val="2"/>
      </rPr>
      <t>the presence of focal lesions and the absence of significant intervening bone marrow (BM) infiltration</t>
    </r>
    <r>
      <rPr>
        <sz val="10"/>
        <color rgb="FF1F1F1F"/>
        <rFont val="Arial"/>
        <family val="2"/>
      </rPr>
      <t>.</t>
    </r>
  </si>
  <si>
    <t>Efficacy of Daratumumab, Bortezomib, and Dexamethasone Versus Bortezomib and Dexamethasone in Relapsed or Refractory Myeloma Based on Prior Lines of Therapy: Updated Analysis of Castor</t>
  </si>
  <si>
    <t>blood</t>
  </si>
  <si>
    <t>Evaluation of Minimal Residual Disease (MRD) in Relapsed/Refractory Multiple Myeloma (RRMM) Patients Treated with Daratumumab in Combination with Lenalidomide Plus Dexamethasone or Bortezomib Plus Dexamethasone</t>
  </si>
  <si>
    <t>https://doi.org/10.1182/blood.V128.22.246.246</t>
  </si>
  <si>
    <t>https://doi.org/10.1182/blood.V128.22.1150.1150</t>
  </si>
  <si>
    <t>Updated efficacy and safety data, including analyses of MRD status across different sensitivity thresholds (10-4, 10-5, and 10-6), will be presented at the meeting.</t>
  </si>
  <si>
    <t>MRD secondary endpt</t>
  </si>
  <si>
    <t>don’t disclose n for evaluated pts, only rates</t>
  </si>
  <si>
    <t>CASTOR study</t>
  </si>
  <si>
    <t> This is the first comprehensive and prospective study of MRD to date in randomized phase 3 clinical trials of RRMM patients and investigates the ability of DARA-containing regimens to drive deep responses in this challenging population.</t>
  </si>
  <si>
    <t>MRD at time of CR, 6m and 12m after first dose</t>
  </si>
  <si>
    <t>clonoseq study, 10-4 to 10-6</t>
  </si>
  <si>
    <t>4pts &lt;0.01% MRD by NGS and MFC (10-4)</t>
  </si>
  <si>
    <t>POLLUX study</t>
  </si>
  <si>
    <t>CASTOR</t>
  </si>
  <si>
    <t>DRd</t>
  </si>
  <si>
    <t>Rd</t>
  </si>
  <si>
    <t>DVd</t>
  </si>
  <si>
    <t>Vd</t>
  </si>
  <si>
    <t>no MRD tests</t>
  </si>
  <si>
    <r>
      <t>Blood</t>
    </r>
    <r>
      <rPr>
        <sz val="12"/>
        <color rgb="FF1A1A1A"/>
        <rFont val="Arial"/>
        <family val="2"/>
      </rPr>
      <t> (2016) 128 (25): 2899–2908.</t>
    </r>
  </si>
  <si>
    <t xml:space="preserve">DFCI Study 10-106, ALCYONE study </t>
  </si>
  <si>
    <t>objective was to show clonoseq predictive of PFS and DFS in MM</t>
  </si>
  <si>
    <t>n=720, 365 evaluated by clonoseq</t>
  </si>
  <si>
    <t>looked at and found no characteristics that skewed popln</t>
  </si>
  <si>
    <t>age, gender, ISS staging, cytogenetic status, PFS</t>
  </si>
  <si>
    <t>323 samples passed QC</t>
  </si>
  <si>
    <t>fail rate</t>
  </si>
  <si>
    <t>75 in CR</t>
  </si>
  <si>
    <t>aimed to show association btwn first measured MRD in CRpts and PFS in all evaluable pts</t>
  </si>
  <si>
    <t>continuous clonoSEQ MRD modestly associated with DFS in pts w CR p=0.064</t>
  </si>
  <si>
    <t>clonoseq -ive 10-5 predicts PFS p=0.027</t>
  </si>
  <si>
    <t>D-VMP</t>
  </si>
  <si>
    <t>n=706, NDMM, eligible for SCT</t>
  </si>
  <si>
    <t>result reported by Mateos 2018</t>
  </si>
  <si>
    <t>BM taken at time of confirmation of CR or sCR</t>
  </si>
  <si>
    <t>if not CR, considered MRD +ive</t>
  </si>
  <si>
    <t>MRD 10-5</t>
  </si>
  <si>
    <t xml:space="preserve">samples taken at 12m, 18m, 24m, 30m after first dose </t>
  </si>
  <si>
    <t>in all tx groups MRD-ive pts at &lt;10-5, longer PFS</t>
  </si>
  <si>
    <t xml:space="preserve">VMP </t>
  </si>
  <si>
    <t>MRD-ive &lt;12m</t>
  </si>
  <si>
    <t>MRD-ive 12m+</t>
  </si>
  <si>
    <t>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</si>
</sst>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0000"/>
    <numFmt numFmtId="171"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i/>
      <sz val="6"/>
      <color rgb="FF1A1A1A"/>
      <name val="Arial"/>
      <family val="2"/>
    </font>
    <font>
      <sz val="6"/>
      <color rgb="FF1A1A1A"/>
      <name val="Arial"/>
      <family val="2"/>
    </font>
    <font>
      <u/>
      <sz val="11"/>
      <color theme="10"/>
      <name val="Calibri"/>
      <family val="2"/>
      <scheme val="minor"/>
    </font>
    <font>
      <sz val="8"/>
      <color rgb="FF1A1A1A"/>
      <name val="Arial"/>
      <family val="2"/>
    </font>
    <font>
      <sz val="11"/>
      <color theme="9"/>
      <name val="Calibri"/>
      <family val="2"/>
      <scheme val="minor"/>
    </font>
    <font>
      <sz val="10"/>
      <name val="Calibri"/>
      <family val="2"/>
      <scheme val="minor"/>
    </font>
    <font>
      <sz val="8"/>
      <color rgb="FF222222"/>
      <name val="Segoe UI"/>
      <family val="2"/>
    </font>
    <font>
      <sz val="9"/>
      <color rgb="FF222222"/>
      <name val="Segoe UI"/>
      <family val="2"/>
    </font>
    <font>
      <sz val="11"/>
      <name val="Calibri"/>
      <family val="2"/>
      <scheme val="minor"/>
    </font>
    <font>
      <sz val="11"/>
      <color theme="7" tint="-0.249977111117893"/>
      <name val="Calibri"/>
      <family val="2"/>
      <scheme val="minor"/>
    </font>
    <font>
      <u/>
      <sz val="11"/>
      <color theme="1"/>
      <name val="Calibri"/>
      <family val="2"/>
      <scheme val="minor"/>
    </font>
    <font>
      <sz val="10"/>
      <color rgb="FF1F1F1F"/>
      <name val="Arial"/>
      <family val="2"/>
    </font>
    <font>
      <sz val="10"/>
      <color rgb="FF040C28"/>
      <name val="Arial"/>
      <family val="2"/>
    </font>
    <font>
      <i/>
      <sz val="12"/>
      <color rgb="FF1A1A1A"/>
      <name val="Arial"/>
      <family val="2"/>
    </font>
    <font>
      <sz val="12"/>
      <color rgb="FF1A1A1A"/>
      <name val="Arial"/>
      <family val="2"/>
    </font>
    <font>
      <sz val="1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83">
    <xf numFmtId="0" fontId="0" fillId="0" borderId="0" xfId="0"/>
    <xf numFmtId="44" fontId="0" fillId="0" borderId="0" xfId="1" applyFont="1"/>
    <xf numFmtId="0" fontId="2" fillId="0" borderId="0" xfId="0" applyFont="1"/>
    <xf numFmtId="3" fontId="0" fillId="0" borderId="0" xfId="0" applyNumberFormat="1"/>
    <xf numFmtId="3" fontId="2" fillId="0" borderId="0" xfId="0" applyNumberFormat="1" applyFont="1"/>
    <xf numFmtId="164" fontId="0" fillId="0" borderId="0" xfId="0" applyNumberFormat="1"/>
    <xf numFmtId="3" fontId="0" fillId="0" borderId="1" xfId="0" applyNumberFormat="1" applyBorder="1"/>
    <xf numFmtId="9" fontId="0" fillId="0" borderId="0" xfId="2" applyFont="1"/>
    <xf numFmtId="4" fontId="0" fillId="0" borderId="0" xfId="0" applyNumberFormat="1"/>
    <xf numFmtId="9" fontId="0" fillId="0" borderId="0" xfId="0" applyNumberFormat="1"/>
    <xf numFmtId="3" fontId="2" fillId="0" borderId="2" xfId="0" applyNumberFormat="1" applyFont="1" applyBorder="1"/>
    <xf numFmtId="0" fontId="0" fillId="0" borderId="4" xfId="0" applyBorder="1"/>
    <xf numFmtId="3" fontId="0" fillId="0" borderId="5" xfId="0" applyNumberFormat="1" applyBorder="1"/>
    <xf numFmtId="3" fontId="0" fillId="0" borderId="6" xfId="0" applyNumberFormat="1" applyBorder="1"/>
    <xf numFmtId="3" fontId="2" fillId="0" borderId="7" xfId="0" applyNumberFormat="1" applyFont="1" applyBorder="1"/>
    <xf numFmtId="3" fontId="2" fillId="0" borderId="8" xfId="0" applyNumberFormat="1" applyFont="1" applyBorder="1"/>
    <xf numFmtId="3" fontId="2" fillId="0" borderId="9" xfId="0" applyNumberFormat="1" applyFont="1" applyBorder="1"/>
    <xf numFmtId="3" fontId="0" fillId="0" borderId="3" xfId="0" applyNumberFormat="1" applyBorder="1"/>
    <xf numFmtId="0" fontId="4" fillId="0" borderId="0" xfId="0" applyFont="1"/>
    <xf numFmtId="0" fontId="6" fillId="0" borderId="0" xfId="3"/>
    <xf numFmtId="0" fontId="3" fillId="0" borderId="0" xfId="0" applyFont="1"/>
    <xf numFmtId="0" fontId="8" fillId="0" borderId="0" xfId="0" applyFont="1"/>
    <xf numFmtId="0" fontId="0" fillId="0" borderId="0" xfId="0" applyFont="1"/>
    <xf numFmtId="0" fontId="2" fillId="0" borderId="10" xfId="0" applyFont="1" applyBorder="1"/>
    <xf numFmtId="0" fontId="0" fillId="0" borderId="11" xfId="0" applyBorder="1"/>
    <xf numFmtId="0" fontId="0" fillId="0" borderId="12" xfId="0" applyBorder="1"/>
    <xf numFmtId="0" fontId="0" fillId="0" borderId="13" xfId="0" applyBorder="1"/>
    <xf numFmtId="9" fontId="0" fillId="0" borderId="14" xfId="2" applyFont="1" applyBorder="1"/>
    <xf numFmtId="9" fontId="0" fillId="0" borderId="15" xfId="2" applyFont="1" applyBorder="1"/>
    <xf numFmtId="9" fontId="0" fillId="0" borderId="5" xfId="0" applyNumberFormat="1" applyBorder="1"/>
    <xf numFmtId="9" fontId="0" fillId="0" borderId="6" xfId="0" applyNumberFormat="1" applyBorder="1"/>
    <xf numFmtId="0" fontId="0" fillId="0" borderId="16" xfId="0" applyBorder="1"/>
    <xf numFmtId="9" fontId="0" fillId="0" borderId="17" xfId="0" applyNumberFormat="1" applyBorder="1"/>
    <xf numFmtId="9" fontId="0" fillId="0" borderId="18" xfId="0" applyNumberFormat="1" applyBorder="1"/>
    <xf numFmtId="0" fontId="0" fillId="0" borderId="17" xfId="0" applyBorder="1"/>
    <xf numFmtId="0" fontId="0" fillId="0" borderId="18" xfId="0" applyBorder="1"/>
    <xf numFmtId="0" fontId="0" fillId="0" borderId="0" xfId="0" applyFill="1" applyBorder="1"/>
    <xf numFmtId="9" fontId="0" fillId="0" borderId="0" xfId="0" applyNumberFormat="1" applyFill="1" applyBorder="1"/>
    <xf numFmtId="1" fontId="0" fillId="0" borderId="0" xfId="0" applyNumberFormat="1" applyFill="1" applyBorder="1"/>
    <xf numFmtId="49" fontId="0" fillId="0" borderId="0" xfId="0" applyNumberFormat="1"/>
    <xf numFmtId="10" fontId="0" fillId="0" borderId="0" xfId="0" applyNumberFormat="1"/>
    <xf numFmtId="0" fontId="9" fillId="0" borderId="0" xfId="0" applyFont="1"/>
    <xf numFmtId="171" fontId="0" fillId="0" borderId="4" xfId="2" applyNumberFormat="1" applyFont="1" applyBorder="1"/>
    <xf numFmtId="171" fontId="0" fillId="0" borderId="5" xfId="0" applyNumberFormat="1" applyBorder="1"/>
    <xf numFmtId="171" fontId="0" fillId="0" borderId="6" xfId="0" applyNumberFormat="1" applyBorder="1"/>
    <xf numFmtId="171" fontId="0" fillId="0" borderId="19" xfId="0" applyNumberFormat="1" applyBorder="1"/>
    <xf numFmtId="171" fontId="0" fillId="0" borderId="0" xfId="0" applyNumberFormat="1" applyBorder="1"/>
    <xf numFmtId="171" fontId="0" fillId="0" borderId="20" xfId="0" applyNumberFormat="1" applyBorder="1"/>
    <xf numFmtId="171" fontId="0" fillId="0" borderId="16" xfId="0" applyNumberFormat="1" applyBorder="1"/>
    <xf numFmtId="171" fontId="0" fillId="0" borderId="17" xfId="0" applyNumberFormat="1" applyBorder="1"/>
    <xf numFmtId="171" fontId="0" fillId="0" borderId="18" xfId="0" applyNumberFormat="1" applyBorder="1"/>
    <xf numFmtId="171" fontId="0" fillId="0" borderId="4" xfId="0" applyNumberFormat="1" applyBorder="1"/>
    <xf numFmtId="0" fontId="7" fillId="0" borderId="0" xfId="0" applyFont="1"/>
    <xf numFmtId="0" fontId="10" fillId="0" borderId="0" xfId="0" applyFont="1"/>
    <xf numFmtId="0" fontId="11" fillId="0" borderId="0" xfId="0" applyFont="1"/>
    <xf numFmtId="0" fontId="2" fillId="2" borderId="0" xfId="0" applyFont="1" applyFill="1"/>
    <xf numFmtId="0" fontId="2" fillId="0" borderId="0" xfId="0" applyFont="1" applyFill="1"/>
    <xf numFmtId="0" fontId="0" fillId="0" borderId="5" xfId="0" applyBorder="1"/>
    <xf numFmtId="0" fontId="0" fillId="0" borderId="6" xfId="0" applyBorder="1"/>
    <xf numFmtId="9" fontId="0" fillId="0" borderId="16" xfId="2" applyFont="1" applyBorder="1"/>
    <xf numFmtId="9" fontId="0" fillId="0" borderId="17" xfId="2" applyFont="1" applyBorder="1"/>
    <xf numFmtId="9" fontId="0" fillId="0" borderId="18" xfId="2" applyFont="1" applyBorder="1"/>
    <xf numFmtId="0" fontId="2" fillId="0" borderId="4" xfId="0" applyFont="1" applyBorder="1"/>
    <xf numFmtId="0" fontId="2" fillId="0" borderId="5" xfId="0" applyFont="1" applyBorder="1"/>
    <xf numFmtId="0" fontId="2" fillId="0" borderId="6" xfId="0" applyFont="1" applyBorder="1"/>
    <xf numFmtId="0" fontId="0" fillId="0" borderId="19" xfId="0" applyBorder="1"/>
    <xf numFmtId="0" fontId="0" fillId="0" borderId="0" xfId="0" applyBorder="1"/>
    <xf numFmtId="0" fontId="0" fillId="0" borderId="20" xfId="0" applyBorder="1"/>
    <xf numFmtId="0" fontId="12" fillId="0" borderId="0" xfId="0" applyFont="1"/>
    <xf numFmtId="0" fontId="12" fillId="0" borderId="0" xfId="3" applyFont="1"/>
    <xf numFmtId="0" fontId="13" fillId="0" borderId="0" xfId="3" applyFont="1"/>
    <xf numFmtId="0" fontId="13" fillId="0" borderId="0" xfId="0" applyFont="1"/>
    <xf numFmtId="0" fontId="0" fillId="0" borderId="4" xfId="0" applyFont="1" applyBorder="1"/>
    <xf numFmtId="10" fontId="0" fillId="0" borderId="19" xfId="0" applyNumberFormat="1" applyFont="1" applyBorder="1"/>
    <xf numFmtId="9" fontId="0" fillId="0" borderId="20" xfId="0" applyNumberFormat="1" applyBorder="1"/>
    <xf numFmtId="0" fontId="0" fillId="0" borderId="16" xfId="0" applyFont="1" applyBorder="1"/>
    <xf numFmtId="9" fontId="0" fillId="0" borderId="0" xfId="0" applyNumberFormat="1" applyFont="1"/>
    <xf numFmtId="0" fontId="14" fillId="0" borderId="0" xfId="0" applyFont="1"/>
    <xf numFmtId="0" fontId="15" fillId="0" borderId="0" xfId="0" applyFont="1"/>
    <xf numFmtId="0" fontId="2" fillId="3" borderId="0" xfId="0" applyFont="1" applyFill="1"/>
    <xf numFmtId="0" fontId="2" fillId="4" borderId="0" xfId="0" applyFont="1" applyFill="1"/>
    <xf numFmtId="0" fontId="17" fillId="0" borderId="0" xfId="0" applyFont="1"/>
    <xf numFmtId="0" fontId="19" fillId="0" borderId="0" xfId="0" applyFont="1"/>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13</xdr:col>
      <xdr:colOff>361134</xdr:colOff>
      <xdr:row>224</xdr:row>
      <xdr:rowOff>112059</xdr:rowOff>
    </xdr:from>
    <xdr:to>
      <xdr:col>16</xdr:col>
      <xdr:colOff>385920</xdr:colOff>
      <xdr:row>230</xdr:row>
      <xdr:rowOff>156658</xdr:rowOff>
    </xdr:to>
    <xdr:pic>
      <xdr:nvPicPr>
        <xdr:cNvPr id="2" name="Picture 1">
          <a:extLst>
            <a:ext uri="{FF2B5EF4-FFF2-40B4-BE49-F238E27FC236}">
              <a16:creationId xmlns:a16="http://schemas.microsoft.com/office/drawing/2014/main" id="{D330E1C7-CDCD-191D-AE99-F09D437601A9}"/>
            </a:ext>
          </a:extLst>
        </xdr:cNvPr>
        <xdr:cNvPicPr>
          <a:picLocks noChangeAspect="1"/>
        </xdr:cNvPicPr>
      </xdr:nvPicPr>
      <xdr:blipFill>
        <a:blip xmlns:r="http://schemas.openxmlformats.org/officeDocument/2006/relationships" r:embed="rId1"/>
        <a:stretch>
          <a:fillRect/>
        </a:stretch>
      </xdr:blipFill>
      <xdr:spPr>
        <a:xfrm>
          <a:off x="8324781" y="41977235"/>
          <a:ext cx="1862551" cy="1165188"/>
        </a:xfrm>
        <a:prstGeom prst="rect">
          <a:avLst/>
        </a:prstGeom>
      </xdr:spPr>
    </xdr:pic>
    <xdr:clientData/>
  </xdr:twoCellAnchor>
  <xdr:twoCellAnchor editAs="oneCell">
    <xdr:from>
      <xdr:col>11</xdr:col>
      <xdr:colOff>69851</xdr:colOff>
      <xdr:row>2</xdr:row>
      <xdr:rowOff>123928</xdr:rowOff>
    </xdr:from>
    <xdr:to>
      <xdr:col>16</xdr:col>
      <xdr:colOff>184151</xdr:colOff>
      <xdr:row>13</xdr:row>
      <xdr:rowOff>131853</xdr:rowOff>
    </xdr:to>
    <xdr:pic>
      <xdr:nvPicPr>
        <xdr:cNvPr id="3" name="Picture 2">
          <a:extLst>
            <a:ext uri="{FF2B5EF4-FFF2-40B4-BE49-F238E27FC236}">
              <a16:creationId xmlns:a16="http://schemas.microsoft.com/office/drawing/2014/main" id="{F4905E30-1CEE-1539-9137-F0D94FDFBA07}"/>
            </a:ext>
          </a:extLst>
        </xdr:cNvPr>
        <xdr:cNvPicPr>
          <a:picLocks noChangeAspect="1"/>
        </xdr:cNvPicPr>
      </xdr:nvPicPr>
      <xdr:blipFill>
        <a:blip xmlns:r="http://schemas.openxmlformats.org/officeDocument/2006/relationships" r:embed="rId2"/>
        <a:stretch>
          <a:fillRect/>
        </a:stretch>
      </xdr:blipFill>
      <xdr:spPr>
        <a:xfrm>
          <a:off x="6775451" y="492228"/>
          <a:ext cx="3162300" cy="2033575"/>
        </a:xfrm>
        <a:prstGeom prst="rect">
          <a:avLst/>
        </a:prstGeom>
      </xdr:spPr>
    </xdr:pic>
    <xdr:clientData/>
  </xdr:twoCellAnchor>
  <xdr:twoCellAnchor editAs="oneCell">
    <xdr:from>
      <xdr:col>16</xdr:col>
      <xdr:colOff>438264</xdr:colOff>
      <xdr:row>2</xdr:row>
      <xdr:rowOff>63502</xdr:rowOff>
    </xdr:from>
    <xdr:to>
      <xdr:col>21</xdr:col>
      <xdr:colOff>25400</xdr:colOff>
      <xdr:row>14</xdr:row>
      <xdr:rowOff>48350</xdr:rowOff>
    </xdr:to>
    <xdr:pic>
      <xdr:nvPicPr>
        <xdr:cNvPr id="4" name="Picture 3">
          <a:extLst>
            <a:ext uri="{FF2B5EF4-FFF2-40B4-BE49-F238E27FC236}">
              <a16:creationId xmlns:a16="http://schemas.microsoft.com/office/drawing/2014/main" id="{1ABBF840-FA0B-09C5-E13F-CC6D054ED226}"/>
            </a:ext>
          </a:extLst>
        </xdr:cNvPr>
        <xdr:cNvPicPr>
          <a:picLocks noChangeAspect="1"/>
        </xdr:cNvPicPr>
      </xdr:nvPicPr>
      <xdr:blipFill>
        <a:blip xmlns:r="http://schemas.openxmlformats.org/officeDocument/2006/relationships" r:embed="rId3"/>
        <a:stretch>
          <a:fillRect/>
        </a:stretch>
      </xdr:blipFill>
      <xdr:spPr>
        <a:xfrm>
          <a:off x="10191864" y="431802"/>
          <a:ext cx="2635136" cy="2194648"/>
        </a:xfrm>
        <a:prstGeom prst="rect">
          <a:avLst/>
        </a:prstGeom>
      </xdr:spPr>
    </xdr:pic>
    <xdr:clientData/>
  </xdr:twoCellAnchor>
  <xdr:twoCellAnchor editAs="oneCell">
    <xdr:from>
      <xdr:col>8</xdr:col>
      <xdr:colOff>197969</xdr:colOff>
      <xdr:row>141</xdr:row>
      <xdr:rowOff>97117</xdr:rowOff>
    </xdr:from>
    <xdr:to>
      <xdr:col>11</xdr:col>
      <xdr:colOff>364682</xdr:colOff>
      <xdr:row>148</xdr:row>
      <xdr:rowOff>89966</xdr:rowOff>
    </xdr:to>
    <xdr:pic>
      <xdr:nvPicPr>
        <xdr:cNvPr id="5" name="Picture 4">
          <a:extLst>
            <a:ext uri="{FF2B5EF4-FFF2-40B4-BE49-F238E27FC236}">
              <a16:creationId xmlns:a16="http://schemas.microsoft.com/office/drawing/2014/main" id="{A0702710-010A-92B2-1A60-2AB9EB94110E}"/>
            </a:ext>
          </a:extLst>
        </xdr:cNvPr>
        <xdr:cNvPicPr>
          <a:picLocks noChangeAspect="1"/>
        </xdr:cNvPicPr>
      </xdr:nvPicPr>
      <xdr:blipFill>
        <a:blip xmlns:r="http://schemas.openxmlformats.org/officeDocument/2006/relationships" r:embed="rId4"/>
        <a:stretch>
          <a:fillRect/>
        </a:stretch>
      </xdr:blipFill>
      <xdr:spPr>
        <a:xfrm>
          <a:off x="5098675" y="25145999"/>
          <a:ext cx="2004478" cy="1300202"/>
        </a:xfrm>
        <a:prstGeom prst="rect">
          <a:avLst/>
        </a:prstGeom>
      </xdr:spPr>
    </xdr:pic>
    <xdr:clientData/>
  </xdr:twoCellAnchor>
  <xdr:twoCellAnchor editAs="oneCell">
    <xdr:from>
      <xdr:col>7</xdr:col>
      <xdr:colOff>268940</xdr:colOff>
      <xdr:row>169</xdr:row>
      <xdr:rowOff>116302</xdr:rowOff>
    </xdr:from>
    <xdr:to>
      <xdr:col>12</xdr:col>
      <xdr:colOff>370789</xdr:colOff>
      <xdr:row>175</xdr:row>
      <xdr:rowOff>134896</xdr:rowOff>
    </xdr:to>
    <xdr:pic>
      <xdr:nvPicPr>
        <xdr:cNvPr id="6" name="Picture 5">
          <a:extLst>
            <a:ext uri="{FF2B5EF4-FFF2-40B4-BE49-F238E27FC236}">
              <a16:creationId xmlns:a16="http://schemas.microsoft.com/office/drawing/2014/main" id="{42FB79A2-8FAD-D4BC-BF24-E155EC601006}"/>
            </a:ext>
          </a:extLst>
        </xdr:cNvPr>
        <xdr:cNvPicPr>
          <a:picLocks noChangeAspect="1"/>
        </xdr:cNvPicPr>
      </xdr:nvPicPr>
      <xdr:blipFill>
        <a:blip xmlns:r="http://schemas.openxmlformats.org/officeDocument/2006/relationships" r:embed="rId5"/>
        <a:stretch>
          <a:fillRect/>
        </a:stretch>
      </xdr:blipFill>
      <xdr:spPr>
        <a:xfrm>
          <a:off x="4557058" y="31701949"/>
          <a:ext cx="3164790" cy="1139182"/>
        </a:xfrm>
        <a:prstGeom prst="rect">
          <a:avLst/>
        </a:prstGeom>
      </xdr:spPr>
    </xdr:pic>
    <xdr:clientData/>
  </xdr:twoCellAnchor>
  <xdr:twoCellAnchor editAs="oneCell">
    <xdr:from>
      <xdr:col>5</xdr:col>
      <xdr:colOff>484901</xdr:colOff>
      <xdr:row>198</xdr:row>
      <xdr:rowOff>179293</xdr:rowOff>
    </xdr:from>
    <xdr:to>
      <xdr:col>7</xdr:col>
      <xdr:colOff>397488</xdr:colOff>
      <xdr:row>203</xdr:row>
      <xdr:rowOff>93919</xdr:rowOff>
    </xdr:to>
    <xdr:pic>
      <xdr:nvPicPr>
        <xdr:cNvPr id="7" name="Picture 6">
          <a:extLst>
            <a:ext uri="{FF2B5EF4-FFF2-40B4-BE49-F238E27FC236}">
              <a16:creationId xmlns:a16="http://schemas.microsoft.com/office/drawing/2014/main" id="{499E89DD-4595-BD44-AB8F-D72BEA5FC264}"/>
            </a:ext>
          </a:extLst>
        </xdr:cNvPr>
        <xdr:cNvPicPr>
          <a:picLocks noChangeAspect="1"/>
        </xdr:cNvPicPr>
      </xdr:nvPicPr>
      <xdr:blipFill>
        <a:blip xmlns:r="http://schemas.openxmlformats.org/officeDocument/2006/relationships" r:embed="rId6"/>
        <a:stretch>
          <a:fillRect/>
        </a:stretch>
      </xdr:blipFill>
      <xdr:spPr>
        <a:xfrm>
          <a:off x="3547842" y="37181117"/>
          <a:ext cx="1137764" cy="848450"/>
        </a:xfrm>
        <a:prstGeom prst="rect">
          <a:avLst/>
        </a:prstGeom>
      </xdr:spPr>
    </xdr:pic>
    <xdr:clientData/>
  </xdr:twoCellAnchor>
  <xdr:twoCellAnchor editAs="oneCell">
    <xdr:from>
      <xdr:col>6</xdr:col>
      <xdr:colOff>164354</xdr:colOff>
      <xdr:row>208</xdr:row>
      <xdr:rowOff>77966</xdr:rowOff>
    </xdr:from>
    <xdr:to>
      <xdr:col>10</xdr:col>
      <xdr:colOff>368438</xdr:colOff>
      <xdr:row>213</xdr:row>
      <xdr:rowOff>112058</xdr:rowOff>
    </xdr:to>
    <xdr:pic>
      <xdr:nvPicPr>
        <xdr:cNvPr id="8" name="Picture 7">
          <a:extLst>
            <a:ext uri="{FF2B5EF4-FFF2-40B4-BE49-F238E27FC236}">
              <a16:creationId xmlns:a16="http://schemas.microsoft.com/office/drawing/2014/main" id="{18430F41-5397-8DB0-182C-E854FCBEE1AD}"/>
            </a:ext>
          </a:extLst>
        </xdr:cNvPr>
        <xdr:cNvPicPr>
          <a:picLocks noChangeAspect="1"/>
        </xdr:cNvPicPr>
      </xdr:nvPicPr>
      <xdr:blipFill>
        <a:blip xmlns:r="http://schemas.openxmlformats.org/officeDocument/2006/relationships" r:embed="rId7"/>
        <a:stretch>
          <a:fillRect/>
        </a:stretch>
      </xdr:blipFill>
      <xdr:spPr>
        <a:xfrm>
          <a:off x="3839883" y="38947437"/>
          <a:ext cx="2654437" cy="967916"/>
        </a:xfrm>
        <a:prstGeom prst="rect">
          <a:avLst/>
        </a:prstGeom>
      </xdr:spPr>
    </xdr:pic>
    <xdr:clientData/>
  </xdr:twoCellAnchor>
  <xdr:twoCellAnchor editAs="oneCell">
    <xdr:from>
      <xdr:col>10</xdr:col>
      <xdr:colOff>22413</xdr:colOff>
      <xdr:row>247</xdr:row>
      <xdr:rowOff>47789</xdr:rowOff>
    </xdr:from>
    <xdr:to>
      <xdr:col>13</xdr:col>
      <xdr:colOff>420690</xdr:colOff>
      <xdr:row>256</xdr:row>
      <xdr:rowOff>7378</xdr:rowOff>
    </xdr:to>
    <xdr:pic>
      <xdr:nvPicPr>
        <xdr:cNvPr id="9" name="Picture 8">
          <a:extLst>
            <a:ext uri="{FF2B5EF4-FFF2-40B4-BE49-F238E27FC236}">
              <a16:creationId xmlns:a16="http://schemas.microsoft.com/office/drawing/2014/main" id="{EEB6BA75-6B4C-DA9B-9CAB-A40A517C7D3A}"/>
            </a:ext>
          </a:extLst>
        </xdr:cNvPr>
        <xdr:cNvPicPr>
          <a:picLocks noChangeAspect="1"/>
        </xdr:cNvPicPr>
      </xdr:nvPicPr>
      <xdr:blipFill>
        <a:blip xmlns:r="http://schemas.openxmlformats.org/officeDocument/2006/relationships" r:embed="rId8"/>
        <a:stretch>
          <a:fillRect/>
        </a:stretch>
      </xdr:blipFill>
      <xdr:spPr>
        <a:xfrm>
          <a:off x="6148295" y="46208554"/>
          <a:ext cx="2236042" cy="1640471"/>
        </a:xfrm>
        <a:prstGeom prst="rect">
          <a:avLst/>
        </a:prstGeom>
      </xdr:spPr>
    </xdr:pic>
    <xdr:clientData/>
  </xdr:twoCellAnchor>
  <xdr:twoCellAnchor editAs="oneCell">
    <xdr:from>
      <xdr:col>7</xdr:col>
      <xdr:colOff>231341</xdr:colOff>
      <xdr:row>265</xdr:row>
      <xdr:rowOff>186764</xdr:rowOff>
    </xdr:from>
    <xdr:to>
      <xdr:col>10</xdr:col>
      <xdr:colOff>345421</xdr:colOff>
      <xdr:row>275</xdr:row>
      <xdr:rowOff>70004</xdr:rowOff>
    </xdr:to>
    <xdr:pic>
      <xdr:nvPicPr>
        <xdr:cNvPr id="10" name="Picture 9">
          <a:extLst>
            <a:ext uri="{FF2B5EF4-FFF2-40B4-BE49-F238E27FC236}">
              <a16:creationId xmlns:a16="http://schemas.microsoft.com/office/drawing/2014/main" id="{B34B0C5A-E0B1-3C06-6F70-462CCDA81BF6}"/>
            </a:ext>
          </a:extLst>
        </xdr:cNvPr>
        <xdr:cNvPicPr>
          <a:picLocks noChangeAspect="1"/>
        </xdr:cNvPicPr>
      </xdr:nvPicPr>
      <xdr:blipFill>
        <a:blip xmlns:r="http://schemas.openxmlformats.org/officeDocument/2006/relationships" r:embed="rId9"/>
        <a:stretch>
          <a:fillRect/>
        </a:stretch>
      </xdr:blipFill>
      <xdr:spPr>
        <a:xfrm>
          <a:off x="4810812" y="49709293"/>
          <a:ext cx="1951844" cy="1750887"/>
        </a:xfrm>
        <a:prstGeom prst="rect">
          <a:avLst/>
        </a:prstGeom>
      </xdr:spPr>
    </xdr:pic>
    <xdr:clientData/>
  </xdr:twoCellAnchor>
  <xdr:twoCellAnchor editAs="oneCell">
    <xdr:from>
      <xdr:col>11</xdr:col>
      <xdr:colOff>25728</xdr:colOff>
      <xdr:row>266</xdr:row>
      <xdr:rowOff>67235</xdr:rowOff>
    </xdr:from>
    <xdr:to>
      <xdr:col>15</xdr:col>
      <xdr:colOff>180865</xdr:colOff>
      <xdr:row>284</xdr:row>
      <xdr:rowOff>177529</xdr:rowOff>
    </xdr:to>
    <xdr:pic>
      <xdr:nvPicPr>
        <xdr:cNvPr id="11" name="Picture 10">
          <a:extLst>
            <a:ext uri="{FF2B5EF4-FFF2-40B4-BE49-F238E27FC236}">
              <a16:creationId xmlns:a16="http://schemas.microsoft.com/office/drawing/2014/main" id="{7A774C9E-903F-1438-B7B4-0B552A65CDE5}"/>
            </a:ext>
          </a:extLst>
        </xdr:cNvPr>
        <xdr:cNvPicPr>
          <a:picLocks noChangeAspect="1"/>
        </xdr:cNvPicPr>
      </xdr:nvPicPr>
      <xdr:blipFill>
        <a:blip xmlns:r="http://schemas.openxmlformats.org/officeDocument/2006/relationships" r:embed="rId10"/>
        <a:stretch>
          <a:fillRect/>
        </a:stretch>
      </xdr:blipFill>
      <xdr:spPr>
        <a:xfrm>
          <a:off x="7055552" y="49776529"/>
          <a:ext cx="2605489" cy="347205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182/blood.V126.23.4340.4340" TargetMode="External"/><Relationship Id="rId3" Type="http://schemas.openxmlformats.org/officeDocument/2006/relationships/hyperlink" Target="https://doi.org/10.1182%2Fblood-2014-12-615757" TargetMode="External"/><Relationship Id="rId7" Type="http://schemas.openxmlformats.org/officeDocument/2006/relationships/hyperlink" Target="https://doi.org/10.1182/blood.V124.21.1976.1976" TargetMode="External"/><Relationship Id="rId12" Type="http://schemas.openxmlformats.org/officeDocument/2006/relationships/drawing" Target="../drawings/drawing1.xml"/><Relationship Id="rId2" Type="http://schemas.openxmlformats.org/officeDocument/2006/relationships/hyperlink" Target="https://doi.org/10.1158%2F1078-0432.CCR-13-3231" TargetMode="External"/><Relationship Id="rId1" Type="http://schemas.openxmlformats.org/officeDocument/2006/relationships/hyperlink" Target="https://doi.org/10.1182/blood-2018-07-859769" TargetMode="External"/><Relationship Id="rId6" Type="http://schemas.openxmlformats.org/officeDocument/2006/relationships/hyperlink" Target="https://doi.org/10.1182/blood-2011-03-338707" TargetMode="External"/><Relationship Id="rId11" Type="http://schemas.openxmlformats.org/officeDocument/2006/relationships/hyperlink" Target="https://doi.org/10.1182/blood.V128.22.1150.1150" TargetMode="External"/><Relationship Id="rId5" Type="http://schemas.openxmlformats.org/officeDocument/2006/relationships/hyperlink" Target="https://doi.org/10.1182/blood.V99.12.4386" TargetMode="External"/><Relationship Id="rId10" Type="http://schemas.openxmlformats.org/officeDocument/2006/relationships/hyperlink" Target="https://doi.org/10.1182/blood.V128.22.246.246" TargetMode="External"/><Relationship Id="rId4" Type="http://schemas.openxmlformats.org/officeDocument/2006/relationships/hyperlink" Target="http://dx.doi.org/10.1126/scitranslmed.3003656" TargetMode="External"/><Relationship Id="rId9" Type="http://schemas.openxmlformats.org/officeDocument/2006/relationships/hyperlink" Target="https://doi.org/10.1182/blood.V126.23.1536.15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947A-9904-455D-B97D-1092BFFCCE45}">
  <dimension ref="A1:BG68"/>
  <sheetViews>
    <sheetView topLeftCell="D7" zoomScale="85" zoomScaleNormal="85" workbookViewId="0">
      <pane xSplit="2" topLeftCell="Z1" activePane="topRight" state="frozen"/>
      <selection activeCell="D1" sqref="D1"/>
      <selection pane="topRight" activeCell="AI22" sqref="AI22"/>
    </sheetView>
  </sheetViews>
  <sheetFormatPr defaultRowHeight="14.5" x14ac:dyDescent="0.35"/>
  <cols>
    <col min="11" max="11" width="0.90625" customWidth="1"/>
    <col min="24" max="24" width="10.26953125" customWidth="1"/>
    <col min="28" max="28" width="8.81640625" customWidth="1"/>
  </cols>
  <sheetData>
    <row r="1" spans="1:59" x14ac:dyDescent="0.35">
      <c r="A1" t="s">
        <v>0</v>
      </c>
    </row>
    <row r="3" spans="1:59" x14ac:dyDescent="0.35">
      <c r="A3" t="s">
        <v>1</v>
      </c>
      <c r="B3" s="1">
        <v>6.99</v>
      </c>
      <c r="D3" t="s">
        <v>8</v>
      </c>
      <c r="S3">
        <v>32</v>
      </c>
      <c r="W3">
        <v>66</v>
      </c>
      <c r="AA3">
        <v>87</v>
      </c>
    </row>
    <row r="4" spans="1:59" x14ac:dyDescent="0.35">
      <c r="A4" t="s">
        <v>2</v>
      </c>
      <c r="G4" t="s">
        <v>69</v>
      </c>
      <c r="H4" t="s">
        <v>68</v>
      </c>
      <c r="I4" t="s">
        <v>67</v>
      </c>
      <c r="J4" t="s">
        <v>66</v>
      </c>
      <c r="L4" t="s">
        <v>65</v>
      </c>
      <c r="M4" t="s">
        <v>64</v>
      </c>
      <c r="N4" t="s">
        <v>63</v>
      </c>
      <c r="O4" t="s">
        <v>62</v>
      </c>
      <c r="P4" t="s">
        <v>24</v>
      </c>
      <c r="Q4" t="s">
        <v>25</v>
      </c>
      <c r="R4" t="s">
        <v>26</v>
      </c>
      <c r="S4" t="s">
        <v>27</v>
      </c>
      <c r="T4" t="s">
        <v>28</v>
      </c>
      <c r="U4" t="s">
        <v>29</v>
      </c>
      <c r="V4" t="s">
        <v>30</v>
      </c>
      <c r="W4" t="s">
        <v>31</v>
      </c>
      <c r="X4" t="s">
        <v>32</v>
      </c>
      <c r="Y4" t="s">
        <v>33</v>
      </c>
      <c r="Z4" t="s">
        <v>34</v>
      </c>
      <c r="AA4" t="s">
        <v>35</v>
      </c>
      <c r="AB4" t="s">
        <v>36</v>
      </c>
      <c r="AC4" t="s">
        <v>45</v>
      </c>
      <c r="AD4" t="s">
        <v>46</v>
      </c>
      <c r="AE4" t="s">
        <v>92</v>
      </c>
      <c r="AF4" t="s">
        <v>95</v>
      </c>
      <c r="AG4" t="s">
        <v>96</v>
      </c>
      <c r="AH4" t="s">
        <v>97</v>
      </c>
      <c r="AI4" t="s">
        <v>98</v>
      </c>
      <c r="AL4">
        <v>2019</v>
      </c>
      <c r="AM4">
        <v>2020</v>
      </c>
      <c r="AN4">
        <v>2021</v>
      </c>
      <c r="AO4">
        <v>2022</v>
      </c>
      <c r="AP4">
        <f>AO4+1</f>
        <v>2023</v>
      </c>
      <c r="AQ4">
        <f t="shared" ref="AQ4:BG4" si="0">AP4+1</f>
        <v>2024</v>
      </c>
      <c r="AR4">
        <f t="shared" si="0"/>
        <v>2025</v>
      </c>
      <c r="AS4">
        <f t="shared" si="0"/>
        <v>2026</v>
      </c>
      <c r="AT4">
        <f t="shared" si="0"/>
        <v>2027</v>
      </c>
      <c r="AU4">
        <f t="shared" si="0"/>
        <v>2028</v>
      </c>
      <c r="AV4">
        <f t="shared" si="0"/>
        <v>2029</v>
      </c>
      <c r="AW4">
        <f t="shared" si="0"/>
        <v>2030</v>
      </c>
      <c r="AX4">
        <f t="shared" si="0"/>
        <v>2031</v>
      </c>
      <c r="AY4">
        <f t="shared" si="0"/>
        <v>2032</v>
      </c>
      <c r="AZ4">
        <f t="shared" si="0"/>
        <v>2033</v>
      </c>
      <c r="BA4">
        <f t="shared" si="0"/>
        <v>2034</v>
      </c>
      <c r="BB4">
        <f t="shared" si="0"/>
        <v>2035</v>
      </c>
      <c r="BC4">
        <f t="shared" si="0"/>
        <v>2036</v>
      </c>
      <c r="BD4">
        <f t="shared" si="0"/>
        <v>2037</v>
      </c>
      <c r="BE4">
        <f t="shared" si="0"/>
        <v>2038</v>
      </c>
      <c r="BF4">
        <f t="shared" si="0"/>
        <v>2039</v>
      </c>
      <c r="BG4">
        <f t="shared" si="0"/>
        <v>2040</v>
      </c>
    </row>
    <row r="5" spans="1:59" x14ac:dyDescent="0.35">
      <c r="A5" t="s">
        <v>3</v>
      </c>
      <c r="B5">
        <v>1009</v>
      </c>
      <c r="D5" t="s">
        <v>40</v>
      </c>
    </row>
    <row r="6" spans="1:59" x14ac:dyDescent="0.35">
      <c r="A6" t="s">
        <v>4</v>
      </c>
      <c r="D6" t="s">
        <v>99</v>
      </c>
      <c r="H6">
        <v>8281</v>
      </c>
      <c r="I6">
        <v>8463</v>
      </c>
      <c r="J6">
        <v>32978</v>
      </c>
      <c r="L6">
        <v>9469</v>
      </c>
      <c r="M6">
        <v>11865</v>
      </c>
      <c r="N6">
        <v>11683</v>
      </c>
      <c r="O6">
        <f>43519-N6-M6-L6</f>
        <v>10502</v>
      </c>
      <c r="P6" s="3">
        <v>3170</v>
      </c>
      <c r="Q6" s="3">
        <v>2036</v>
      </c>
      <c r="R6" s="3">
        <v>3691</v>
      </c>
      <c r="S6" s="3">
        <v>3310</v>
      </c>
      <c r="T6" s="3">
        <v>4048</v>
      </c>
      <c r="U6" s="3">
        <v>5404</v>
      </c>
      <c r="V6" s="3">
        <v>8170</v>
      </c>
      <c r="W6" s="3">
        <v>6860</v>
      </c>
      <c r="X6" s="3">
        <v>7113</v>
      </c>
      <c r="Y6" s="3">
        <v>7296</v>
      </c>
      <c r="Z6" s="3">
        <v>6559</v>
      </c>
      <c r="AA6" s="3">
        <f>31777-Z6-Y6-X6</f>
        <v>10809</v>
      </c>
      <c r="AB6" s="3">
        <v>7102</v>
      </c>
      <c r="AC6" s="3">
        <v>5508</v>
      </c>
      <c r="AD6" s="3">
        <v>5238</v>
      </c>
      <c r="AE6" s="3">
        <f>24959-AD6-AC6-AB6</f>
        <v>7111</v>
      </c>
      <c r="AF6" s="3">
        <v>4559</v>
      </c>
      <c r="AG6" s="3">
        <v>6148</v>
      </c>
      <c r="AH6" s="3"/>
      <c r="AI6" s="3"/>
      <c r="AJ6" s="3"/>
      <c r="AK6" s="3"/>
      <c r="AL6" s="3">
        <f>SUM(L6:O6)</f>
        <v>43519</v>
      </c>
      <c r="AM6" s="3">
        <f>SUM(P6:S6)</f>
        <v>12207</v>
      </c>
      <c r="AN6" s="3">
        <f>SUM(T6:W6)</f>
        <v>24482</v>
      </c>
      <c r="AO6" s="3">
        <f>SUM(X6:AA6)</f>
        <v>31777</v>
      </c>
      <c r="AP6" s="3">
        <f>SUM(AB6:AE6)</f>
        <v>24959</v>
      </c>
    </row>
    <row r="7" spans="1:59" x14ac:dyDescent="0.35">
      <c r="A7" t="s">
        <v>5</v>
      </c>
      <c r="D7" t="s">
        <v>100</v>
      </c>
      <c r="H7">
        <v>3287</v>
      </c>
      <c r="I7">
        <v>8726</v>
      </c>
      <c r="J7">
        <v>22685</v>
      </c>
      <c r="L7">
        <v>11441</v>
      </c>
      <c r="M7">
        <v>10273</v>
      </c>
      <c r="N7">
        <v>14375</v>
      </c>
      <c r="O7">
        <f>41552-N7-M7-L7</f>
        <v>5463</v>
      </c>
      <c r="P7" s="3">
        <v>11077</v>
      </c>
      <c r="Q7" s="3">
        <v>12856</v>
      </c>
      <c r="R7" s="3">
        <v>12438</v>
      </c>
      <c r="S7" s="3">
        <v>17155</v>
      </c>
      <c r="T7" s="3">
        <v>16057</v>
      </c>
      <c r="U7" s="3">
        <v>17635</v>
      </c>
      <c r="V7" s="3">
        <v>15445</v>
      </c>
      <c r="W7" s="3">
        <v>14514</v>
      </c>
      <c r="X7" s="3">
        <v>13703</v>
      </c>
      <c r="Y7" s="3">
        <v>15082</v>
      </c>
      <c r="Z7" s="3">
        <v>21320</v>
      </c>
      <c r="AA7" s="3">
        <f>66387-Z7-Y7-X7</f>
        <v>16282</v>
      </c>
      <c r="AB7" s="3">
        <v>9118</v>
      </c>
      <c r="AC7" s="3">
        <v>17536</v>
      </c>
      <c r="AD7" s="3">
        <v>8013</v>
      </c>
      <c r="AE7" s="3">
        <f>42578-AD7-AC7-AB7</f>
        <v>7911</v>
      </c>
      <c r="AF7" s="3">
        <v>4688</v>
      </c>
      <c r="AG7" s="3">
        <v>1758</v>
      </c>
      <c r="AH7" s="3"/>
      <c r="AI7" s="3"/>
      <c r="AJ7" s="3"/>
      <c r="AK7" s="3"/>
      <c r="AL7" s="3">
        <f>SUM(L7:O7)</f>
        <v>41552</v>
      </c>
      <c r="AM7" s="3">
        <f>SUM(P7:S7)</f>
        <v>53526</v>
      </c>
      <c r="AN7" s="3">
        <f>SUM(T7:W7)</f>
        <v>63651</v>
      </c>
      <c r="AO7" s="3">
        <f>SUM(X7:AA7)</f>
        <v>66387</v>
      </c>
      <c r="AP7" s="3">
        <f>SUM(AB7:AE7)</f>
        <v>42578</v>
      </c>
    </row>
    <row r="8" spans="1:59" x14ac:dyDescent="0.35">
      <c r="A8" t="s">
        <v>6</v>
      </c>
      <c r="D8" t="s">
        <v>37</v>
      </c>
      <c r="P8" s="6">
        <f t="shared" ref="P8:W8" si="1">P7+P6</f>
        <v>14247</v>
      </c>
      <c r="Q8" s="6">
        <f t="shared" si="1"/>
        <v>14892</v>
      </c>
      <c r="R8" s="6">
        <f t="shared" si="1"/>
        <v>16129</v>
      </c>
      <c r="S8" s="6">
        <f t="shared" si="1"/>
        <v>20465</v>
      </c>
      <c r="T8" s="6">
        <f t="shared" si="1"/>
        <v>20105</v>
      </c>
      <c r="U8" s="6">
        <f t="shared" si="1"/>
        <v>23039</v>
      </c>
      <c r="V8" s="6">
        <f t="shared" si="1"/>
        <v>23615</v>
      </c>
      <c r="W8" s="6">
        <f t="shared" si="1"/>
        <v>21374</v>
      </c>
      <c r="X8" s="6">
        <f>X6+X7</f>
        <v>20816</v>
      </c>
      <c r="Y8" s="6">
        <f>Y6+Y7</f>
        <v>22378</v>
      </c>
      <c r="Z8" s="6">
        <f>Z6+Z7</f>
        <v>27879</v>
      </c>
      <c r="AA8" s="6">
        <f>AA7+AA6</f>
        <v>27091</v>
      </c>
      <c r="AB8" s="6">
        <f>AB6+AB7</f>
        <v>16220</v>
      </c>
      <c r="AC8" s="6">
        <f>AC6+AC7</f>
        <v>23044</v>
      </c>
      <c r="AD8" s="6">
        <f>AD7+AD6</f>
        <v>13251</v>
      </c>
      <c r="AE8" s="6">
        <f>AE7+AE6</f>
        <v>15022</v>
      </c>
      <c r="AF8" s="6">
        <f>AF7+AF6</f>
        <v>9247</v>
      </c>
      <c r="AG8" s="6">
        <f>AG7+AG6</f>
        <v>7906</v>
      </c>
      <c r="AH8" s="3"/>
      <c r="AI8" s="3"/>
      <c r="AJ8" s="3"/>
      <c r="AK8" s="3"/>
      <c r="AL8" s="17">
        <f>AL7+AL6</f>
        <v>85071</v>
      </c>
      <c r="AM8" s="17">
        <f t="shared" ref="AM8:AP8" si="2">AM7+AM6</f>
        <v>65733</v>
      </c>
      <c r="AN8" s="17">
        <f t="shared" si="2"/>
        <v>88133</v>
      </c>
      <c r="AO8" s="17">
        <f t="shared" si="2"/>
        <v>98164</v>
      </c>
      <c r="AP8" s="17">
        <f t="shared" si="2"/>
        <v>67537</v>
      </c>
    </row>
    <row r="9" spans="1:59" x14ac:dyDescent="0.35">
      <c r="A9" t="s">
        <v>7</v>
      </c>
      <c r="D9" t="s">
        <v>99</v>
      </c>
      <c r="P9" s="3">
        <v>6299</v>
      </c>
      <c r="Q9" s="3">
        <v>5949</v>
      </c>
      <c r="R9" s="3">
        <v>7585</v>
      </c>
      <c r="S9" s="3">
        <v>9399</v>
      </c>
      <c r="T9" s="3">
        <v>11126</v>
      </c>
      <c r="U9" s="3">
        <v>13151</v>
      </c>
      <c r="V9" s="3">
        <v>13936</v>
      </c>
      <c r="W9" s="3">
        <v>16201</v>
      </c>
      <c r="X9" s="3">
        <v>14804</v>
      </c>
      <c r="Y9" s="3">
        <v>20282</v>
      </c>
      <c r="Z9" s="3">
        <f>19951</f>
        <v>19951</v>
      </c>
      <c r="AA9" s="3">
        <f>81144-Z9-Y9-X9</f>
        <v>26107</v>
      </c>
      <c r="AB9" s="3">
        <v>21427</v>
      </c>
      <c r="AC9" s="3">
        <v>25882</v>
      </c>
      <c r="AD9" s="3">
        <v>24668</v>
      </c>
      <c r="AE9" s="3">
        <f>102739-AD9-AC9-AB9</f>
        <v>30762</v>
      </c>
      <c r="AF9" s="3">
        <v>28126</v>
      </c>
      <c r="AG9" s="3">
        <v>32284</v>
      </c>
      <c r="AH9" s="3"/>
      <c r="AI9" s="3"/>
      <c r="AJ9" s="3"/>
      <c r="AK9" s="3"/>
      <c r="AM9" s="3">
        <f>SUM(P9:S9)</f>
        <v>29232</v>
      </c>
      <c r="AN9" s="3">
        <f>SUM(T9:W9)</f>
        <v>54414</v>
      </c>
      <c r="AO9" s="3">
        <f>SUM(X9:AA9)</f>
        <v>81144</v>
      </c>
      <c r="AP9" s="3">
        <f>SUM(AB9:AE9)</f>
        <v>102739</v>
      </c>
    </row>
    <row r="10" spans="1:59" x14ac:dyDescent="0.35">
      <c r="D10" t="s">
        <v>101</v>
      </c>
      <c r="P10" s="3">
        <v>364</v>
      </c>
      <c r="Q10" s="3">
        <v>147</v>
      </c>
      <c r="R10" s="3">
        <v>2585</v>
      </c>
      <c r="S10" s="3">
        <v>321</v>
      </c>
      <c r="T10" s="3">
        <v>7211</v>
      </c>
      <c r="U10" s="3">
        <v>2315</v>
      </c>
      <c r="V10" s="3">
        <v>1916</v>
      </c>
      <c r="W10" s="3">
        <v>355</v>
      </c>
      <c r="X10" s="3">
        <v>3000</v>
      </c>
      <c r="Y10" s="3">
        <v>1000</v>
      </c>
      <c r="Z10" s="3">
        <v>0</v>
      </c>
      <c r="AA10" s="3">
        <f>6000-Z10-Y10-X10</f>
        <v>2000</v>
      </c>
      <c r="AB10" s="3">
        <v>0</v>
      </c>
      <c r="AC10" s="3">
        <v>0</v>
      </c>
      <c r="AD10" s="3">
        <v>0</v>
      </c>
      <c r="AE10" s="3">
        <v>0</v>
      </c>
      <c r="AF10" s="3">
        <v>4500</v>
      </c>
      <c r="AG10" s="3">
        <v>3000</v>
      </c>
      <c r="AH10" s="3"/>
      <c r="AI10" s="3"/>
      <c r="AJ10" s="3"/>
      <c r="AK10" s="3"/>
      <c r="AM10" s="3">
        <f>SUM(P10:S10)</f>
        <v>3417</v>
      </c>
      <c r="AN10" s="3">
        <f>SUM(T10:W10)</f>
        <v>11797</v>
      </c>
      <c r="AO10" s="3">
        <f>SUM(X10:AA10)</f>
        <v>6000</v>
      </c>
      <c r="AP10" s="3">
        <f>SUM(AB10:AE10)</f>
        <v>0</v>
      </c>
    </row>
    <row r="11" spans="1:59" ht="15" thickBot="1" x14ac:dyDescent="0.4">
      <c r="D11" t="s">
        <v>38</v>
      </c>
      <c r="P11" s="6">
        <f t="shared" ref="P11:W11" si="3">P10+P9</f>
        <v>6663</v>
      </c>
      <c r="Q11" s="6">
        <f t="shared" si="3"/>
        <v>6096</v>
      </c>
      <c r="R11" s="6">
        <f t="shared" si="3"/>
        <v>10170</v>
      </c>
      <c r="S11" s="6">
        <f t="shared" si="3"/>
        <v>9720</v>
      </c>
      <c r="T11" s="6">
        <f t="shared" si="3"/>
        <v>18337</v>
      </c>
      <c r="U11" s="6">
        <f t="shared" si="3"/>
        <v>15466</v>
      </c>
      <c r="V11" s="6">
        <f t="shared" si="3"/>
        <v>15852</v>
      </c>
      <c r="W11" s="6">
        <f t="shared" si="3"/>
        <v>16556</v>
      </c>
      <c r="X11" s="6">
        <f>X9+X10</f>
        <v>17804</v>
      </c>
      <c r="Y11" s="6">
        <f>Y10+Y9</f>
        <v>21282</v>
      </c>
      <c r="Z11" s="6">
        <f>Z9+Z10</f>
        <v>19951</v>
      </c>
      <c r="AA11" s="6">
        <f>AA10+AA9</f>
        <v>28107</v>
      </c>
      <c r="AB11" s="6">
        <f>AB9+AB10</f>
        <v>21427</v>
      </c>
      <c r="AC11" s="6">
        <f>AC10+AC9</f>
        <v>25882</v>
      </c>
      <c r="AD11" s="6">
        <f>AD9+AD10</f>
        <v>24668</v>
      </c>
      <c r="AE11" s="6">
        <f>AE9+AE10</f>
        <v>30762</v>
      </c>
      <c r="AF11" s="6">
        <f>AF9+AF10</f>
        <v>32626</v>
      </c>
      <c r="AG11" s="6">
        <f>AG9+AG10</f>
        <v>35284</v>
      </c>
      <c r="AH11" s="3"/>
      <c r="AI11" s="3"/>
      <c r="AJ11" s="3"/>
      <c r="AK11" s="3"/>
      <c r="AL11" s="11"/>
      <c r="AM11" s="12">
        <f>SUM(P11:S11)</f>
        <v>32649</v>
      </c>
      <c r="AN11" s="12">
        <f>SUM(T11:W11)</f>
        <v>66211</v>
      </c>
      <c r="AO11" s="12">
        <f>SUM(X11:AA11)</f>
        <v>87144</v>
      </c>
      <c r="AP11" s="13">
        <f>SUM(AB11:AE11)</f>
        <v>102739</v>
      </c>
    </row>
    <row r="12" spans="1:59" ht="15" thickBot="1" x14ac:dyDescent="0.4">
      <c r="D12" t="s">
        <v>39</v>
      </c>
      <c r="G12">
        <f>G6+G7</f>
        <v>0</v>
      </c>
      <c r="H12" s="2">
        <f>H6+H7</f>
        <v>11568</v>
      </c>
      <c r="I12" s="2">
        <f t="shared" ref="I12:O12" si="4">I6+I7</f>
        <v>17189</v>
      </c>
      <c r="J12" s="2">
        <f t="shared" si="4"/>
        <v>55663</v>
      </c>
      <c r="K12" s="2"/>
      <c r="L12" s="2">
        <f t="shared" si="4"/>
        <v>20910</v>
      </c>
      <c r="M12" s="2">
        <f t="shared" si="4"/>
        <v>22138</v>
      </c>
      <c r="N12" s="2">
        <f t="shared" si="4"/>
        <v>26058</v>
      </c>
      <c r="O12" s="2">
        <f t="shared" si="4"/>
        <v>15965</v>
      </c>
      <c r="P12" s="4">
        <f t="shared" ref="P12:W12" si="5">P11+P8</f>
        <v>20910</v>
      </c>
      <c r="Q12" s="4">
        <f t="shared" si="5"/>
        <v>20988</v>
      </c>
      <c r="R12" s="4">
        <f t="shared" si="5"/>
        <v>26299</v>
      </c>
      <c r="S12" s="4">
        <f t="shared" si="5"/>
        <v>30185</v>
      </c>
      <c r="T12" s="4">
        <f t="shared" si="5"/>
        <v>38442</v>
      </c>
      <c r="U12" s="4">
        <f t="shared" si="5"/>
        <v>38505</v>
      </c>
      <c r="V12" s="4">
        <f t="shared" si="5"/>
        <v>39467</v>
      </c>
      <c r="W12" s="4">
        <f t="shared" si="5"/>
        <v>37930</v>
      </c>
      <c r="X12" s="4">
        <f t="shared" ref="X12:AG12" si="6">X11+X8</f>
        <v>38620</v>
      </c>
      <c r="Y12" s="4">
        <f t="shared" si="6"/>
        <v>43660</v>
      </c>
      <c r="Z12" s="4">
        <f t="shared" si="6"/>
        <v>47830</v>
      </c>
      <c r="AA12" s="4">
        <f t="shared" si="6"/>
        <v>55198</v>
      </c>
      <c r="AB12" s="4">
        <f t="shared" si="6"/>
        <v>37647</v>
      </c>
      <c r="AC12" s="4">
        <f t="shared" si="6"/>
        <v>48926</v>
      </c>
      <c r="AD12" s="4">
        <f t="shared" si="6"/>
        <v>37919</v>
      </c>
      <c r="AE12" s="4">
        <f t="shared" si="6"/>
        <v>45784</v>
      </c>
      <c r="AF12" s="4">
        <f t="shared" si="6"/>
        <v>41873</v>
      </c>
      <c r="AG12" s="4">
        <f t="shared" si="6"/>
        <v>43190</v>
      </c>
      <c r="AH12" s="4"/>
      <c r="AI12" s="4"/>
      <c r="AJ12" s="4"/>
      <c r="AK12" s="4"/>
      <c r="AL12" s="14">
        <f>SUM(L12:O12)</f>
        <v>85071</v>
      </c>
      <c r="AM12" s="10">
        <f>SUM(P12:S12)</f>
        <v>98382</v>
      </c>
      <c r="AN12" s="15">
        <f>SUM(T12:W12)</f>
        <v>154344</v>
      </c>
      <c r="AO12" s="15">
        <f>SUM(X12:AA12)</f>
        <v>185308</v>
      </c>
      <c r="AP12" s="16">
        <f>SUM(AB12:AE12)</f>
        <v>170276</v>
      </c>
    </row>
    <row r="13" spans="1:59" x14ac:dyDescent="0.35">
      <c r="D13" t="s">
        <v>41</v>
      </c>
      <c r="P13" s="3">
        <v>3756</v>
      </c>
      <c r="Q13" s="3">
        <v>3446</v>
      </c>
      <c r="R13" s="3">
        <v>4398</v>
      </c>
      <c r="S13" s="3">
        <v>5213</v>
      </c>
      <c r="T13" s="3">
        <v>5300</v>
      </c>
      <c r="U13" s="3">
        <v>5897</v>
      </c>
      <c r="V13" s="3">
        <v>6341</v>
      </c>
      <c r="W13" s="3">
        <v>6850</v>
      </c>
      <c r="X13" s="3">
        <f>T15*AA14</f>
        <v>8012.8054781039855</v>
      </c>
      <c r="Y13" s="3">
        <f>U15*AA14</f>
        <v>8915.3799819583401</v>
      </c>
      <c r="Z13" s="3">
        <f>V15*AA14</f>
        <v>9586.6414220108254</v>
      </c>
      <c r="AA13" s="3">
        <f>W15*AA14</f>
        <v>10356.17311792685</v>
      </c>
      <c r="AB13" s="3">
        <f>AE14*T15</f>
        <v>12277.710349352141</v>
      </c>
      <c r="AC13">
        <f>AE14*U15</f>
        <v>13660.690175496145</v>
      </c>
      <c r="AD13">
        <f>AE14*V15</f>
        <v>14689.237985894702</v>
      </c>
      <c r="AE13">
        <f>AE14*W15</f>
        <v>15868.361489257011</v>
      </c>
      <c r="AM13" s="3">
        <f>SUM(P13:S13)</f>
        <v>16813</v>
      </c>
      <c r="AN13" s="3">
        <f>SUM(T13:W13)</f>
        <v>24388</v>
      </c>
      <c r="AO13" s="3">
        <f>SUM(X13:AA13)</f>
        <v>36871</v>
      </c>
      <c r="AP13" s="3">
        <f>SUM(AB13:AE13)</f>
        <v>56496</v>
      </c>
    </row>
    <row r="14" spans="1:59" x14ac:dyDescent="0.35">
      <c r="A14" t="s">
        <v>60</v>
      </c>
      <c r="D14" t="s">
        <v>61</v>
      </c>
      <c r="P14" s="3"/>
      <c r="Q14" s="3"/>
      <c r="R14" s="3"/>
      <c r="S14" s="3">
        <f>SUM(P13:S13)</f>
        <v>16813</v>
      </c>
      <c r="T14" s="3"/>
      <c r="U14" s="3"/>
      <c r="V14" s="3"/>
      <c r="W14" s="3">
        <f>W13+V13+U13+T13</f>
        <v>24388</v>
      </c>
      <c r="X14" s="3"/>
      <c r="Y14" s="3"/>
      <c r="Z14" s="3"/>
      <c r="AA14" s="3">
        <v>36871</v>
      </c>
      <c r="AB14" s="3"/>
      <c r="AE14">
        <v>56496</v>
      </c>
      <c r="AM14" s="3"/>
      <c r="AN14" s="3"/>
      <c r="AO14" s="3"/>
      <c r="AP14" s="3"/>
    </row>
    <row r="15" spans="1:59" x14ac:dyDescent="0.35">
      <c r="P15" s="3"/>
      <c r="Q15" s="3"/>
      <c r="R15" s="3"/>
      <c r="S15" s="3"/>
      <c r="T15" s="8">
        <f>T13/$W$14</f>
        <v>0.21731999343939642</v>
      </c>
      <c r="U15" s="8">
        <f>U13/$W$14</f>
        <v>0.24179924553058882</v>
      </c>
      <c r="V15" s="8">
        <f>V13/$W$14</f>
        <v>0.26000492045268164</v>
      </c>
      <c r="W15" s="8">
        <f>W13/$W$14</f>
        <v>0.28087584057733311</v>
      </c>
      <c r="X15" s="3"/>
      <c r="Y15" s="3"/>
      <c r="Z15" s="3"/>
      <c r="AA15" s="3"/>
      <c r="AB15" s="3"/>
    </row>
    <row r="16" spans="1:59" x14ac:dyDescent="0.35">
      <c r="D16" t="s">
        <v>93</v>
      </c>
      <c r="P16" s="3"/>
      <c r="Q16" s="3"/>
      <c r="R16" s="3"/>
      <c r="S16" s="3"/>
      <c r="T16" s="3"/>
      <c r="U16" s="3"/>
      <c r="V16" s="3"/>
      <c r="W16" s="7">
        <f>(W14/S14)-1</f>
        <v>0.45054422173318276</v>
      </c>
      <c r="X16" s="3"/>
      <c r="Y16" s="3"/>
      <c r="Z16" s="3"/>
      <c r="AA16" s="7">
        <f>(AA14/W14)-1</f>
        <v>0.51185009020829919</v>
      </c>
      <c r="AB16" s="3"/>
      <c r="AE16" s="9">
        <v>0.53</v>
      </c>
      <c r="AF16" s="9"/>
      <c r="AG16" s="9"/>
      <c r="AH16" s="9"/>
      <c r="AI16" s="9"/>
      <c r="AJ16" s="9"/>
      <c r="AK16" s="9"/>
    </row>
    <row r="17" spans="4:42" x14ac:dyDescent="0.35">
      <c r="D17" t="s">
        <v>90</v>
      </c>
      <c r="P17" s="8">
        <f>(P11/P13)*1000</f>
        <v>1773.961661341853</v>
      </c>
      <c r="Q17" s="8">
        <f t="shared" ref="Q17:Z17" si="7">(Q11/Q13)*1000</f>
        <v>1769.0075449796864</v>
      </c>
      <c r="R17" s="8">
        <f t="shared" si="7"/>
        <v>2312.4147339699866</v>
      </c>
      <c r="S17" s="8">
        <f t="shared" si="7"/>
        <v>1864.569345866104</v>
      </c>
      <c r="T17" s="8">
        <f t="shared" si="7"/>
        <v>3459.8113207547171</v>
      </c>
      <c r="U17" s="8">
        <f t="shared" si="7"/>
        <v>2622.6895031371882</v>
      </c>
      <c r="V17" s="8">
        <f t="shared" si="7"/>
        <v>2499.9211480838985</v>
      </c>
      <c r="W17" s="8">
        <f t="shared" si="7"/>
        <v>2416.9343065693433</v>
      </c>
      <c r="X17" s="8">
        <f t="shared" si="7"/>
        <v>2221.9433691048289</v>
      </c>
      <c r="Y17" s="8">
        <f t="shared" si="7"/>
        <v>2387.1108178302488</v>
      </c>
      <c r="Z17" s="8">
        <f t="shared" si="7"/>
        <v>2081.1250908157176</v>
      </c>
      <c r="AA17" s="8">
        <f>(AA11/AA13)*1000</f>
        <v>2714.03342527617</v>
      </c>
      <c r="AB17" s="8">
        <f>(AB11/AB13)*1000</f>
        <v>1745.1951048128972</v>
      </c>
      <c r="AC17" s="8">
        <f>(AC11/AC13)*1000</f>
        <v>1894.633409256717</v>
      </c>
      <c r="AD17" s="8">
        <f>(AD11/AD13)*1000</f>
        <v>1679.3246881619982</v>
      </c>
      <c r="AE17" s="8">
        <f>(AE11/AE13)*1000</f>
        <v>1938.5744407717259</v>
      </c>
      <c r="AF17" s="8"/>
      <c r="AG17" s="8"/>
      <c r="AH17" s="8"/>
      <c r="AI17" s="8"/>
      <c r="AJ17" s="8"/>
      <c r="AK17" s="8"/>
    </row>
    <row r="18" spans="4:42" x14ac:dyDescent="0.35">
      <c r="P18" s="3"/>
      <c r="Q18" s="3"/>
      <c r="R18" s="3"/>
      <c r="S18" s="3"/>
      <c r="AB18" s="3"/>
    </row>
    <row r="19" spans="4:42" x14ac:dyDescent="0.35">
      <c r="D19" t="s">
        <v>42</v>
      </c>
      <c r="H19">
        <v>11568</v>
      </c>
      <c r="I19">
        <v>17188</v>
      </c>
      <c r="L19">
        <v>12666</v>
      </c>
      <c r="M19">
        <v>22138</v>
      </c>
      <c r="N19">
        <v>26058</v>
      </c>
      <c r="O19">
        <v>15965</v>
      </c>
      <c r="P19" s="4">
        <v>20910</v>
      </c>
      <c r="Q19" s="4">
        <v>20988</v>
      </c>
      <c r="R19" s="4">
        <v>26299</v>
      </c>
      <c r="S19" s="4">
        <v>30185</v>
      </c>
      <c r="T19" s="4">
        <v>38442</v>
      </c>
      <c r="U19" s="4">
        <v>38505</v>
      </c>
      <c r="V19" s="4">
        <v>39467</v>
      </c>
      <c r="W19" s="4">
        <v>37930</v>
      </c>
      <c r="X19" s="4">
        <v>38620</v>
      </c>
      <c r="Y19" s="4">
        <v>43660</v>
      </c>
      <c r="Z19" s="4">
        <v>47830</v>
      </c>
      <c r="AA19" s="4">
        <f>185308-Z19-Y19-X19</f>
        <v>55198</v>
      </c>
      <c r="AB19" s="4">
        <v>37647</v>
      </c>
      <c r="AC19" s="4">
        <v>48926</v>
      </c>
      <c r="AD19" s="4">
        <v>37919</v>
      </c>
      <c r="AE19" s="4">
        <f>170276-AD19-AC19-AB19</f>
        <v>45784</v>
      </c>
      <c r="AF19" s="4">
        <v>41873</v>
      </c>
      <c r="AG19" s="4">
        <v>43190</v>
      </c>
      <c r="AH19" s="4"/>
      <c r="AJ19" s="4"/>
      <c r="AK19" s="4"/>
      <c r="AL19" s="4">
        <f>SUM(L19:O19)</f>
        <v>76827</v>
      </c>
      <c r="AM19" s="4">
        <f>SUM(P19:S19)</f>
        <v>98382</v>
      </c>
      <c r="AN19" s="4">
        <f>SUM(U19:X19)</f>
        <v>154522</v>
      </c>
      <c r="AO19" s="4">
        <f>SUM(X19:AA19)</f>
        <v>185308</v>
      </c>
      <c r="AP19" s="4">
        <f>SUM(AB19:AE19)</f>
        <v>170276</v>
      </c>
    </row>
    <row r="20" spans="4:42" x14ac:dyDescent="0.35">
      <c r="D20" t="s">
        <v>9</v>
      </c>
      <c r="H20">
        <v>5044</v>
      </c>
      <c r="I20">
        <v>5360</v>
      </c>
      <c r="L20">
        <v>4988</v>
      </c>
      <c r="M20">
        <v>5734</v>
      </c>
      <c r="N20">
        <v>5601</v>
      </c>
      <c r="O20">
        <f>22274-N20-M20-L20</f>
        <v>5951</v>
      </c>
      <c r="P20" s="3">
        <v>5343</v>
      </c>
      <c r="Q20" s="3">
        <v>4912</v>
      </c>
      <c r="R20" s="3">
        <v>6053</v>
      </c>
      <c r="S20" s="3">
        <f>22530-R20-Q20-P20</f>
        <v>6222</v>
      </c>
      <c r="T20" s="3">
        <v>9991</v>
      </c>
      <c r="U20" s="3">
        <v>10765</v>
      </c>
      <c r="V20" s="3">
        <v>14189</v>
      </c>
      <c r="W20" s="3">
        <f>49301-V20-U20-T20</f>
        <v>14356</v>
      </c>
      <c r="X20" s="3">
        <v>13192</v>
      </c>
      <c r="Y20" s="3">
        <v>13221</v>
      </c>
      <c r="Z20" s="3">
        <v>14907</v>
      </c>
      <c r="AA20" s="3">
        <f>57909-Z20-Y20-X20</f>
        <v>16589</v>
      </c>
      <c r="AB20" s="3">
        <v>18681</v>
      </c>
      <c r="AC20" s="3">
        <v>17910</v>
      </c>
      <c r="AD20" s="3">
        <v>19346</v>
      </c>
      <c r="AE20" s="3">
        <f>75553-AD20-AC20-AB20</f>
        <v>19616</v>
      </c>
      <c r="AF20" s="3">
        <v>18501</v>
      </c>
      <c r="AG20" s="3">
        <v>19317</v>
      </c>
      <c r="AH20" s="3"/>
      <c r="AI20" s="3"/>
      <c r="AJ20" s="3"/>
      <c r="AK20" s="3"/>
      <c r="AL20" s="3">
        <f>SUM(L20:O20)</f>
        <v>22274</v>
      </c>
      <c r="AM20" s="3">
        <f>SUM(P20:S20)</f>
        <v>22530</v>
      </c>
      <c r="AN20" s="3">
        <f>SUM(U20:X20)</f>
        <v>52502</v>
      </c>
      <c r="AO20" s="3">
        <f>SUM(X20:AA20)</f>
        <v>57909</v>
      </c>
      <c r="AP20" s="3">
        <f>SUM(AB20:AE20)</f>
        <v>75553</v>
      </c>
    </row>
    <row r="21" spans="4:42" x14ac:dyDescent="0.35">
      <c r="D21" t="s">
        <v>10</v>
      </c>
      <c r="G21" s="3">
        <f t="shared" ref="G21:W21" si="8">G19-G20</f>
        <v>0</v>
      </c>
      <c r="H21" s="3">
        <f t="shared" si="8"/>
        <v>6524</v>
      </c>
      <c r="I21" s="3">
        <f t="shared" si="8"/>
        <v>11828</v>
      </c>
      <c r="J21" s="3">
        <f t="shared" si="8"/>
        <v>0</v>
      </c>
      <c r="K21" s="3"/>
      <c r="L21" s="3">
        <f t="shared" si="8"/>
        <v>7678</v>
      </c>
      <c r="M21" s="3">
        <f t="shared" si="8"/>
        <v>16404</v>
      </c>
      <c r="N21" s="3">
        <f t="shared" si="8"/>
        <v>20457</v>
      </c>
      <c r="O21" s="3">
        <f t="shared" si="8"/>
        <v>10014</v>
      </c>
      <c r="P21" s="3">
        <f t="shared" si="8"/>
        <v>15567</v>
      </c>
      <c r="Q21" s="3">
        <f t="shared" si="8"/>
        <v>16076</v>
      </c>
      <c r="R21" s="3">
        <f t="shared" si="8"/>
        <v>20246</v>
      </c>
      <c r="S21" s="3">
        <f t="shared" si="8"/>
        <v>23963</v>
      </c>
      <c r="T21" s="3">
        <f t="shared" si="8"/>
        <v>28451</v>
      </c>
      <c r="U21" s="3">
        <f t="shared" si="8"/>
        <v>27740</v>
      </c>
      <c r="V21" s="3">
        <f t="shared" si="8"/>
        <v>25278</v>
      </c>
      <c r="W21" s="3">
        <f t="shared" si="8"/>
        <v>23574</v>
      </c>
      <c r="X21" s="3">
        <f t="shared" ref="X21:AG21" si="9">X19-X20</f>
        <v>25428</v>
      </c>
      <c r="Y21" s="3">
        <f t="shared" si="9"/>
        <v>30439</v>
      </c>
      <c r="Z21" s="3">
        <f t="shared" si="9"/>
        <v>32923</v>
      </c>
      <c r="AA21" s="3">
        <f t="shared" si="9"/>
        <v>38609</v>
      </c>
      <c r="AB21" s="3">
        <f t="shared" si="9"/>
        <v>18966</v>
      </c>
      <c r="AC21" s="3">
        <f t="shared" si="9"/>
        <v>31016</v>
      </c>
      <c r="AD21" s="3">
        <f t="shared" si="9"/>
        <v>18573</v>
      </c>
      <c r="AE21" s="3">
        <f t="shared" si="9"/>
        <v>26168</v>
      </c>
      <c r="AF21" s="3">
        <f t="shared" si="9"/>
        <v>23372</v>
      </c>
      <c r="AG21" s="3">
        <f t="shared" si="9"/>
        <v>23873</v>
      </c>
      <c r="AH21" s="3"/>
      <c r="AI21" s="3"/>
      <c r="AJ21" s="3"/>
      <c r="AK21" s="3"/>
      <c r="AL21" s="3">
        <f>AL19-AL20</f>
        <v>54553</v>
      </c>
      <c r="AM21" s="3">
        <f>AM19-AM20</f>
        <v>75852</v>
      </c>
      <c r="AN21" s="3">
        <f t="shared" ref="AN21:AP21" si="10">AN19-AN20</f>
        <v>102020</v>
      </c>
      <c r="AO21" s="3">
        <f t="shared" si="10"/>
        <v>127399</v>
      </c>
      <c r="AP21" s="3">
        <f t="shared" si="10"/>
        <v>94723</v>
      </c>
    </row>
    <row r="22" spans="4:42" x14ac:dyDescent="0.35">
      <c r="D22" t="s">
        <v>11</v>
      </c>
      <c r="H22">
        <v>9452</v>
      </c>
      <c r="I22">
        <v>9783</v>
      </c>
      <c r="L22">
        <v>12483</v>
      </c>
      <c r="M22">
        <v>16527</v>
      </c>
      <c r="N22">
        <v>20506</v>
      </c>
      <c r="O22">
        <f>70705-N22-M22-L22</f>
        <v>21189</v>
      </c>
      <c r="P22" s="3">
        <v>23935</v>
      </c>
      <c r="Q22" s="3">
        <v>25992</v>
      </c>
      <c r="R22" s="3">
        <v>30314</v>
      </c>
      <c r="S22" s="3">
        <f>116072-R22-Q22-P22</f>
        <v>35831</v>
      </c>
      <c r="T22" s="3">
        <v>33772</v>
      </c>
      <c r="U22" s="3">
        <v>37800</v>
      </c>
      <c r="V22" s="3">
        <v>36072</v>
      </c>
      <c r="W22" s="3">
        <f>142343-V22-U22-T22</f>
        <v>34699</v>
      </c>
      <c r="X22" s="3">
        <v>37893</v>
      </c>
      <c r="Y22" s="3">
        <v>37037</v>
      </c>
      <c r="Z22" s="3">
        <v>35658</v>
      </c>
      <c r="AA22" s="3">
        <f>141756-Z22-Y22-X22</f>
        <v>31168</v>
      </c>
      <c r="AB22" s="3">
        <v>32601</v>
      </c>
      <c r="AC22">
        <f>32237</f>
        <v>32237</v>
      </c>
      <c r="AD22" s="3">
        <v>28533</v>
      </c>
      <c r="AE22" s="3">
        <f>122117-AD22-AC22-AB22</f>
        <v>28746</v>
      </c>
      <c r="AF22" s="3">
        <v>30245</v>
      </c>
      <c r="AG22" s="3">
        <v>25353</v>
      </c>
      <c r="AH22" s="3"/>
      <c r="AI22" s="3"/>
      <c r="AJ22" s="3"/>
      <c r="AK22" s="3"/>
      <c r="AL22" s="3">
        <f t="shared" ref="AL22:AL27" si="11">SUM(L22:O22)</f>
        <v>70705</v>
      </c>
      <c r="AM22" s="3">
        <f t="shared" ref="AM22:AM26" si="12">SUM(P22:S22)</f>
        <v>116072</v>
      </c>
      <c r="AN22" s="3">
        <f t="shared" ref="AN22:AN26" si="13">SUM(U22:X22)</f>
        <v>146464</v>
      </c>
      <c r="AO22" s="3">
        <f t="shared" ref="AO22:AO26" si="14">SUM(X22:AA22)</f>
        <v>141756</v>
      </c>
      <c r="AP22" s="3">
        <f t="shared" ref="AP22:AP26" si="15">SUM(AB22:AE22)</f>
        <v>122117</v>
      </c>
    </row>
    <row r="23" spans="4:42" x14ac:dyDescent="0.35">
      <c r="D23" t="s">
        <v>43</v>
      </c>
      <c r="H23">
        <v>5329</v>
      </c>
      <c r="I23">
        <v>6039</v>
      </c>
      <c r="L23">
        <v>7817</v>
      </c>
      <c r="M23">
        <v>8897</v>
      </c>
      <c r="N23">
        <v>9099</v>
      </c>
      <c r="O23">
        <f>38453-N23-M23-L23</f>
        <v>12640</v>
      </c>
      <c r="P23" s="3">
        <v>14007</v>
      </c>
      <c r="Q23" s="3">
        <v>14332</v>
      </c>
      <c r="R23" s="3">
        <v>14474</v>
      </c>
      <c r="S23" s="3">
        <f>61358-R23-Q23-P23</f>
        <v>18545</v>
      </c>
      <c r="T23" s="3">
        <v>20604</v>
      </c>
      <c r="U23" s="3">
        <v>23216</v>
      </c>
      <c r="V23" s="3">
        <v>24949</v>
      </c>
      <c r="W23" s="3">
        <f>95465-V23-U23-T23</f>
        <v>26696</v>
      </c>
      <c r="X23" s="3">
        <v>26093</v>
      </c>
      <c r="Y23" s="3">
        <v>24281</v>
      </c>
      <c r="Z23" s="3">
        <v>21513</v>
      </c>
      <c r="AA23" s="3">
        <f>95603-Z23-Y23-X23</f>
        <v>23716</v>
      </c>
      <c r="AB23" s="3">
        <v>22308</v>
      </c>
      <c r="AC23" s="3">
        <v>23872</v>
      </c>
      <c r="AD23" s="3">
        <v>20493</v>
      </c>
      <c r="AE23" s="3">
        <f>88579-AD23-AC23-AB23</f>
        <v>21906</v>
      </c>
      <c r="AF23" s="3">
        <v>22319</v>
      </c>
      <c r="AG23" s="3">
        <v>20314</v>
      </c>
      <c r="AH23" s="3"/>
      <c r="AI23" s="3"/>
      <c r="AJ23" s="3"/>
      <c r="AK23" s="3"/>
      <c r="AL23" s="3">
        <f t="shared" si="11"/>
        <v>38453</v>
      </c>
      <c r="AM23" s="3">
        <f t="shared" si="12"/>
        <v>61358</v>
      </c>
      <c r="AN23" s="3">
        <f t="shared" si="13"/>
        <v>100954</v>
      </c>
      <c r="AO23" s="3">
        <f t="shared" si="14"/>
        <v>95603</v>
      </c>
      <c r="AP23" s="3">
        <f t="shared" si="15"/>
        <v>88579</v>
      </c>
    </row>
    <row r="24" spans="4:42" x14ac:dyDescent="0.35">
      <c r="D24" t="s">
        <v>44</v>
      </c>
      <c r="H24">
        <v>4632</v>
      </c>
      <c r="I24">
        <v>4739</v>
      </c>
      <c r="L24">
        <v>7004</v>
      </c>
      <c r="M24">
        <v>6662</v>
      </c>
      <c r="N24">
        <v>8477</v>
      </c>
      <c r="O24">
        <f>30332-N24-M24-L24</f>
        <v>8189</v>
      </c>
      <c r="P24" s="3">
        <v>11821</v>
      </c>
      <c r="Q24" s="3">
        <v>12238</v>
      </c>
      <c r="R24" s="3">
        <v>12079</v>
      </c>
      <c r="S24" s="3">
        <f>49536-R24-Q24-P24</f>
        <v>13398</v>
      </c>
      <c r="T24" s="3">
        <v>14936</v>
      </c>
      <c r="U24" s="3">
        <v>16066</v>
      </c>
      <c r="V24" s="3">
        <v>20154</v>
      </c>
      <c r="W24" s="3">
        <f>74502-V24-U24-T24</f>
        <v>23346</v>
      </c>
      <c r="X24" s="3">
        <v>24144</v>
      </c>
      <c r="Y24" s="3">
        <v>21200</v>
      </c>
      <c r="Z24" s="3">
        <v>20755</v>
      </c>
      <c r="AA24" s="3">
        <f>88527-Z24-Y24-X24</f>
        <v>22428</v>
      </c>
      <c r="AB24" s="3">
        <v>20831</v>
      </c>
      <c r="AC24" s="3">
        <v>22302</v>
      </c>
      <c r="AD24" s="3">
        <v>20075</v>
      </c>
      <c r="AE24" s="3">
        <f>83934-AD24-AC24-AB24</f>
        <v>20726</v>
      </c>
      <c r="AF24" s="3">
        <v>19597</v>
      </c>
      <c r="AG24" s="3">
        <v>19895</v>
      </c>
      <c r="AH24" s="3"/>
      <c r="AI24" s="3"/>
      <c r="AJ24" s="3"/>
      <c r="AK24" s="3"/>
      <c r="AL24" s="3">
        <f t="shared" si="11"/>
        <v>30332</v>
      </c>
      <c r="AM24" s="3">
        <f t="shared" si="12"/>
        <v>49536</v>
      </c>
      <c r="AN24" s="3">
        <f t="shared" si="13"/>
        <v>83710</v>
      </c>
      <c r="AO24" s="3">
        <f t="shared" si="14"/>
        <v>88527</v>
      </c>
      <c r="AP24" s="3">
        <f t="shared" si="15"/>
        <v>83934</v>
      </c>
    </row>
    <row r="25" spans="4:42" x14ac:dyDescent="0.35">
      <c r="D25" t="s">
        <v>91</v>
      </c>
      <c r="P25" s="3"/>
      <c r="Q25" s="3"/>
      <c r="R25" s="3"/>
      <c r="S25" s="3"/>
      <c r="T25" s="3"/>
      <c r="U25" s="3"/>
      <c r="V25" s="3"/>
      <c r="W25" s="3"/>
      <c r="X25" s="3"/>
      <c r="Y25" s="3"/>
      <c r="Z25" s="3"/>
      <c r="AA25" s="3"/>
      <c r="AB25" s="3"/>
      <c r="AC25" s="3"/>
      <c r="AD25" s="3"/>
      <c r="AE25" s="3">
        <v>25429</v>
      </c>
      <c r="AF25" s="3">
        <v>0</v>
      </c>
      <c r="AG25" s="3"/>
      <c r="AH25" s="3"/>
      <c r="AI25" s="3"/>
      <c r="AJ25" s="3"/>
      <c r="AK25" s="3"/>
      <c r="AL25" s="3">
        <f t="shared" si="11"/>
        <v>0</v>
      </c>
      <c r="AM25" s="3">
        <f t="shared" si="12"/>
        <v>0</v>
      </c>
      <c r="AN25" s="3">
        <f t="shared" si="13"/>
        <v>0</v>
      </c>
      <c r="AO25" s="3">
        <f t="shared" si="14"/>
        <v>0</v>
      </c>
      <c r="AP25" s="3">
        <f t="shared" si="15"/>
        <v>25429</v>
      </c>
    </row>
    <row r="26" spans="4:42" x14ac:dyDescent="0.35">
      <c r="D26" t="s">
        <v>88</v>
      </c>
      <c r="H26">
        <v>424</v>
      </c>
      <c r="I26">
        <v>428</v>
      </c>
      <c r="L26">
        <v>419</v>
      </c>
      <c r="M26">
        <v>423</v>
      </c>
      <c r="N26">
        <v>428</v>
      </c>
      <c r="P26" s="3">
        <v>424</v>
      </c>
      <c r="Q26" s="3">
        <v>423</v>
      </c>
      <c r="R26" s="3">
        <v>428</v>
      </c>
      <c r="S26" s="3">
        <f>1703-R26-Q26-P26</f>
        <v>428</v>
      </c>
      <c r="T26" s="3">
        <v>419</v>
      </c>
      <c r="U26" s="3">
        <v>423</v>
      </c>
      <c r="V26" s="3">
        <v>428</v>
      </c>
      <c r="W26" s="3">
        <f>1699-V26-U26-T26</f>
        <v>429</v>
      </c>
      <c r="X26" s="3">
        <v>419</v>
      </c>
      <c r="Y26" s="3">
        <v>423</v>
      </c>
      <c r="Z26" s="3">
        <v>428</v>
      </c>
      <c r="AA26" s="3">
        <v>429</v>
      </c>
      <c r="AB26" s="3">
        <v>419</v>
      </c>
      <c r="AC26" s="3">
        <v>423</v>
      </c>
      <c r="AD26" s="3">
        <v>428</v>
      </c>
      <c r="AE26" s="3">
        <f>1699-AD26-AC26-AB26</f>
        <v>429</v>
      </c>
      <c r="AF26" s="3">
        <v>423</v>
      </c>
      <c r="AG26" s="3">
        <v>424</v>
      </c>
      <c r="AH26" s="3"/>
      <c r="AI26" s="3"/>
      <c r="AJ26" s="3"/>
      <c r="AK26" s="3"/>
      <c r="AL26" s="3">
        <f t="shared" si="11"/>
        <v>1270</v>
      </c>
      <c r="AM26" s="3">
        <f t="shared" si="12"/>
        <v>1703</v>
      </c>
      <c r="AN26" s="3">
        <f t="shared" si="13"/>
        <v>1699</v>
      </c>
      <c r="AO26" s="3">
        <f t="shared" si="14"/>
        <v>1699</v>
      </c>
      <c r="AP26" s="3">
        <f t="shared" si="15"/>
        <v>1699</v>
      </c>
    </row>
    <row r="27" spans="4:42" x14ac:dyDescent="0.35">
      <c r="D27" t="s">
        <v>12</v>
      </c>
      <c r="G27" s="3">
        <f t="shared" ref="G27:AC27" si="16">G24+G23+G22+G26</f>
        <v>0</v>
      </c>
      <c r="H27" s="3">
        <f t="shared" si="16"/>
        <v>19837</v>
      </c>
      <c r="I27" s="3">
        <f t="shared" si="16"/>
        <v>20989</v>
      </c>
      <c r="J27" s="3">
        <f t="shared" si="16"/>
        <v>0</v>
      </c>
      <c r="K27" s="3"/>
      <c r="L27" s="3">
        <f t="shared" si="16"/>
        <v>27723</v>
      </c>
      <c r="M27" s="3">
        <f t="shared" si="16"/>
        <v>32509</v>
      </c>
      <c r="N27" s="3">
        <f t="shared" si="16"/>
        <v>38510</v>
      </c>
      <c r="O27" s="3">
        <f t="shared" si="16"/>
        <v>42018</v>
      </c>
      <c r="P27" s="3">
        <f t="shared" si="16"/>
        <v>50187</v>
      </c>
      <c r="Q27" s="3">
        <f t="shared" si="16"/>
        <v>52985</v>
      </c>
      <c r="R27" s="3">
        <f t="shared" si="16"/>
        <v>57295</v>
      </c>
      <c r="S27" s="3">
        <f t="shared" si="16"/>
        <v>68202</v>
      </c>
      <c r="T27" s="3">
        <f t="shared" si="16"/>
        <v>69731</v>
      </c>
      <c r="U27" s="3">
        <f t="shared" si="16"/>
        <v>77505</v>
      </c>
      <c r="V27" s="3">
        <f t="shared" si="16"/>
        <v>81603</v>
      </c>
      <c r="W27" s="3">
        <f t="shared" si="16"/>
        <v>85170</v>
      </c>
      <c r="X27" s="3">
        <f t="shared" si="16"/>
        <v>88549</v>
      </c>
      <c r="Y27" s="3">
        <f t="shared" si="16"/>
        <v>82941</v>
      </c>
      <c r="Z27" s="3">
        <f t="shared" si="16"/>
        <v>78354</v>
      </c>
      <c r="AA27" s="3">
        <f t="shared" si="16"/>
        <v>77741</v>
      </c>
      <c r="AB27" s="3">
        <f t="shared" si="16"/>
        <v>76159</v>
      </c>
      <c r="AC27" s="3">
        <f t="shared" si="16"/>
        <v>78834</v>
      </c>
      <c r="AD27" s="3">
        <f>AD24+AD23+AD22+AD26</f>
        <v>69529</v>
      </c>
      <c r="AE27" s="3">
        <f>AE24+AE23+AE22+AE26+AE25</f>
        <v>97236</v>
      </c>
      <c r="AF27" s="3">
        <f>AF24+AF23+AF22+AF26+AF25</f>
        <v>72584</v>
      </c>
      <c r="AG27" s="3">
        <f>AG24+AG23+AG22+AG26+AG25</f>
        <v>65986</v>
      </c>
      <c r="AH27" s="3"/>
      <c r="AI27" s="3"/>
      <c r="AJ27" s="3"/>
      <c r="AK27" s="3"/>
      <c r="AL27" s="3">
        <f t="shared" si="11"/>
        <v>140760</v>
      </c>
      <c r="AM27" s="3">
        <f>AM26+AM25+AM24+AM23+AM22</f>
        <v>228669</v>
      </c>
      <c r="AN27" s="3">
        <f t="shared" ref="AN27:AP27" si="17">AN26+AN25+AN24+AN23+AN22</f>
        <v>332827</v>
      </c>
      <c r="AO27" s="3">
        <f t="shared" si="17"/>
        <v>327585</v>
      </c>
      <c r="AP27" s="3">
        <f t="shared" si="17"/>
        <v>321758</v>
      </c>
    </row>
    <row r="28" spans="4:42" x14ac:dyDescent="0.35">
      <c r="D28" s="2" t="s">
        <v>13</v>
      </c>
      <c r="G28" s="4">
        <f t="shared" ref="G28:AC28" si="18">G21-G27</f>
        <v>0</v>
      </c>
      <c r="H28" s="4">
        <f t="shared" si="18"/>
        <v>-13313</v>
      </c>
      <c r="I28" s="4">
        <f t="shared" si="18"/>
        <v>-9161</v>
      </c>
      <c r="J28" s="4">
        <f t="shared" si="18"/>
        <v>0</v>
      </c>
      <c r="K28" s="4"/>
      <c r="L28" s="4">
        <f t="shared" si="18"/>
        <v>-20045</v>
      </c>
      <c r="M28" s="4">
        <f t="shared" si="18"/>
        <v>-16105</v>
      </c>
      <c r="N28" s="4">
        <f t="shared" si="18"/>
        <v>-18053</v>
      </c>
      <c r="O28" s="4">
        <f t="shared" si="18"/>
        <v>-32004</v>
      </c>
      <c r="P28" s="4">
        <f t="shared" si="18"/>
        <v>-34620</v>
      </c>
      <c r="Q28" s="4">
        <f t="shared" si="18"/>
        <v>-36909</v>
      </c>
      <c r="R28" s="4">
        <f t="shared" si="18"/>
        <v>-37049</v>
      </c>
      <c r="S28" s="4">
        <f t="shared" si="18"/>
        <v>-44239</v>
      </c>
      <c r="T28" s="4">
        <f t="shared" si="18"/>
        <v>-41280</v>
      </c>
      <c r="U28" s="4">
        <f t="shared" si="18"/>
        <v>-49765</v>
      </c>
      <c r="V28" s="4">
        <f t="shared" si="18"/>
        <v>-56325</v>
      </c>
      <c r="W28" s="4">
        <f t="shared" si="18"/>
        <v>-61596</v>
      </c>
      <c r="X28" s="4">
        <f t="shared" si="18"/>
        <v>-63121</v>
      </c>
      <c r="Y28" s="4">
        <f t="shared" si="18"/>
        <v>-52502</v>
      </c>
      <c r="Z28" s="4">
        <f t="shared" si="18"/>
        <v>-45431</v>
      </c>
      <c r="AA28" s="4">
        <f t="shared" si="18"/>
        <v>-39132</v>
      </c>
      <c r="AB28" s="4">
        <f t="shared" si="18"/>
        <v>-57193</v>
      </c>
      <c r="AC28" s="4">
        <f t="shared" si="18"/>
        <v>-47818</v>
      </c>
      <c r="AD28" s="4">
        <f>AD21-AD27</f>
        <v>-50956</v>
      </c>
      <c r="AE28" s="4">
        <f>AE21-AE27</f>
        <v>-71068</v>
      </c>
      <c r="AF28" s="4">
        <f>AF21-AF27</f>
        <v>-49212</v>
      </c>
      <c r="AG28" s="4">
        <f>AG21-AG27</f>
        <v>-42113</v>
      </c>
      <c r="AH28" s="4"/>
      <c r="AI28" s="4"/>
      <c r="AJ28" s="4"/>
      <c r="AK28" s="4"/>
      <c r="AL28" s="4">
        <f>AL21-AL27</f>
        <v>-86207</v>
      </c>
      <c r="AM28" s="4">
        <f>AM21-AM27</f>
        <v>-152817</v>
      </c>
      <c r="AN28" s="4">
        <f t="shared" ref="AN28:AP28" si="19">AN21-AN27</f>
        <v>-230807</v>
      </c>
      <c r="AO28" s="4">
        <f t="shared" si="19"/>
        <v>-200186</v>
      </c>
      <c r="AP28" s="4">
        <f t="shared" si="19"/>
        <v>-227035</v>
      </c>
    </row>
    <row r="29" spans="4:42" x14ac:dyDescent="0.35">
      <c r="D29" t="s">
        <v>47</v>
      </c>
      <c r="H29">
        <v>820</v>
      </c>
      <c r="I29">
        <v>869</v>
      </c>
      <c r="L29">
        <v>1659</v>
      </c>
      <c r="M29">
        <v>446</v>
      </c>
      <c r="N29">
        <v>4103</v>
      </c>
      <c r="P29" s="3">
        <f>2894+323</f>
        <v>3217</v>
      </c>
      <c r="Q29" s="3">
        <f>1893+1481</f>
        <v>3374</v>
      </c>
      <c r="R29" s="3">
        <f>1018-688</f>
        <v>330</v>
      </c>
      <c r="S29" s="3">
        <f>6590-R29-Q29-P29</f>
        <v>-331</v>
      </c>
      <c r="T29" s="3">
        <v>638</v>
      </c>
      <c r="U29" s="3">
        <v>464</v>
      </c>
      <c r="V29" s="3">
        <v>327</v>
      </c>
      <c r="W29" s="3">
        <f>1668-V29-U29-T29</f>
        <v>239</v>
      </c>
      <c r="X29" s="3">
        <v>271</v>
      </c>
      <c r="Y29" s="3">
        <v>418</v>
      </c>
      <c r="Z29" s="3">
        <f>765-653</f>
        <v>112</v>
      </c>
      <c r="AA29" s="3">
        <f>4056-4238-Z29-Y29-X29</f>
        <v>-983</v>
      </c>
      <c r="AB29" s="3">
        <f>3024-3531</f>
        <v>-507</v>
      </c>
      <c r="AC29" s="3">
        <f>3612-3605</f>
        <v>7</v>
      </c>
      <c r="AD29" s="3">
        <f>4282-3652</f>
        <v>630</v>
      </c>
      <c r="AE29" s="3">
        <f>15531-AD29-AC29-AB29</f>
        <v>15401</v>
      </c>
      <c r="AF29" s="3">
        <v>4222</v>
      </c>
      <c r="AG29" s="3">
        <v>3766</v>
      </c>
      <c r="AH29" s="3"/>
      <c r="AI29" s="3"/>
      <c r="AJ29" s="3"/>
      <c r="AK29" s="3"/>
      <c r="AL29" s="3">
        <f>SUM(L29:O29)</f>
        <v>6208</v>
      </c>
      <c r="AM29" s="3">
        <f>SUM(P29:S29)</f>
        <v>6590</v>
      </c>
      <c r="AN29" s="3">
        <f>SUM(U29:X29)</f>
        <v>1301</v>
      </c>
      <c r="AO29" s="3">
        <f t="shared" ref="AO29:AO30" si="20">SUM(X29:AA29)</f>
        <v>-182</v>
      </c>
      <c r="AP29" s="3">
        <f t="shared" ref="AP29:AP30" si="21">SUM(AB29:AE29)</f>
        <v>15531</v>
      </c>
    </row>
    <row r="30" spans="4:42" x14ac:dyDescent="0.35">
      <c r="D30" t="s">
        <v>14</v>
      </c>
      <c r="G30" s="3">
        <f t="shared" ref="G30:W30" si="22">G28+G29</f>
        <v>0</v>
      </c>
      <c r="H30" s="3">
        <f t="shared" si="22"/>
        <v>-12493</v>
      </c>
      <c r="I30" s="3">
        <f t="shared" si="22"/>
        <v>-8292</v>
      </c>
      <c r="J30" s="3">
        <f t="shared" si="22"/>
        <v>0</v>
      </c>
      <c r="K30" s="3"/>
      <c r="L30" s="3">
        <f t="shared" si="22"/>
        <v>-18386</v>
      </c>
      <c r="M30" s="3">
        <f t="shared" si="22"/>
        <v>-15659</v>
      </c>
      <c r="N30" s="3">
        <f t="shared" si="22"/>
        <v>-13950</v>
      </c>
      <c r="O30" s="3">
        <f t="shared" si="22"/>
        <v>-32004</v>
      </c>
      <c r="P30" s="3">
        <f>P28+P29</f>
        <v>-31403</v>
      </c>
      <c r="Q30" s="3">
        <f t="shared" si="22"/>
        <v>-33535</v>
      </c>
      <c r="R30" s="3">
        <f t="shared" si="22"/>
        <v>-36719</v>
      </c>
      <c r="S30" s="3">
        <f t="shared" si="22"/>
        <v>-44570</v>
      </c>
      <c r="T30" s="3">
        <f t="shared" si="22"/>
        <v>-40642</v>
      </c>
      <c r="U30" s="3">
        <f t="shared" si="22"/>
        <v>-49301</v>
      </c>
      <c r="V30" s="3">
        <f t="shared" si="22"/>
        <v>-55998</v>
      </c>
      <c r="W30" s="3">
        <f t="shared" si="22"/>
        <v>-61357</v>
      </c>
      <c r="X30" s="3">
        <f t="shared" ref="X30:AG30" si="23">X28+X29</f>
        <v>-62850</v>
      </c>
      <c r="Y30" s="3">
        <f t="shared" si="23"/>
        <v>-52084</v>
      </c>
      <c r="Z30" s="3">
        <f t="shared" si="23"/>
        <v>-45319</v>
      </c>
      <c r="AA30" s="3">
        <f t="shared" si="23"/>
        <v>-40115</v>
      </c>
      <c r="AB30" s="3">
        <f t="shared" si="23"/>
        <v>-57700</v>
      </c>
      <c r="AC30" s="3">
        <f t="shared" si="23"/>
        <v>-47811</v>
      </c>
      <c r="AD30" s="3">
        <f t="shared" si="23"/>
        <v>-50326</v>
      </c>
      <c r="AE30" s="3">
        <f t="shared" si="23"/>
        <v>-55667</v>
      </c>
      <c r="AF30" s="3">
        <f t="shared" si="23"/>
        <v>-44990</v>
      </c>
      <c r="AG30" s="3">
        <f t="shared" si="23"/>
        <v>-38347</v>
      </c>
      <c r="AH30" s="3"/>
      <c r="AI30" s="3"/>
      <c r="AJ30" s="3"/>
      <c r="AK30" s="3"/>
      <c r="AL30" s="3">
        <f>SUM(O30:R30)</f>
        <v>-133661</v>
      </c>
      <c r="AM30" s="3">
        <f>SUM(P30:S30)</f>
        <v>-146227</v>
      </c>
      <c r="AN30" s="3">
        <f>SUM(U30:X30)</f>
        <v>-229506</v>
      </c>
      <c r="AO30" s="3">
        <f t="shared" si="20"/>
        <v>-200368</v>
      </c>
      <c r="AP30" s="3">
        <f t="shared" si="21"/>
        <v>-211504</v>
      </c>
    </row>
    <row r="31" spans="4:42" x14ac:dyDescent="0.35">
      <c r="D31" t="s">
        <v>15</v>
      </c>
      <c r="H31">
        <v>-2</v>
      </c>
      <c r="I31">
        <v>0</v>
      </c>
      <c r="J31">
        <v>0</v>
      </c>
      <c r="L31">
        <v>-254</v>
      </c>
      <c r="M31">
        <v>-710</v>
      </c>
      <c r="N31">
        <v>0</v>
      </c>
      <c r="O31">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c r="AI31" s="3"/>
      <c r="AJ31" s="3"/>
      <c r="AK31" s="3"/>
      <c r="AL31" s="3">
        <v>0</v>
      </c>
      <c r="AM31" s="3">
        <v>0</v>
      </c>
      <c r="AN31" s="3">
        <v>0</v>
      </c>
      <c r="AO31" s="3">
        <v>0</v>
      </c>
      <c r="AP31" s="3">
        <v>0</v>
      </c>
    </row>
    <row r="32" spans="4:42" x14ac:dyDescent="0.35">
      <c r="P32" s="3"/>
      <c r="Q32" s="3"/>
      <c r="R32" s="3"/>
      <c r="S32" s="3"/>
      <c r="T32" s="3"/>
      <c r="U32" s="3"/>
      <c r="V32" s="3"/>
      <c r="W32" s="3"/>
      <c r="X32" s="3"/>
      <c r="Y32" s="3"/>
      <c r="Z32" s="3"/>
      <c r="AA32" s="3"/>
      <c r="AB32" s="3"/>
    </row>
    <row r="33" spans="4:42" x14ac:dyDescent="0.35">
      <c r="D33" t="s">
        <v>16</v>
      </c>
      <c r="G33" s="3">
        <f t="shared" ref="G33:AC33" si="24">G30+G31</f>
        <v>0</v>
      </c>
      <c r="H33" s="3">
        <f t="shared" si="24"/>
        <v>-12495</v>
      </c>
      <c r="I33" s="3">
        <f t="shared" si="24"/>
        <v>-8292</v>
      </c>
      <c r="J33" s="3">
        <f t="shared" si="24"/>
        <v>0</v>
      </c>
      <c r="K33" s="3">
        <f t="shared" si="24"/>
        <v>0</v>
      </c>
      <c r="L33" s="3">
        <f t="shared" si="24"/>
        <v>-18640</v>
      </c>
      <c r="M33" s="3">
        <f t="shared" si="24"/>
        <v>-16369</v>
      </c>
      <c r="N33" s="3">
        <f t="shared" si="24"/>
        <v>-13950</v>
      </c>
      <c r="O33" s="3">
        <f t="shared" si="24"/>
        <v>-32004</v>
      </c>
      <c r="P33" s="3">
        <f t="shared" si="24"/>
        <v>-31403</v>
      </c>
      <c r="Q33" s="3">
        <f t="shared" si="24"/>
        <v>-33535</v>
      </c>
      <c r="R33" s="3">
        <f t="shared" si="24"/>
        <v>-36719</v>
      </c>
      <c r="S33" s="3">
        <f t="shared" si="24"/>
        <v>-44570</v>
      </c>
      <c r="T33" s="3">
        <f t="shared" si="24"/>
        <v>-40642</v>
      </c>
      <c r="U33" s="3">
        <f t="shared" si="24"/>
        <v>-49301</v>
      </c>
      <c r="V33" s="3">
        <f t="shared" si="24"/>
        <v>-55998</v>
      </c>
      <c r="W33" s="3">
        <f t="shared" si="24"/>
        <v>-61357</v>
      </c>
      <c r="X33" s="3">
        <f t="shared" si="24"/>
        <v>-62850</v>
      </c>
      <c r="Y33" s="3">
        <f t="shared" si="24"/>
        <v>-52084</v>
      </c>
      <c r="Z33" s="3">
        <f t="shared" si="24"/>
        <v>-45319</v>
      </c>
      <c r="AA33" s="3">
        <f t="shared" si="24"/>
        <v>-40115</v>
      </c>
      <c r="AB33" s="3">
        <f t="shared" si="24"/>
        <v>-57700</v>
      </c>
      <c r="AC33" s="3">
        <f t="shared" si="24"/>
        <v>-47811</v>
      </c>
      <c r="AD33" s="3">
        <f>AD30+AD31</f>
        <v>-50326</v>
      </c>
      <c r="AE33" s="3">
        <f>AE30+AE31</f>
        <v>-55667</v>
      </c>
      <c r="AF33" s="3">
        <f>AF30+AF31</f>
        <v>-44990</v>
      </c>
      <c r="AG33" s="3">
        <f>AG30+AG31</f>
        <v>-38347</v>
      </c>
      <c r="AH33" s="3"/>
      <c r="AI33" s="3"/>
      <c r="AJ33" s="3"/>
      <c r="AK33" s="3"/>
      <c r="AL33" s="3">
        <f>AL30+AL31</f>
        <v>-133661</v>
      </c>
      <c r="AM33" s="3">
        <f>AM30+AM31</f>
        <v>-146227</v>
      </c>
      <c r="AN33" s="3">
        <f t="shared" ref="AN33:AP33" si="25">AN30+AN31</f>
        <v>-229506</v>
      </c>
      <c r="AO33" s="3">
        <f t="shared" si="25"/>
        <v>-200368</v>
      </c>
      <c r="AP33" s="3">
        <f t="shared" si="25"/>
        <v>-211504</v>
      </c>
    </row>
    <row r="34" spans="4:42" x14ac:dyDescent="0.35">
      <c r="D34" t="s">
        <v>17</v>
      </c>
      <c r="H34">
        <v>12385</v>
      </c>
      <c r="I34">
        <v>12620</v>
      </c>
      <c r="J34">
        <v>12629</v>
      </c>
      <c r="L34">
        <v>12886</v>
      </c>
      <c r="M34">
        <v>13279</v>
      </c>
      <c r="N34">
        <v>124285</v>
      </c>
      <c r="O34">
        <v>69165</v>
      </c>
      <c r="P34" s="3">
        <v>126058</v>
      </c>
      <c r="Q34" s="3">
        <v>127383</v>
      </c>
      <c r="R34" s="3">
        <v>134372</v>
      </c>
      <c r="S34" s="3">
        <v>131216</v>
      </c>
      <c r="T34">
        <v>138967</v>
      </c>
      <c r="U34" s="3">
        <v>140359</v>
      </c>
      <c r="V34" s="3">
        <v>140833</v>
      </c>
      <c r="W34" s="3">
        <v>140354</v>
      </c>
      <c r="X34" s="3">
        <v>143511</v>
      </c>
      <c r="Y34" s="3">
        <v>142363</v>
      </c>
      <c r="Z34" s="3">
        <v>142928</v>
      </c>
      <c r="AA34" s="3">
        <v>142515</v>
      </c>
      <c r="AB34" s="3">
        <v>141697</v>
      </c>
      <c r="AC34" s="3">
        <v>144397</v>
      </c>
      <c r="AD34" s="3">
        <v>144704</v>
      </c>
      <c r="AE34" s="3">
        <v>144383</v>
      </c>
      <c r="AF34" s="3">
        <v>145787</v>
      </c>
      <c r="AG34" s="3">
        <v>147414</v>
      </c>
      <c r="AH34" s="3"/>
      <c r="AI34" s="3"/>
      <c r="AJ34" s="3"/>
      <c r="AK34" s="3"/>
      <c r="AL34" s="3">
        <f>O34</f>
        <v>69165</v>
      </c>
      <c r="AM34" s="3">
        <f>S34</f>
        <v>131216</v>
      </c>
      <c r="AN34" s="3">
        <f>W34</f>
        <v>140354</v>
      </c>
      <c r="AO34" s="3">
        <f>AA34</f>
        <v>142515</v>
      </c>
      <c r="AP34" s="3">
        <f>AE34</f>
        <v>144383</v>
      </c>
    </row>
    <row r="35" spans="4:42" x14ac:dyDescent="0.35">
      <c r="D35" t="s">
        <v>18</v>
      </c>
      <c r="G35" t="e">
        <f t="shared" ref="G35:W35" si="26">G33/G34</f>
        <v>#DIV/0!</v>
      </c>
      <c r="H35">
        <f t="shared" si="26"/>
        <v>-1.0088817117480824</v>
      </c>
      <c r="I35">
        <f t="shared" si="26"/>
        <v>-0.65705229793977815</v>
      </c>
      <c r="J35">
        <f t="shared" si="26"/>
        <v>0</v>
      </c>
      <c r="L35">
        <f t="shared" si="26"/>
        <v>-1.4465311190439236</v>
      </c>
      <c r="M35">
        <f t="shared" si="26"/>
        <v>-1.2326982453498005</v>
      </c>
      <c r="N35">
        <f t="shared" si="26"/>
        <v>-0.11224202437945045</v>
      </c>
      <c r="O35">
        <f t="shared" si="26"/>
        <v>-0.46271958360442422</v>
      </c>
      <c r="P35">
        <f t="shared" si="26"/>
        <v>-0.24911548652207713</v>
      </c>
      <c r="Q35">
        <f t="shared" si="26"/>
        <v>-0.26326118869864895</v>
      </c>
      <c r="R35">
        <f t="shared" si="26"/>
        <v>-0.27326377519126011</v>
      </c>
      <c r="S35">
        <f t="shared" si="26"/>
        <v>-0.33966894281185223</v>
      </c>
      <c r="T35">
        <f t="shared" si="26"/>
        <v>-0.29245792166485568</v>
      </c>
      <c r="U35">
        <f t="shared" si="26"/>
        <v>-0.35124929644696812</v>
      </c>
      <c r="V35">
        <f t="shared" si="26"/>
        <v>-0.39761987602337523</v>
      </c>
      <c r="W35">
        <f t="shared" si="26"/>
        <v>-0.4371588982145147</v>
      </c>
      <c r="X35">
        <f t="shared" ref="X35:AP35" si="27">X33/X34</f>
        <v>-0.43794552333967429</v>
      </c>
      <c r="Y35">
        <f t="shared" si="27"/>
        <v>-0.36585348721226724</v>
      </c>
      <c r="Z35">
        <f t="shared" si="27"/>
        <v>-0.31707573043770287</v>
      </c>
      <c r="AA35">
        <f t="shared" si="27"/>
        <v>-0.28147914254639861</v>
      </c>
      <c r="AB35" s="5">
        <f t="shared" si="27"/>
        <v>-0.4072069274578855</v>
      </c>
      <c r="AC35">
        <f t="shared" si="27"/>
        <v>-0.33110798700804034</v>
      </c>
      <c r="AD35">
        <f t="shared" si="27"/>
        <v>-0.34778582485625831</v>
      </c>
      <c r="AE35">
        <f t="shared" si="27"/>
        <v>-0.38555093051120976</v>
      </c>
      <c r="AF35">
        <f t="shared" si="27"/>
        <v>-0.30860090405866092</v>
      </c>
      <c r="AG35">
        <f t="shared" si="27"/>
        <v>-0.26013133080982809</v>
      </c>
      <c r="AL35">
        <f t="shared" ref="AL35" si="28">AL33/AL34</f>
        <v>-1.9324947589098533</v>
      </c>
      <c r="AM35">
        <f t="shared" si="27"/>
        <v>-1.1143991586391904</v>
      </c>
      <c r="AN35">
        <f t="shared" si="27"/>
        <v>-1.6351938669364607</v>
      </c>
      <c r="AO35">
        <f t="shared" si="27"/>
        <v>-1.4059432340455391</v>
      </c>
      <c r="AP35">
        <f t="shared" si="27"/>
        <v>-1.4648815996343061</v>
      </c>
    </row>
    <row r="37" spans="4:42" x14ac:dyDescent="0.35">
      <c r="D37" t="s">
        <v>19</v>
      </c>
      <c r="L37" s="7">
        <f t="shared" ref="L37:AC37" si="29">(L21/L19)</f>
        <v>0.60618979946312967</v>
      </c>
      <c r="M37" s="7">
        <f t="shared" si="29"/>
        <v>0.74098834583069839</v>
      </c>
      <c r="N37" s="7">
        <f t="shared" si="29"/>
        <v>0.78505641261800596</v>
      </c>
      <c r="O37" s="7">
        <f t="shared" si="29"/>
        <v>0.62724710303789544</v>
      </c>
      <c r="P37" s="7">
        <f t="shared" si="29"/>
        <v>0.74447632711621237</v>
      </c>
      <c r="Q37" s="7">
        <f t="shared" si="29"/>
        <v>0.76596150181055844</v>
      </c>
      <c r="R37" s="7">
        <f t="shared" si="29"/>
        <v>0.76983915738240993</v>
      </c>
      <c r="S37" s="7">
        <f t="shared" si="29"/>
        <v>0.79387112804373028</v>
      </c>
      <c r="T37" s="7">
        <f t="shared" si="29"/>
        <v>0.74010197180167525</v>
      </c>
      <c r="U37" s="7">
        <f t="shared" si="29"/>
        <v>0.72042591871185557</v>
      </c>
      <c r="V37" s="7">
        <f t="shared" si="29"/>
        <v>0.64048445536777565</v>
      </c>
      <c r="W37" s="7">
        <f t="shared" si="29"/>
        <v>0.62151331399947274</v>
      </c>
      <c r="X37" s="7">
        <f t="shared" si="29"/>
        <v>0.65841532884515797</v>
      </c>
      <c r="Y37" s="7">
        <f t="shared" si="29"/>
        <v>0.69718277599633527</v>
      </c>
      <c r="Z37" s="7">
        <f t="shared" si="29"/>
        <v>0.6883336817896718</v>
      </c>
      <c r="AA37" s="7">
        <f t="shared" si="29"/>
        <v>0.69946374868654659</v>
      </c>
      <c r="AB37" s="7">
        <f t="shared" si="29"/>
        <v>0.5037851621643159</v>
      </c>
      <c r="AC37" s="7">
        <f t="shared" si="29"/>
        <v>0.63393696603033156</v>
      </c>
      <c r="AD37" s="7">
        <f>(AD21/AD19)</f>
        <v>0.48980722065455312</v>
      </c>
      <c r="AE37" s="7">
        <f>(AE21/AE19)</f>
        <v>0.57155338109383191</v>
      </c>
      <c r="AF37" s="7">
        <f>(AF21/AF19)</f>
        <v>0.55816397201060353</v>
      </c>
      <c r="AG37" s="7">
        <f>(AG21/AG19)</f>
        <v>0.55274369066913642</v>
      </c>
      <c r="AH37" s="7"/>
      <c r="AI37" s="7"/>
      <c r="AJ37" s="7"/>
      <c r="AK37" s="7"/>
      <c r="AL37" s="7">
        <f>AL21/AL19</f>
        <v>0.71007588478009032</v>
      </c>
      <c r="AM37" s="7">
        <f>AM21/AM19</f>
        <v>0.77099469415136912</v>
      </c>
      <c r="AN37" s="7">
        <f t="shared" ref="AN37:AP37" si="30">AN21/AN19</f>
        <v>0.66022961131748226</v>
      </c>
      <c r="AO37" s="7">
        <f t="shared" si="30"/>
        <v>0.68749865089472662</v>
      </c>
      <c r="AP37" s="7">
        <f t="shared" si="30"/>
        <v>0.55629096290727997</v>
      </c>
    </row>
    <row r="38" spans="4:42" x14ac:dyDescent="0.35">
      <c r="D38" t="s">
        <v>20</v>
      </c>
      <c r="L38" s="7">
        <f t="shared" ref="L38:AC38" si="31">(L28/L19)</f>
        <v>-1.5825832938575715</v>
      </c>
      <c r="M38" s="7">
        <f t="shared" si="31"/>
        <v>-0.72748215737645672</v>
      </c>
      <c r="N38" s="7">
        <f t="shared" si="31"/>
        <v>-0.6928006754163788</v>
      </c>
      <c r="O38" s="7">
        <f t="shared" si="31"/>
        <v>-2.004635139367366</v>
      </c>
      <c r="P38" s="7">
        <f t="shared" si="31"/>
        <v>-1.6556671449067433</v>
      </c>
      <c r="Q38" s="7">
        <f t="shared" si="31"/>
        <v>-1.7585763293310464</v>
      </c>
      <c r="R38" s="7">
        <f t="shared" si="31"/>
        <v>-1.4087607893836267</v>
      </c>
      <c r="S38" s="7">
        <f t="shared" si="31"/>
        <v>-1.4655954944508862</v>
      </c>
      <c r="T38" s="7">
        <f t="shared" si="31"/>
        <v>-1.0738255033557047</v>
      </c>
      <c r="U38" s="7">
        <f t="shared" si="31"/>
        <v>-1.2924295546032982</v>
      </c>
      <c r="V38" s="7">
        <f t="shared" si="31"/>
        <v>-1.4271416626548763</v>
      </c>
      <c r="W38" s="7">
        <f t="shared" si="31"/>
        <v>-1.6239388346954917</v>
      </c>
      <c r="X38" s="7">
        <f t="shared" si="31"/>
        <v>-1.6344122216468151</v>
      </c>
      <c r="Y38" s="7">
        <f t="shared" si="31"/>
        <v>-1.2025194686211635</v>
      </c>
      <c r="Z38" s="7">
        <f t="shared" si="31"/>
        <v>-0.94984319464771061</v>
      </c>
      <c r="AA38" s="7">
        <f t="shared" si="31"/>
        <v>-0.70893872966411831</v>
      </c>
      <c r="AB38" s="7">
        <f t="shared" si="31"/>
        <v>-1.5191914362366192</v>
      </c>
      <c r="AC38" s="7">
        <f t="shared" si="31"/>
        <v>-0.9773535543473818</v>
      </c>
      <c r="AD38" s="7">
        <f>(AD28/AD19)</f>
        <v>-1.3438118093831588</v>
      </c>
      <c r="AE38" s="7">
        <f>(AE28/AE19)</f>
        <v>-1.552245325878036</v>
      </c>
      <c r="AF38" s="7">
        <f>(AF28/AF19)</f>
        <v>-1.1752680725049554</v>
      </c>
      <c r="AG38" s="7">
        <f>(AG28/AG19)</f>
        <v>-0.97506367214633016</v>
      </c>
      <c r="AH38" s="7"/>
      <c r="AI38" s="7"/>
      <c r="AJ38" s="7"/>
      <c r="AK38" s="7"/>
      <c r="AL38" s="7">
        <f>AL28/AL19</f>
        <v>-1.1220924935244121</v>
      </c>
      <c r="AM38" s="7">
        <f>AM28/AM19</f>
        <v>-1.5533024333719583</v>
      </c>
      <c r="AN38" s="7">
        <f t="shared" ref="AN38:AP38" si="32">AN28/AN19</f>
        <v>-1.4936837472981193</v>
      </c>
      <c r="AO38" s="7">
        <f t="shared" si="32"/>
        <v>-1.0802879530295508</v>
      </c>
      <c r="AP38" s="7">
        <f t="shared" si="32"/>
        <v>-1.3333352909394161</v>
      </c>
    </row>
    <row r="39" spans="4:42" x14ac:dyDescent="0.35">
      <c r="D39" t="s">
        <v>21</v>
      </c>
      <c r="L39" s="7">
        <f t="shared" ref="L39:AC39" si="33">(L33/L19)</f>
        <v>-1.4716564029685772</v>
      </c>
      <c r="M39" s="7">
        <f t="shared" si="33"/>
        <v>-0.73940735387117174</v>
      </c>
      <c r="N39" s="7">
        <f t="shared" si="33"/>
        <v>-0.53534423209762838</v>
      </c>
      <c r="O39" s="7">
        <f t="shared" si="33"/>
        <v>-2.004635139367366</v>
      </c>
      <c r="P39" s="7">
        <f t="shared" si="33"/>
        <v>-1.5018173122907699</v>
      </c>
      <c r="Q39" s="7">
        <f t="shared" si="33"/>
        <v>-1.5978178006479893</v>
      </c>
      <c r="R39" s="7">
        <f t="shared" si="33"/>
        <v>-1.3962127837560363</v>
      </c>
      <c r="S39" s="7">
        <f t="shared" si="33"/>
        <v>-1.4765612058969686</v>
      </c>
      <c r="T39" s="7">
        <f t="shared" si="33"/>
        <v>-1.0572290723687634</v>
      </c>
      <c r="U39" s="7">
        <f t="shared" si="33"/>
        <v>-1.2803791715361641</v>
      </c>
      <c r="V39" s="7">
        <f t="shared" si="33"/>
        <v>-1.4188562596599692</v>
      </c>
      <c r="W39" s="7">
        <f t="shared" si="33"/>
        <v>-1.6176377537569206</v>
      </c>
      <c r="X39" s="7">
        <f t="shared" si="33"/>
        <v>-1.6273951320559297</v>
      </c>
      <c r="Y39" s="7">
        <f t="shared" si="33"/>
        <v>-1.1929454878607422</v>
      </c>
      <c r="Z39" s="7">
        <f t="shared" si="33"/>
        <v>-0.94750156805352292</v>
      </c>
      <c r="AA39" s="7">
        <f t="shared" si="33"/>
        <v>-0.72674734591833035</v>
      </c>
      <c r="AB39" s="7">
        <f t="shared" si="33"/>
        <v>-1.5326586447791324</v>
      </c>
      <c r="AC39" s="7">
        <f t="shared" si="33"/>
        <v>-0.97721048113477493</v>
      </c>
      <c r="AD39" s="7">
        <f>(AD33/AD19)</f>
        <v>-1.3271974471900629</v>
      </c>
      <c r="AE39" s="7">
        <f>(AE33/AE19)</f>
        <v>-1.2158614363096278</v>
      </c>
      <c r="AF39" s="7">
        <f>(AF33/AF19)</f>
        <v>-1.074439376209013</v>
      </c>
      <c r="AG39" s="7">
        <f>(AG33/AG19)</f>
        <v>-0.88786756193563321</v>
      </c>
      <c r="AH39" s="7"/>
      <c r="AI39" s="7"/>
      <c r="AJ39" s="7"/>
      <c r="AK39" s="7"/>
      <c r="AL39" s="7">
        <f>AL33/AL19</f>
        <v>-1.7397659676936494</v>
      </c>
      <c r="AM39" s="7">
        <f>AM33/AM19</f>
        <v>-1.4863186355227582</v>
      </c>
      <c r="AN39" s="7">
        <f t="shared" ref="AN39:AP39" si="34">AN33/AN19</f>
        <v>-1.4852642342190756</v>
      </c>
      <c r="AO39" s="7">
        <f t="shared" si="34"/>
        <v>-1.0812701016685733</v>
      </c>
      <c r="AP39" s="7">
        <f t="shared" si="34"/>
        <v>-1.2421245507294041</v>
      </c>
    </row>
    <row r="40" spans="4:42" x14ac:dyDescent="0.35">
      <c r="D40" t="s">
        <v>22</v>
      </c>
      <c r="L40" s="7">
        <f t="shared" ref="L40:AC40" si="35">(L31/L19)</f>
        <v>-2.0053687036159798E-2</v>
      </c>
      <c r="M40" s="7">
        <f t="shared" si="35"/>
        <v>-3.2071551178968288E-2</v>
      </c>
      <c r="N40" s="7">
        <f t="shared" si="35"/>
        <v>0</v>
      </c>
      <c r="O40" s="7">
        <f t="shared" si="35"/>
        <v>0</v>
      </c>
      <c r="P40" s="7">
        <f t="shared" si="35"/>
        <v>0</v>
      </c>
      <c r="Q40" s="7">
        <f t="shared" si="35"/>
        <v>0</v>
      </c>
      <c r="R40" s="7">
        <f t="shared" si="35"/>
        <v>0</v>
      </c>
      <c r="S40" s="7">
        <f t="shared" si="35"/>
        <v>0</v>
      </c>
      <c r="T40" s="7">
        <f t="shared" si="35"/>
        <v>0</v>
      </c>
      <c r="U40" s="7">
        <f t="shared" si="35"/>
        <v>0</v>
      </c>
      <c r="V40" s="7">
        <f t="shared" si="35"/>
        <v>0</v>
      </c>
      <c r="W40" s="7">
        <f t="shared" si="35"/>
        <v>0</v>
      </c>
      <c r="X40" s="7">
        <f t="shared" si="35"/>
        <v>0</v>
      </c>
      <c r="Y40" s="7">
        <f t="shared" si="35"/>
        <v>0</v>
      </c>
      <c r="Z40" s="7">
        <f t="shared" si="35"/>
        <v>0</v>
      </c>
      <c r="AA40" s="7">
        <f t="shared" si="35"/>
        <v>0</v>
      </c>
      <c r="AB40" s="7">
        <f t="shared" si="35"/>
        <v>0</v>
      </c>
      <c r="AC40" s="7">
        <f t="shared" si="35"/>
        <v>0</v>
      </c>
      <c r="AD40" s="7">
        <f>(AD31/AD19)</f>
        <v>0</v>
      </c>
      <c r="AE40" s="7">
        <f>(AE31/AE19)</f>
        <v>0</v>
      </c>
      <c r="AF40" s="7">
        <f>(AF31/AF19)</f>
        <v>0</v>
      </c>
      <c r="AG40" s="7">
        <f>(AG31/AG19)</f>
        <v>0</v>
      </c>
      <c r="AH40" s="7"/>
      <c r="AI40" s="7"/>
      <c r="AJ40" s="7"/>
      <c r="AK40" s="7"/>
      <c r="AL40">
        <v>0</v>
      </c>
      <c r="AM40">
        <v>0</v>
      </c>
      <c r="AN40">
        <v>0</v>
      </c>
      <c r="AO40">
        <v>0</v>
      </c>
      <c r="AP40">
        <v>0</v>
      </c>
    </row>
    <row r="42" spans="4:42" x14ac:dyDescent="0.35">
      <c r="D42" t="s">
        <v>23</v>
      </c>
      <c r="O42" s="7"/>
      <c r="P42" s="7">
        <f>(P$19/L$19)-1</f>
        <v>0.65087636191378495</v>
      </c>
      <c r="Q42" s="7">
        <f t="shared" ref="Q42" si="36">(Q$19/M$19)-1</f>
        <v>-5.1946878670159902E-2</v>
      </c>
      <c r="R42" s="7">
        <f>(R$19/N$19)-1</f>
        <v>9.2485992785324989E-3</v>
      </c>
      <c r="S42" s="7">
        <f>(S$19/O$19)-1</f>
        <v>0.89069840275602874</v>
      </c>
      <c r="T42" s="7">
        <f>(T$19/P$19)-1</f>
        <v>0.83845050215208028</v>
      </c>
      <c r="U42" s="7">
        <f t="shared" ref="U42:AA42" si="37">(U$19/Q$19)-1</f>
        <v>0.8346197827329902</v>
      </c>
      <c r="V42" s="7">
        <f t="shared" si="37"/>
        <v>0.50070344880033457</v>
      </c>
      <c r="W42" s="7">
        <f t="shared" si="37"/>
        <v>0.25658439622328966</v>
      </c>
      <c r="X42" s="7">
        <f t="shared" si="37"/>
        <v>4.6303522189272694E-3</v>
      </c>
      <c r="Y42" s="7">
        <f t="shared" si="37"/>
        <v>0.13387871704973375</v>
      </c>
      <c r="Z42" s="7">
        <f t="shared" si="37"/>
        <v>0.21189854815415421</v>
      </c>
      <c r="AA42" s="7">
        <f t="shared" si="37"/>
        <v>0.45525968890060642</v>
      </c>
      <c r="AB42" s="7">
        <f>(AB$19/X$19)-1</f>
        <v>-2.5194199896426683E-2</v>
      </c>
      <c r="AC42" s="7">
        <f t="shared" ref="AC42" si="38">(AC$19/Y$19)-1</f>
        <v>0.12061383417315619</v>
      </c>
      <c r="AD42" s="7">
        <f>(AD$19/Z$19)-1</f>
        <v>-0.20721304620531045</v>
      </c>
      <c r="AE42" s="7">
        <f>(AE$19/AA$19)-1</f>
        <v>-0.17054965759628971</v>
      </c>
      <c r="AF42" s="7">
        <f>(AF$19/AB$19)-1</f>
        <v>0.11225330039578196</v>
      </c>
      <c r="AG42" s="7">
        <f>(AG$19/AC$19)-1</f>
        <v>-0.11723827821608146</v>
      </c>
      <c r="AH42" s="7"/>
      <c r="AI42" s="7"/>
      <c r="AJ42" s="7"/>
      <c r="AK42" s="7"/>
      <c r="AM42" s="7">
        <f>(AM19/AL19)-1</f>
        <v>0.28056542621734537</v>
      </c>
      <c r="AN42" s="7">
        <f t="shared" ref="AN42" si="39">(AN19/AM19)-1</f>
        <v>0.57063283934052977</v>
      </c>
      <c r="AO42" s="7">
        <f t="shared" ref="AO42" si="40">(AO19/AN19)-1</f>
        <v>0.19923376606567356</v>
      </c>
      <c r="AP42" s="7">
        <f>(AP19/AO19)-1</f>
        <v>-8.1119001877954511E-2</v>
      </c>
    </row>
    <row r="43" spans="4:42" x14ac:dyDescent="0.35">
      <c r="D43" t="s">
        <v>37</v>
      </c>
      <c r="R43" s="7"/>
      <c r="S43" s="7"/>
      <c r="T43" s="7">
        <f t="shared" ref="T43:AC43" si="41">(T8/P8)-1</f>
        <v>0.4111742823050466</v>
      </c>
      <c r="U43" s="7">
        <f t="shared" si="41"/>
        <v>0.54707225355895783</v>
      </c>
      <c r="V43" s="7">
        <f t="shared" si="41"/>
        <v>0.46413292826585661</v>
      </c>
      <c r="W43" s="7">
        <f t="shared" si="41"/>
        <v>4.4417297825555924E-2</v>
      </c>
      <c r="X43" s="7">
        <f t="shared" si="41"/>
        <v>3.5364337229544907E-2</v>
      </c>
      <c r="Y43" s="7">
        <f t="shared" si="41"/>
        <v>-2.8690481357697806E-2</v>
      </c>
      <c r="Z43" s="7">
        <f t="shared" si="41"/>
        <v>0.18056320135507087</v>
      </c>
      <c r="AA43" s="7">
        <f t="shared" si="41"/>
        <v>0.26747450173107512</v>
      </c>
      <c r="AB43" s="7">
        <f t="shared" si="41"/>
        <v>-0.22079169869331283</v>
      </c>
      <c r="AC43" s="7">
        <f t="shared" si="41"/>
        <v>2.9761372776834438E-2</v>
      </c>
      <c r="AD43" s="7">
        <f>(AD8/Z8)-1</f>
        <v>-0.52469600774776715</v>
      </c>
      <c r="AE43" s="7">
        <f>(AE8/AA8)-1</f>
        <v>-0.44549850503857369</v>
      </c>
      <c r="AF43" s="7">
        <f t="shared" ref="AF43:AG43" si="42">(AF8/AB8)-1</f>
        <v>-0.429901356350185</v>
      </c>
      <c r="AG43" s="7">
        <f t="shared" si="42"/>
        <v>-0.65691720187467451</v>
      </c>
      <c r="AH43" s="7"/>
      <c r="AI43" s="7"/>
      <c r="AJ43" s="7"/>
      <c r="AK43" s="7"/>
      <c r="AM43" s="7"/>
      <c r="AN43" s="7">
        <f>(AN8/AM8)-1</f>
        <v>0.34077251913042161</v>
      </c>
      <c r="AO43" s="7">
        <f>(AO8/AN8)-1</f>
        <v>0.11381661806587773</v>
      </c>
      <c r="AP43" s="7">
        <f>(AP8/AO8)-1</f>
        <v>-0.31199828857829759</v>
      </c>
    </row>
    <row r="44" spans="4:42" x14ac:dyDescent="0.35">
      <c r="D44" t="s">
        <v>38</v>
      </c>
      <c r="R44" s="7"/>
      <c r="S44" s="7"/>
      <c r="T44" s="7">
        <f>(T11/P11)-1</f>
        <v>1.7520636349992498</v>
      </c>
      <c r="U44" s="7">
        <f t="shared" ref="U44:AC44" si="43">(U11/Q11)-1</f>
        <v>1.5370734908136483</v>
      </c>
      <c r="V44" s="7">
        <f t="shared" si="43"/>
        <v>0.55870206489675511</v>
      </c>
      <c r="W44" s="7">
        <f t="shared" si="43"/>
        <v>0.70329218106995883</v>
      </c>
      <c r="X44" s="7">
        <f t="shared" si="43"/>
        <v>-2.9066913889949308E-2</v>
      </c>
      <c r="Y44" s="7">
        <f t="shared" si="43"/>
        <v>0.3760506918401656</v>
      </c>
      <c r="Z44" s="7">
        <f t="shared" si="43"/>
        <v>0.2585793590714105</v>
      </c>
      <c r="AA44" s="7">
        <f>(AA11/W11)-1</f>
        <v>0.69769267939115731</v>
      </c>
      <c r="AB44" s="7">
        <f t="shared" si="43"/>
        <v>0.20349359694450686</v>
      </c>
      <c r="AC44" s="7">
        <f t="shared" si="43"/>
        <v>0.21614509914481728</v>
      </c>
      <c r="AD44" s="7">
        <f>(AD11/Z11)-1</f>
        <v>0.23642925166658313</v>
      </c>
      <c r="AE44" s="7">
        <f>(AE11/AA11)-1</f>
        <v>9.4460454691002171E-2</v>
      </c>
      <c r="AF44" s="7">
        <f t="shared" ref="AF44:AG44" si="44">(AF11/AB11)-1</f>
        <v>0.5226583282774071</v>
      </c>
      <c r="AG44" s="7">
        <f t="shared" si="44"/>
        <v>0.36326404450969796</v>
      </c>
      <c r="AH44" s="7"/>
      <c r="AI44" s="7"/>
      <c r="AJ44" s="7"/>
      <c r="AK44" s="7"/>
      <c r="AN44" s="7">
        <f>(AN11/AM11)-1</f>
        <v>1.0279641030353148</v>
      </c>
      <c r="AO44" s="7">
        <f>(AO11/AN11)-1</f>
        <v>0.31615592575251839</v>
      </c>
      <c r="AP44" s="7">
        <f>(AP11/AO11)-1</f>
        <v>0.17895666942072896</v>
      </c>
    </row>
    <row r="45" spans="4:42" x14ac:dyDescent="0.35">
      <c r="D45" t="s">
        <v>89</v>
      </c>
      <c r="T45" s="7">
        <f>(T13/P13)-1</f>
        <v>0.41107561235356771</v>
      </c>
      <c r="U45" s="7">
        <f t="shared" ref="U45:V45" si="45">(U13/Q13)-1</f>
        <v>0.71125943122460833</v>
      </c>
      <c r="V45" s="7">
        <f t="shared" si="45"/>
        <v>0.44179172351068674</v>
      </c>
      <c r="W45" s="7">
        <f>(W13/S13)-1</f>
        <v>0.31402263571839639</v>
      </c>
      <c r="AN45" s="7">
        <f>(AN13/AM13)-1</f>
        <v>0.45054422173318276</v>
      </c>
      <c r="AO45" s="7">
        <f>(AO13/AN13)-1</f>
        <v>0.51185009020829919</v>
      </c>
      <c r="AP45" s="7">
        <f>(AP13/AO13)-1</f>
        <v>0.53226112663068537</v>
      </c>
    </row>
    <row r="46" spans="4:42" x14ac:dyDescent="0.35">
      <c r="T46" s="7"/>
      <c r="U46" s="7"/>
      <c r="V46" s="7"/>
      <c r="W46" s="7"/>
      <c r="AN46" s="7"/>
      <c r="AO46" s="7"/>
      <c r="AP46" s="7"/>
    </row>
    <row r="47" spans="4:42" x14ac:dyDescent="0.35">
      <c r="D47" t="s">
        <v>94</v>
      </c>
      <c r="M47" s="7">
        <f>M20/M19</f>
        <v>0.25901165416930166</v>
      </c>
      <c r="N47" s="7">
        <f t="shared" ref="N47:AG47" si="46">N20/N19</f>
        <v>0.21494358738199401</v>
      </c>
      <c r="O47" s="7">
        <f t="shared" si="46"/>
        <v>0.37275289696210462</v>
      </c>
      <c r="P47" s="7">
        <f t="shared" si="46"/>
        <v>0.25552367288378763</v>
      </c>
      <c r="Q47" s="7">
        <f t="shared" si="46"/>
        <v>0.23403849818944159</v>
      </c>
      <c r="R47" s="7">
        <f t="shared" si="46"/>
        <v>0.23016084261759001</v>
      </c>
      <c r="S47" s="7">
        <f t="shared" si="46"/>
        <v>0.20612887195626967</v>
      </c>
      <c r="T47" s="7">
        <f t="shared" si="46"/>
        <v>0.25989802819832475</v>
      </c>
      <c r="U47" s="7">
        <f t="shared" si="46"/>
        <v>0.27957408128814437</v>
      </c>
      <c r="V47" s="7">
        <f t="shared" si="46"/>
        <v>0.3595155446322244</v>
      </c>
      <c r="W47" s="7">
        <f t="shared" si="46"/>
        <v>0.37848668600052726</v>
      </c>
      <c r="X47" s="7">
        <f t="shared" si="46"/>
        <v>0.34158467115484203</v>
      </c>
      <c r="Y47" s="7">
        <f t="shared" si="46"/>
        <v>0.30281722400366468</v>
      </c>
      <c r="Z47" s="7">
        <f t="shared" si="46"/>
        <v>0.31166631821032825</v>
      </c>
      <c r="AA47" s="7">
        <f t="shared" si="46"/>
        <v>0.30053625131345341</v>
      </c>
      <c r="AB47" s="7">
        <f t="shared" si="46"/>
        <v>0.4962148378356841</v>
      </c>
      <c r="AC47" s="7">
        <f t="shared" si="46"/>
        <v>0.36606303396966849</v>
      </c>
      <c r="AD47" s="7">
        <f t="shared" si="46"/>
        <v>0.51019277934544682</v>
      </c>
      <c r="AE47" s="7">
        <f t="shared" si="46"/>
        <v>0.42844661890616809</v>
      </c>
      <c r="AF47" s="7">
        <f t="shared" si="46"/>
        <v>0.44183602798939653</v>
      </c>
      <c r="AG47" s="7">
        <f t="shared" si="46"/>
        <v>0.44725630933086363</v>
      </c>
      <c r="AH47" s="7"/>
      <c r="AI47" s="7"/>
      <c r="AN47" s="7"/>
      <c r="AO47" s="7"/>
      <c r="AP47" s="7"/>
    </row>
    <row r="48" spans="4:42" x14ac:dyDescent="0.35">
      <c r="T48" s="7"/>
      <c r="U48" s="7"/>
      <c r="V48" s="7"/>
      <c r="W48" s="7"/>
      <c r="AN48" s="7"/>
      <c r="AO48" s="7"/>
      <c r="AP48" s="7"/>
    </row>
    <row r="50" spans="4:43" x14ac:dyDescent="0.35">
      <c r="D50" t="s">
        <v>70</v>
      </c>
    </row>
    <row r="51" spans="4:43" x14ac:dyDescent="0.35">
      <c r="D51" t="s">
        <v>4</v>
      </c>
    </row>
    <row r="52" spans="4:43" x14ac:dyDescent="0.35">
      <c r="D52" t="s">
        <v>71</v>
      </c>
      <c r="AP52" t="s">
        <v>86</v>
      </c>
    </row>
    <row r="53" spans="4:43" x14ac:dyDescent="0.35">
      <c r="D53" t="s">
        <v>72</v>
      </c>
      <c r="AP53" t="s">
        <v>2</v>
      </c>
    </row>
    <row r="54" spans="4:43" x14ac:dyDescent="0.35">
      <c r="D54" t="s">
        <v>73</v>
      </c>
      <c r="AP54" t="s">
        <v>3</v>
      </c>
    </row>
    <row r="55" spans="4:43" x14ac:dyDescent="0.35">
      <c r="D55" t="s">
        <v>74</v>
      </c>
      <c r="AP55" t="s">
        <v>4</v>
      </c>
      <c r="AQ55">
        <v>300</v>
      </c>
    </row>
    <row r="56" spans="4:43" x14ac:dyDescent="0.35">
      <c r="D56" t="s">
        <v>75</v>
      </c>
      <c r="AP56" t="s">
        <v>87</v>
      </c>
    </row>
    <row r="57" spans="4:43" x14ac:dyDescent="0.35">
      <c r="D57" t="s">
        <v>76</v>
      </c>
      <c r="AP57" t="s">
        <v>6</v>
      </c>
    </row>
    <row r="58" spans="4:43" x14ac:dyDescent="0.35">
      <c r="D58" t="s">
        <v>77</v>
      </c>
      <c r="AP58" s="2" t="s">
        <v>7</v>
      </c>
    </row>
    <row r="59" spans="4:43" x14ac:dyDescent="0.35">
      <c r="D59" t="s">
        <v>78</v>
      </c>
    </row>
    <row r="61" spans="4:43" x14ac:dyDescent="0.35">
      <c r="D61" t="s">
        <v>79</v>
      </c>
    </row>
    <row r="62" spans="4:43" x14ac:dyDescent="0.35">
      <c r="D62" t="s">
        <v>80</v>
      </c>
    </row>
    <row r="63" spans="4:43" x14ac:dyDescent="0.35">
      <c r="D63" t="s">
        <v>81</v>
      </c>
    </row>
    <row r="64" spans="4:43" x14ac:dyDescent="0.35">
      <c r="D64" t="s">
        <v>5</v>
      </c>
    </row>
    <row r="65" spans="4:4" x14ac:dyDescent="0.35">
      <c r="D65" t="s">
        <v>82</v>
      </c>
    </row>
    <row r="66" spans="4:4" x14ac:dyDescent="0.35">
      <c r="D66" t="s">
        <v>83</v>
      </c>
    </row>
    <row r="67" spans="4:4" x14ac:dyDescent="0.35">
      <c r="D67" t="s">
        <v>84</v>
      </c>
    </row>
    <row r="68" spans="4:4" x14ac:dyDescent="0.35">
      <c r="D68" t="s">
        <v>85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9EEA9-14BB-4F38-B332-3F511258AC19}">
  <dimension ref="A3:I37"/>
  <sheetViews>
    <sheetView topLeftCell="A4" zoomScale="145" zoomScaleNormal="145" workbookViewId="0">
      <selection activeCell="G31" sqref="G31"/>
    </sheetView>
  </sheetViews>
  <sheetFormatPr defaultRowHeight="14.5" x14ac:dyDescent="0.35"/>
  <sheetData>
    <row r="3" spans="2:9" x14ac:dyDescent="0.35">
      <c r="B3" t="s">
        <v>48</v>
      </c>
    </row>
    <row r="5" spans="2:9" x14ac:dyDescent="0.35">
      <c r="B5" s="2" t="s">
        <v>49</v>
      </c>
    </row>
    <row r="6" spans="2:9" x14ac:dyDescent="0.35">
      <c r="B6" t="s">
        <v>50</v>
      </c>
      <c r="D6" t="s">
        <v>51</v>
      </c>
      <c r="F6" t="s">
        <v>58</v>
      </c>
    </row>
    <row r="7" spans="2:9" x14ac:dyDescent="0.35">
      <c r="D7" t="s">
        <v>52</v>
      </c>
    </row>
    <row r="8" spans="2:9" x14ac:dyDescent="0.35">
      <c r="D8" t="s">
        <v>53</v>
      </c>
    </row>
    <row r="10" spans="2:9" x14ac:dyDescent="0.35">
      <c r="B10" t="s">
        <v>54</v>
      </c>
      <c r="D10" t="s">
        <v>55</v>
      </c>
      <c r="F10" t="s">
        <v>59</v>
      </c>
    </row>
    <row r="11" spans="2:9" x14ac:dyDescent="0.35">
      <c r="D11" t="s">
        <v>56</v>
      </c>
    </row>
    <row r="12" spans="2:9" x14ac:dyDescent="0.35">
      <c r="D12" t="s">
        <v>57</v>
      </c>
    </row>
    <row r="13" spans="2:9" x14ac:dyDescent="0.35">
      <c r="D13" t="s">
        <v>224</v>
      </c>
    </row>
    <row r="15" spans="2:9" x14ac:dyDescent="0.35">
      <c r="H15" t="s">
        <v>225</v>
      </c>
    </row>
    <row r="16" spans="2:9" x14ac:dyDescent="0.35">
      <c r="B16" t="s">
        <v>102</v>
      </c>
      <c r="H16" t="s">
        <v>226</v>
      </c>
      <c r="I16">
        <v>5</v>
      </c>
    </row>
    <row r="17" spans="1:9" x14ac:dyDescent="0.35">
      <c r="H17">
        <v>2017</v>
      </c>
      <c r="I17">
        <v>15</v>
      </c>
    </row>
    <row r="18" spans="1:9" x14ac:dyDescent="0.35">
      <c r="H18">
        <v>2018</v>
      </c>
      <c r="I18">
        <v>24</v>
      </c>
    </row>
    <row r="19" spans="1:9" x14ac:dyDescent="0.35">
      <c r="A19" t="s">
        <v>126</v>
      </c>
      <c r="H19">
        <f>H18+1</f>
        <v>2019</v>
      </c>
      <c r="I19">
        <v>46</v>
      </c>
    </row>
    <row r="20" spans="1:9" x14ac:dyDescent="0.35">
      <c r="H20">
        <f t="shared" ref="H20:H25" si="0">H19+1</f>
        <v>2020</v>
      </c>
      <c r="I20">
        <v>84</v>
      </c>
    </row>
    <row r="21" spans="1:9" x14ac:dyDescent="0.35">
      <c r="A21">
        <v>2009</v>
      </c>
      <c r="B21" t="s">
        <v>127</v>
      </c>
      <c r="H21">
        <f t="shared" si="0"/>
        <v>2021</v>
      </c>
      <c r="I21">
        <v>126</v>
      </c>
    </row>
    <row r="22" spans="1:9" x14ac:dyDescent="0.35">
      <c r="B22" t="s">
        <v>128</v>
      </c>
      <c r="H22">
        <f t="shared" si="0"/>
        <v>2022</v>
      </c>
      <c r="I22">
        <v>182</v>
      </c>
    </row>
    <row r="23" spans="1:9" x14ac:dyDescent="0.35">
      <c r="A23">
        <v>2010</v>
      </c>
      <c r="B23" t="s">
        <v>129</v>
      </c>
      <c r="H23">
        <f t="shared" si="0"/>
        <v>2023</v>
      </c>
      <c r="I23">
        <v>245</v>
      </c>
    </row>
    <row r="24" spans="1:9" x14ac:dyDescent="0.35">
      <c r="A24">
        <v>2012</v>
      </c>
      <c r="B24" t="s">
        <v>130</v>
      </c>
      <c r="H24">
        <f t="shared" si="0"/>
        <v>2024</v>
      </c>
      <c r="I24">
        <v>268</v>
      </c>
    </row>
    <row r="25" spans="1:9" x14ac:dyDescent="0.35">
      <c r="A25">
        <v>2014</v>
      </c>
      <c r="B25" t="s">
        <v>131</v>
      </c>
    </row>
    <row r="26" spans="1:9" x14ac:dyDescent="0.35">
      <c r="A26">
        <v>2015</v>
      </c>
      <c r="B26" t="s">
        <v>132</v>
      </c>
    </row>
    <row r="27" spans="1:9" x14ac:dyDescent="0.35">
      <c r="B27" t="s">
        <v>133</v>
      </c>
      <c r="G27" t="s">
        <v>240</v>
      </c>
    </row>
    <row r="28" spans="1:9" x14ac:dyDescent="0.35">
      <c r="A28">
        <v>2016</v>
      </c>
      <c r="B28" t="s">
        <v>134</v>
      </c>
      <c r="G28" t="s">
        <v>241</v>
      </c>
    </row>
    <row r="29" spans="1:9" x14ac:dyDescent="0.35">
      <c r="A29">
        <v>2017</v>
      </c>
      <c r="B29" t="s">
        <v>135</v>
      </c>
    </row>
    <row r="30" spans="1:9" x14ac:dyDescent="0.35">
      <c r="A30">
        <v>2018</v>
      </c>
      <c r="B30" t="s">
        <v>136</v>
      </c>
      <c r="G30" t="s">
        <v>242</v>
      </c>
    </row>
    <row r="31" spans="1:9" x14ac:dyDescent="0.35">
      <c r="A31">
        <v>2019</v>
      </c>
      <c r="B31" t="s">
        <v>137</v>
      </c>
    </row>
    <row r="32" spans="1:9" x14ac:dyDescent="0.35">
      <c r="B32" t="s">
        <v>138</v>
      </c>
    </row>
    <row r="33" spans="1:2" x14ac:dyDescent="0.35">
      <c r="B33" t="s">
        <v>139</v>
      </c>
    </row>
    <row r="34" spans="1:2" x14ac:dyDescent="0.35">
      <c r="A34">
        <v>2020</v>
      </c>
      <c r="B34" t="s">
        <v>140</v>
      </c>
    </row>
    <row r="35" spans="1:2" x14ac:dyDescent="0.35">
      <c r="B35" t="s">
        <v>143</v>
      </c>
    </row>
    <row r="36" spans="1:2" x14ac:dyDescent="0.35">
      <c r="B36" t="s">
        <v>141</v>
      </c>
    </row>
    <row r="37" spans="1:2" x14ac:dyDescent="0.35">
      <c r="B37"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173E-30A1-488A-942F-004272745372}">
  <dimension ref="A1:K287"/>
  <sheetViews>
    <sheetView tabSelected="1" topLeftCell="A235" zoomScale="85" zoomScaleNormal="85" workbookViewId="0">
      <selection activeCell="F261" sqref="F261"/>
    </sheetView>
  </sheetViews>
  <sheetFormatPr defaultRowHeight="14.5" x14ac:dyDescent="0.35"/>
  <cols>
    <col min="1" max="1" width="12.90625" customWidth="1"/>
  </cols>
  <sheetData>
    <row r="1" spans="1:11" x14ac:dyDescent="0.35">
      <c r="A1" s="2" t="s">
        <v>103</v>
      </c>
    </row>
    <row r="3" spans="1:11" x14ac:dyDescent="0.35">
      <c r="A3" t="s">
        <v>125</v>
      </c>
    </row>
    <row r="4" spans="1:11" x14ac:dyDescent="0.35">
      <c r="A4">
        <v>1998</v>
      </c>
      <c r="B4" s="2" t="s">
        <v>184</v>
      </c>
    </row>
    <row r="5" spans="1:11" x14ac:dyDescent="0.35">
      <c r="B5" s="41" t="s">
        <v>186</v>
      </c>
    </row>
    <row r="6" spans="1:11" x14ac:dyDescent="0.35">
      <c r="B6" t="s">
        <v>187</v>
      </c>
    </row>
    <row r="7" spans="1:11" x14ac:dyDescent="0.35">
      <c r="B7" t="s">
        <v>185</v>
      </c>
    </row>
    <row r="8" spans="1:11" x14ac:dyDescent="0.35">
      <c r="B8" t="s">
        <v>188</v>
      </c>
    </row>
    <row r="9" spans="1:11" x14ac:dyDescent="0.35">
      <c r="B9" t="s">
        <v>189</v>
      </c>
    </row>
    <row r="10" spans="1:11" x14ac:dyDescent="0.35">
      <c r="B10" t="s">
        <v>190</v>
      </c>
    </row>
    <row r="12" spans="1:11" x14ac:dyDescent="0.35">
      <c r="B12" t="s">
        <v>191</v>
      </c>
    </row>
    <row r="13" spans="1:11" x14ac:dyDescent="0.35">
      <c r="B13" t="s">
        <v>180</v>
      </c>
      <c r="C13" t="s">
        <v>197</v>
      </c>
    </row>
    <row r="14" spans="1:11" x14ac:dyDescent="0.35">
      <c r="C14" s="2">
        <v>1</v>
      </c>
      <c r="D14" s="2">
        <v>2</v>
      </c>
      <c r="E14" s="2">
        <v>3</v>
      </c>
      <c r="F14">
        <v>4</v>
      </c>
      <c r="G14">
        <v>5</v>
      </c>
      <c r="H14">
        <v>6</v>
      </c>
      <c r="I14">
        <v>7</v>
      </c>
      <c r="J14">
        <v>8</v>
      </c>
      <c r="K14">
        <v>9</v>
      </c>
    </row>
    <row r="15" spans="1:11" x14ac:dyDescent="0.35">
      <c r="B15" s="2" t="s">
        <v>192</v>
      </c>
      <c r="C15" s="42">
        <f>2/71</f>
        <v>2.8169014084507043E-2</v>
      </c>
      <c r="D15" s="43">
        <f>14/124</f>
        <v>0.11290322580645161</v>
      </c>
      <c r="E15" s="44">
        <f>18/166</f>
        <v>0.10843373493975904</v>
      </c>
      <c r="F15">
        <f>28/173</f>
        <v>0.16184971098265896</v>
      </c>
      <c r="G15">
        <f>14/166</f>
        <v>8.4337349397590355E-2</v>
      </c>
      <c r="H15">
        <f>10/117</f>
        <v>8.5470085470085472E-2</v>
      </c>
      <c r="I15">
        <f>10/162</f>
        <v>6.1728395061728392E-2</v>
      </c>
      <c r="J15">
        <f>9/148</f>
        <v>6.0810810810810814E-2</v>
      </c>
      <c r="K15">
        <f>4/95</f>
        <v>4.2105263157894736E-2</v>
      </c>
    </row>
    <row r="16" spans="1:11" x14ac:dyDescent="0.35">
      <c r="B16" s="2" t="s">
        <v>193</v>
      </c>
      <c r="C16" s="45">
        <f>40/98</f>
        <v>0.40816326530612246</v>
      </c>
      <c r="D16" s="46">
        <f>27/53</f>
        <v>0.50943396226415094</v>
      </c>
      <c r="E16" s="47">
        <f>32/47</f>
        <v>0.68085106382978722</v>
      </c>
      <c r="F16">
        <f>15/19</f>
        <v>0.78947368421052633</v>
      </c>
      <c r="G16">
        <f>18/21</f>
        <v>0.8571428571428571</v>
      </c>
      <c r="H16">
        <f>5/8</f>
        <v>0.625</v>
      </c>
      <c r="I16">
        <f>7/9</f>
        <v>0.77777777777777779</v>
      </c>
      <c r="J16">
        <f>5/6</f>
        <v>0.83333333333333337</v>
      </c>
      <c r="K16">
        <f>1/2</f>
        <v>0.5</v>
      </c>
    </row>
    <row r="17" spans="1:9" x14ac:dyDescent="0.35">
      <c r="B17" s="2" t="s">
        <v>194</v>
      </c>
      <c r="C17" s="51">
        <f>8/33</f>
        <v>0.24242424242424243</v>
      </c>
      <c r="D17" s="43">
        <f>8/28</f>
        <v>0.2857142857142857</v>
      </c>
      <c r="E17" s="44">
        <f>16/27</f>
        <v>0.59259259259259256</v>
      </c>
      <c r="F17">
        <f>10/144</f>
        <v>6.9444444444444448E-2</v>
      </c>
      <c r="G17">
        <f>9/12</f>
        <v>0.75</v>
      </c>
      <c r="H17">
        <f>1/4</f>
        <v>0.25</v>
      </c>
      <c r="I17">
        <f>2/3</f>
        <v>0.66666666666666663</v>
      </c>
    </row>
    <row r="18" spans="1:9" x14ac:dyDescent="0.35">
      <c r="B18" s="2" t="s">
        <v>195</v>
      </c>
      <c r="C18" s="45">
        <f>12/38</f>
        <v>0.31578947368421051</v>
      </c>
      <c r="D18" s="46">
        <f>9/15</f>
        <v>0.6</v>
      </c>
      <c r="E18" s="47">
        <f>4/8</f>
        <v>0.5</v>
      </c>
    </row>
    <row r="19" spans="1:9" x14ac:dyDescent="0.35">
      <c r="B19" s="2" t="s">
        <v>196</v>
      </c>
      <c r="C19" s="48">
        <f>20/27</f>
        <v>0.7407407407407407</v>
      </c>
      <c r="D19" s="49">
        <f>10/10</f>
        <v>1</v>
      </c>
      <c r="E19" s="50">
        <f>12/12</f>
        <v>1</v>
      </c>
    </row>
    <row r="24" spans="1:9" x14ac:dyDescent="0.35">
      <c r="A24">
        <v>2002</v>
      </c>
      <c r="B24" s="2" t="s">
        <v>157</v>
      </c>
    </row>
    <row r="25" spans="1:9" x14ac:dyDescent="0.35">
      <c r="B25" s="19" t="s">
        <v>158</v>
      </c>
      <c r="G25" t="s">
        <v>159</v>
      </c>
    </row>
    <row r="26" spans="1:9" x14ac:dyDescent="0.35">
      <c r="B26" t="s">
        <v>198</v>
      </c>
    </row>
    <row r="27" spans="1:9" x14ac:dyDescent="0.35">
      <c r="B27" t="s">
        <v>160</v>
      </c>
    </row>
    <row r="28" spans="1:9" x14ac:dyDescent="0.35">
      <c r="B28" t="s">
        <v>161</v>
      </c>
    </row>
    <row r="29" spans="1:9" x14ac:dyDescent="0.35">
      <c r="B29" t="s">
        <v>162</v>
      </c>
      <c r="C29" t="s">
        <v>163</v>
      </c>
    </row>
    <row r="30" spans="1:9" x14ac:dyDescent="0.35">
      <c r="A30" t="s">
        <v>164</v>
      </c>
      <c r="B30">
        <v>43</v>
      </c>
      <c r="C30">
        <v>109</v>
      </c>
      <c r="E30" t="s">
        <v>199</v>
      </c>
      <c r="F30" t="s">
        <v>200</v>
      </c>
    </row>
    <row r="31" spans="1:9" x14ac:dyDescent="0.35">
      <c r="A31" s="11" t="s">
        <v>167</v>
      </c>
      <c r="B31" s="29">
        <v>0.23</v>
      </c>
      <c r="C31" s="30">
        <v>0.46</v>
      </c>
      <c r="E31" t="s">
        <v>174</v>
      </c>
      <c r="F31" t="s">
        <v>202</v>
      </c>
    </row>
    <row r="32" spans="1:9" x14ac:dyDescent="0.35">
      <c r="A32" s="31" t="s">
        <v>165</v>
      </c>
      <c r="B32" s="34" t="s">
        <v>168</v>
      </c>
      <c r="C32" s="35" t="s">
        <v>168</v>
      </c>
      <c r="E32" t="s">
        <v>175</v>
      </c>
      <c r="F32" t="s">
        <v>201</v>
      </c>
    </row>
    <row r="33" spans="1:8" x14ac:dyDescent="0.35">
      <c r="A33" s="11" t="s">
        <v>166</v>
      </c>
      <c r="B33" s="29">
        <v>0.28000000000000003</v>
      </c>
      <c r="C33" s="30">
        <v>0.11</v>
      </c>
    </row>
    <row r="34" spans="1:8" x14ac:dyDescent="0.35">
      <c r="A34" s="31" t="s">
        <v>165</v>
      </c>
      <c r="B34" s="32">
        <v>0</v>
      </c>
      <c r="C34" s="33">
        <v>0.25</v>
      </c>
    </row>
    <row r="35" spans="1:8" x14ac:dyDescent="0.35">
      <c r="A35" s="36" t="s">
        <v>164</v>
      </c>
      <c r="B35" s="38">
        <v>71</v>
      </c>
      <c r="C35" s="37">
        <v>2.1</v>
      </c>
    </row>
    <row r="36" spans="1:8" x14ac:dyDescent="0.35">
      <c r="A36" s="36" t="s">
        <v>165</v>
      </c>
      <c r="B36" s="9">
        <v>0.6</v>
      </c>
      <c r="C36" s="9">
        <v>0.76</v>
      </c>
    </row>
    <row r="38" spans="1:8" x14ac:dyDescent="0.35">
      <c r="A38">
        <v>2008</v>
      </c>
      <c r="B38" s="2" t="s">
        <v>207</v>
      </c>
    </row>
    <row r="39" spans="1:8" x14ac:dyDescent="0.35">
      <c r="B39" s="53" t="s">
        <v>208</v>
      </c>
    </row>
    <row r="40" spans="1:8" ht="15" x14ac:dyDescent="0.4">
      <c r="B40" t="s">
        <v>209</v>
      </c>
      <c r="H40" s="54" t="s">
        <v>211</v>
      </c>
    </row>
    <row r="41" spans="1:8" x14ac:dyDescent="0.35">
      <c r="B41" t="s">
        <v>210</v>
      </c>
      <c r="H41" t="s">
        <v>213</v>
      </c>
    </row>
    <row r="42" spans="1:8" x14ac:dyDescent="0.35">
      <c r="A42" t="s">
        <v>173</v>
      </c>
      <c r="B42" s="9">
        <v>0.93</v>
      </c>
    </row>
    <row r="43" spans="1:8" x14ac:dyDescent="0.35">
      <c r="A43" t="s">
        <v>174</v>
      </c>
      <c r="B43" s="9">
        <v>0.74</v>
      </c>
    </row>
    <row r="44" spans="1:8" x14ac:dyDescent="0.35">
      <c r="A44" t="s">
        <v>175</v>
      </c>
      <c r="B44" s="9">
        <v>0.16</v>
      </c>
      <c r="C44" t="s">
        <v>212</v>
      </c>
    </row>
    <row r="48" spans="1:8" x14ac:dyDescent="0.35">
      <c r="A48">
        <v>2011</v>
      </c>
      <c r="B48" s="2" t="s">
        <v>182</v>
      </c>
    </row>
    <row r="49" spans="1:9" x14ac:dyDescent="0.35">
      <c r="B49" s="19" t="s">
        <v>183</v>
      </c>
      <c r="I49" s="52" t="s">
        <v>204</v>
      </c>
    </row>
    <row r="50" spans="1:9" x14ac:dyDescent="0.35">
      <c r="B50" t="s">
        <v>203</v>
      </c>
    </row>
    <row r="52" spans="1:9" x14ac:dyDescent="0.35">
      <c r="B52" t="s">
        <v>179</v>
      </c>
      <c r="E52" t="s">
        <v>180</v>
      </c>
      <c r="F52" t="s">
        <v>181</v>
      </c>
    </row>
    <row r="53" spans="1:9" x14ac:dyDescent="0.35">
      <c r="B53" t="s">
        <v>173</v>
      </c>
      <c r="C53" s="39" t="s">
        <v>177</v>
      </c>
      <c r="E53" s="9">
        <v>0.16</v>
      </c>
      <c r="F53" s="40">
        <v>0.91100000000000003</v>
      </c>
    </row>
    <row r="54" spans="1:9" x14ac:dyDescent="0.35">
      <c r="B54" t="s">
        <v>174</v>
      </c>
      <c r="C54" t="s">
        <v>176</v>
      </c>
      <c r="E54" s="9">
        <v>0.63</v>
      </c>
      <c r="F54" s="40">
        <v>0.80600000000000005</v>
      </c>
    </row>
    <row r="55" spans="1:9" x14ac:dyDescent="0.35">
      <c r="B55" t="s">
        <v>175</v>
      </c>
      <c r="C55" t="s">
        <v>178</v>
      </c>
      <c r="E55" s="9">
        <v>0.21</v>
      </c>
      <c r="F55" s="40">
        <v>0.498</v>
      </c>
    </row>
    <row r="56" spans="1:9" x14ac:dyDescent="0.35">
      <c r="B56" t="s">
        <v>205</v>
      </c>
    </row>
    <row r="57" spans="1:9" x14ac:dyDescent="0.35">
      <c r="B57" t="s">
        <v>206</v>
      </c>
    </row>
    <row r="61" spans="1:9" x14ac:dyDescent="0.35">
      <c r="A61">
        <v>2012</v>
      </c>
      <c r="B61" s="55" t="s">
        <v>150</v>
      </c>
    </row>
    <row r="62" spans="1:9" x14ac:dyDescent="0.35">
      <c r="B62" s="19" t="s">
        <v>151</v>
      </c>
    </row>
    <row r="63" spans="1:9" x14ac:dyDescent="0.35">
      <c r="B63" t="s">
        <v>156</v>
      </c>
    </row>
    <row r="64" spans="1:9" ht="15" thickBot="1" x14ac:dyDescent="0.4">
      <c r="B64" t="s">
        <v>152</v>
      </c>
    </row>
    <row r="65" spans="1:8" x14ac:dyDescent="0.35">
      <c r="B65" s="23" t="s">
        <v>155</v>
      </c>
      <c r="C65" s="24"/>
    </row>
    <row r="66" spans="1:8" x14ac:dyDescent="0.35">
      <c r="B66" s="25" t="s">
        <v>153</v>
      </c>
      <c r="C66" s="26" t="s">
        <v>154</v>
      </c>
    </row>
    <row r="67" spans="1:8" ht="15" thickBot="1" x14ac:dyDescent="0.4">
      <c r="B67" s="27">
        <f>13/35</f>
        <v>0.37142857142857144</v>
      </c>
      <c r="C67" s="28">
        <f>25/35</f>
        <v>0.7142857142857143</v>
      </c>
    </row>
    <row r="68" spans="1:8" x14ac:dyDescent="0.35">
      <c r="B68" s="36" t="s">
        <v>227</v>
      </c>
    </row>
    <row r="72" spans="1:8" x14ac:dyDescent="0.35">
      <c r="A72">
        <v>2014</v>
      </c>
      <c r="B72" s="56" t="s">
        <v>147</v>
      </c>
    </row>
    <row r="73" spans="1:8" x14ac:dyDescent="0.35">
      <c r="B73" s="19" t="s">
        <v>148</v>
      </c>
      <c r="H73" t="s">
        <v>220</v>
      </c>
    </row>
    <row r="74" spans="1:8" x14ac:dyDescent="0.35">
      <c r="B74" t="s">
        <v>214</v>
      </c>
    </row>
    <row r="75" spans="1:8" x14ac:dyDescent="0.35">
      <c r="B75" t="s">
        <v>215</v>
      </c>
    </row>
    <row r="76" spans="1:8" x14ac:dyDescent="0.35">
      <c r="B76" t="s">
        <v>216</v>
      </c>
    </row>
    <row r="77" spans="1:8" x14ac:dyDescent="0.35">
      <c r="B77" t="s">
        <v>217</v>
      </c>
    </row>
    <row r="78" spans="1:8" x14ac:dyDescent="0.35">
      <c r="B78" t="s">
        <v>218</v>
      </c>
    </row>
    <row r="79" spans="1:8" x14ac:dyDescent="0.35">
      <c r="B79" t="s">
        <v>219</v>
      </c>
    </row>
    <row r="80" spans="1:8" x14ac:dyDescent="0.35">
      <c r="C80" t="s">
        <v>221</v>
      </c>
    </row>
    <row r="81" spans="1:4" x14ac:dyDescent="0.35">
      <c r="C81" t="s">
        <v>222</v>
      </c>
    </row>
    <row r="82" spans="1:4" x14ac:dyDescent="0.35">
      <c r="C82" t="s">
        <v>223</v>
      </c>
    </row>
    <row r="85" spans="1:4" x14ac:dyDescent="0.35">
      <c r="A85">
        <v>2014</v>
      </c>
      <c r="B85" s="2" t="s">
        <v>243</v>
      </c>
    </row>
    <row r="86" spans="1:4" x14ac:dyDescent="0.35">
      <c r="B86" s="22" t="s">
        <v>247</v>
      </c>
    </row>
    <row r="87" spans="1:4" x14ac:dyDescent="0.35">
      <c r="B87" t="s">
        <v>245</v>
      </c>
    </row>
    <row r="88" spans="1:4" x14ac:dyDescent="0.35">
      <c r="B88" t="s">
        <v>246</v>
      </c>
    </row>
    <row r="89" spans="1:4" x14ac:dyDescent="0.35">
      <c r="B89" t="s">
        <v>244</v>
      </c>
    </row>
    <row r="90" spans="1:4" x14ac:dyDescent="0.35">
      <c r="B90" t="s">
        <v>252</v>
      </c>
    </row>
    <row r="94" spans="1:4" x14ac:dyDescent="0.35">
      <c r="B94" t="s">
        <v>248</v>
      </c>
    </row>
    <row r="95" spans="1:4" x14ac:dyDescent="0.35">
      <c r="B95" s="62" t="s">
        <v>250</v>
      </c>
      <c r="C95" s="63" t="s">
        <v>249</v>
      </c>
      <c r="D95" s="64" t="s">
        <v>251</v>
      </c>
    </row>
    <row r="96" spans="1:4" x14ac:dyDescent="0.35">
      <c r="B96" s="59">
        <f>12/66</f>
        <v>0.18181818181818182</v>
      </c>
      <c r="C96" s="60">
        <f>1/66</f>
        <v>1.5151515151515152E-2</v>
      </c>
      <c r="D96" s="61">
        <f>54/66</f>
        <v>0.81818181818181823</v>
      </c>
    </row>
    <row r="98" spans="1:3" x14ac:dyDescent="0.35">
      <c r="B98" t="s">
        <v>253</v>
      </c>
    </row>
    <row r="99" spans="1:3" x14ac:dyDescent="0.35">
      <c r="C99" t="s">
        <v>254</v>
      </c>
    </row>
    <row r="100" spans="1:3" x14ac:dyDescent="0.35">
      <c r="B100" t="s">
        <v>255</v>
      </c>
    </row>
    <row r="101" spans="1:3" x14ac:dyDescent="0.35">
      <c r="B101" t="s">
        <v>256</v>
      </c>
    </row>
    <row r="102" spans="1:3" x14ac:dyDescent="0.35">
      <c r="C102" t="s">
        <v>257</v>
      </c>
    </row>
    <row r="103" spans="1:3" x14ac:dyDescent="0.35">
      <c r="B103" t="s">
        <v>258</v>
      </c>
    </row>
    <row r="105" spans="1:3" x14ac:dyDescent="0.35">
      <c r="B105" t="s">
        <v>259</v>
      </c>
    </row>
    <row r="106" spans="1:3" x14ac:dyDescent="0.35">
      <c r="B106" t="s">
        <v>260</v>
      </c>
    </row>
    <row r="107" spans="1:3" x14ac:dyDescent="0.35">
      <c r="A107" s="11"/>
      <c r="B107" s="57" t="s">
        <v>263</v>
      </c>
      <c r="C107" s="58"/>
    </row>
    <row r="108" spans="1:3" x14ac:dyDescent="0.35">
      <c r="A108" s="65"/>
      <c r="B108" s="66" t="s">
        <v>261</v>
      </c>
      <c r="C108" s="67" t="s">
        <v>264</v>
      </c>
    </row>
    <row r="109" spans="1:3" x14ac:dyDescent="0.35">
      <c r="A109" s="31" t="s">
        <v>262</v>
      </c>
      <c r="B109" s="34">
        <v>7.8E-2</v>
      </c>
      <c r="C109" s="35">
        <v>0.04</v>
      </c>
    </row>
    <row r="111" spans="1:3" x14ac:dyDescent="0.35">
      <c r="A111">
        <v>2014</v>
      </c>
      <c r="B111" s="2" t="s">
        <v>265</v>
      </c>
    </row>
    <row r="112" spans="1:3" x14ac:dyDescent="0.35">
      <c r="B112" s="19" t="s">
        <v>266</v>
      </c>
    </row>
    <row r="113" spans="1:5" x14ac:dyDescent="0.35">
      <c r="B113" s="69" t="s">
        <v>267</v>
      </c>
    </row>
    <row r="114" spans="1:5" x14ac:dyDescent="0.35">
      <c r="B114" s="70" t="s">
        <v>268</v>
      </c>
    </row>
    <row r="115" spans="1:5" x14ac:dyDescent="0.35">
      <c r="B115" s="69" t="s">
        <v>269</v>
      </c>
    </row>
    <row r="116" spans="1:5" x14ac:dyDescent="0.35">
      <c r="B116" s="69"/>
      <c r="C116" t="s">
        <v>270</v>
      </c>
    </row>
    <row r="117" spans="1:5" x14ac:dyDescent="0.35">
      <c r="B117" s="69"/>
      <c r="C117" t="s">
        <v>271</v>
      </c>
    </row>
    <row r="118" spans="1:5" x14ac:dyDescent="0.35">
      <c r="B118" s="69"/>
      <c r="C118" s="71" t="s">
        <v>272</v>
      </c>
    </row>
    <row r="119" spans="1:5" x14ac:dyDescent="0.35">
      <c r="B119" s="69"/>
    </row>
    <row r="120" spans="1:5" x14ac:dyDescent="0.35">
      <c r="B120" s="69"/>
    </row>
    <row r="121" spans="1:5" x14ac:dyDescent="0.35">
      <c r="B121" s="69"/>
    </row>
    <row r="122" spans="1:5" x14ac:dyDescent="0.35">
      <c r="B122" s="68"/>
    </row>
    <row r="123" spans="1:5" x14ac:dyDescent="0.35">
      <c r="A123">
        <v>2015</v>
      </c>
      <c r="B123" s="80" t="s">
        <v>146</v>
      </c>
    </row>
    <row r="124" spans="1:5" x14ac:dyDescent="0.35">
      <c r="B124" s="19" t="s">
        <v>149</v>
      </c>
    </row>
    <row r="125" spans="1:5" x14ac:dyDescent="0.35">
      <c r="B125" s="22" t="s">
        <v>288</v>
      </c>
    </row>
    <row r="126" spans="1:5" x14ac:dyDescent="0.35">
      <c r="B126" s="22" t="s">
        <v>289</v>
      </c>
    </row>
    <row r="127" spans="1:5" x14ac:dyDescent="0.35">
      <c r="A127" t="s">
        <v>294</v>
      </c>
      <c r="B127" s="22" t="s">
        <v>291</v>
      </c>
      <c r="C127" t="s">
        <v>292</v>
      </c>
      <c r="D127" t="s">
        <v>295</v>
      </c>
      <c r="E127" t="s">
        <v>296</v>
      </c>
    </row>
    <row r="128" spans="1:5" x14ac:dyDescent="0.35">
      <c r="A128" t="s">
        <v>286</v>
      </c>
      <c r="B128" s="76">
        <v>0</v>
      </c>
      <c r="C128" s="9">
        <v>0.16</v>
      </c>
    </row>
    <row r="129" spans="1:5" x14ac:dyDescent="0.35">
      <c r="A129" t="s">
        <v>293</v>
      </c>
      <c r="B129" s="76">
        <v>0.96</v>
      </c>
      <c r="C129" s="9">
        <v>0.77</v>
      </c>
    </row>
    <row r="130" spans="1:5" x14ac:dyDescent="0.35">
      <c r="A130" t="s">
        <v>297</v>
      </c>
      <c r="B130" s="22"/>
      <c r="D130" s="9">
        <v>0.67</v>
      </c>
      <c r="E130" s="9">
        <v>0.35</v>
      </c>
    </row>
    <row r="131" spans="1:5" x14ac:dyDescent="0.35">
      <c r="A131" t="s">
        <v>298</v>
      </c>
      <c r="B131" s="22"/>
      <c r="D131" t="s">
        <v>299</v>
      </c>
    </row>
    <row r="132" spans="1:5" x14ac:dyDescent="0.35">
      <c r="B132" s="22"/>
    </row>
    <row r="133" spans="1:5" x14ac:dyDescent="0.35">
      <c r="B133" s="22"/>
    </row>
    <row r="134" spans="1:5" x14ac:dyDescent="0.35">
      <c r="A134">
        <v>2015</v>
      </c>
      <c r="B134" s="79" t="s">
        <v>273</v>
      </c>
    </row>
    <row r="135" spans="1:5" x14ac:dyDescent="0.35">
      <c r="A135" t="s">
        <v>278</v>
      </c>
      <c r="B135" s="19" t="s">
        <v>279</v>
      </c>
    </row>
    <row r="136" spans="1:5" x14ac:dyDescent="0.35">
      <c r="B136" s="22" t="s">
        <v>274</v>
      </c>
    </row>
    <row r="137" spans="1:5" x14ac:dyDescent="0.35">
      <c r="B137" s="71" t="s">
        <v>275</v>
      </c>
    </row>
    <row r="138" spans="1:5" x14ac:dyDescent="0.35">
      <c r="B138" s="71"/>
    </row>
    <row r="139" spans="1:5" x14ac:dyDescent="0.35">
      <c r="B139" s="22"/>
    </row>
    <row r="140" spans="1:5" x14ac:dyDescent="0.35">
      <c r="A140">
        <v>2015</v>
      </c>
      <c r="B140" s="2" t="s">
        <v>276</v>
      </c>
    </row>
    <row r="141" spans="1:5" x14ac:dyDescent="0.35">
      <c r="A141" t="s">
        <v>278</v>
      </c>
      <c r="B141" s="19" t="s">
        <v>277</v>
      </c>
    </row>
    <row r="142" spans="1:5" x14ac:dyDescent="0.35">
      <c r="B142" s="22" t="s">
        <v>280</v>
      </c>
    </row>
    <row r="143" spans="1:5" x14ac:dyDescent="0.35">
      <c r="B143" s="22" t="s">
        <v>281</v>
      </c>
    </row>
    <row r="144" spans="1:5" x14ac:dyDescent="0.35">
      <c r="B144" s="22" t="s">
        <v>282</v>
      </c>
    </row>
    <row r="145" spans="1:4" x14ac:dyDescent="0.35">
      <c r="B145" s="22" t="s">
        <v>283</v>
      </c>
    </row>
    <row r="146" spans="1:4" x14ac:dyDescent="0.35">
      <c r="B146" s="72" t="s">
        <v>284</v>
      </c>
      <c r="C146" s="57"/>
      <c r="D146" s="58" t="s">
        <v>285</v>
      </c>
    </row>
    <row r="147" spans="1:4" x14ac:dyDescent="0.35">
      <c r="A147" t="s">
        <v>286</v>
      </c>
      <c r="B147" s="73">
        <v>5.2999999999999999E-2</v>
      </c>
      <c r="C147" s="66"/>
      <c r="D147" s="74">
        <v>0.59</v>
      </c>
    </row>
    <row r="148" spans="1:4" x14ac:dyDescent="0.35">
      <c r="A148" t="s">
        <v>287</v>
      </c>
      <c r="B148" s="75">
        <v>2.6</v>
      </c>
      <c r="C148" s="34"/>
      <c r="D148" s="35"/>
    </row>
    <row r="149" spans="1:4" x14ac:dyDescent="0.35">
      <c r="B149" s="22"/>
    </row>
    <row r="151" spans="1:4" x14ac:dyDescent="0.35">
      <c r="A151">
        <v>2016</v>
      </c>
      <c r="B151" s="2" t="s">
        <v>145</v>
      </c>
    </row>
    <row r="152" spans="1:4" x14ac:dyDescent="0.35">
      <c r="B152" s="22" t="s">
        <v>104</v>
      </c>
    </row>
    <row r="154" spans="1:4" x14ac:dyDescent="0.35">
      <c r="B154" t="s">
        <v>105</v>
      </c>
    </row>
    <row r="155" spans="1:4" x14ac:dyDescent="0.35">
      <c r="B155" t="s">
        <v>106</v>
      </c>
    </row>
    <row r="156" spans="1:4" x14ac:dyDescent="0.35">
      <c r="B156" t="s">
        <v>107</v>
      </c>
    </row>
    <row r="157" spans="1:4" x14ac:dyDescent="0.35">
      <c r="B157" t="s">
        <v>108</v>
      </c>
    </row>
    <row r="158" spans="1:4" x14ac:dyDescent="0.35">
      <c r="B158" t="s">
        <v>109</v>
      </c>
    </row>
    <row r="159" spans="1:4" x14ac:dyDescent="0.35">
      <c r="C159" t="s">
        <v>110</v>
      </c>
    </row>
    <row r="160" spans="1:4" x14ac:dyDescent="0.35">
      <c r="C160" t="s">
        <v>144</v>
      </c>
    </row>
    <row r="164" spans="1:9" x14ac:dyDescent="0.35">
      <c r="A164">
        <v>2016</v>
      </c>
      <c r="B164" s="55" t="s">
        <v>111</v>
      </c>
      <c r="I164" s="82"/>
    </row>
    <row r="165" spans="1:9" ht="15.5" x14ac:dyDescent="0.35">
      <c r="B165" s="81" t="s">
        <v>348</v>
      </c>
    </row>
    <row r="166" spans="1:9" x14ac:dyDescent="0.35">
      <c r="B166" t="s">
        <v>112</v>
      </c>
    </row>
    <row r="169" spans="1:9" x14ac:dyDescent="0.35">
      <c r="A169">
        <v>2016</v>
      </c>
      <c r="B169" s="80" t="s">
        <v>300</v>
      </c>
    </row>
    <row r="170" spans="1:9" x14ac:dyDescent="0.35">
      <c r="B170" t="s">
        <v>301</v>
      </c>
    </row>
    <row r="171" spans="1:9" x14ac:dyDescent="0.35">
      <c r="B171" s="77" t="s">
        <v>302</v>
      </c>
      <c r="D171" s="77" t="s">
        <v>49</v>
      </c>
    </row>
    <row r="172" spans="1:9" x14ac:dyDescent="0.35">
      <c r="A172" t="s">
        <v>303</v>
      </c>
      <c r="B172">
        <v>71</v>
      </c>
      <c r="D172">
        <v>110</v>
      </c>
    </row>
    <row r="173" spans="1:9" x14ac:dyDescent="0.35">
      <c r="B173" s="77" t="s">
        <v>290</v>
      </c>
      <c r="C173" s="77" t="s">
        <v>304</v>
      </c>
      <c r="D173" s="77" t="s">
        <v>290</v>
      </c>
      <c r="E173" s="77" t="s">
        <v>304</v>
      </c>
    </row>
    <row r="175" spans="1:9" x14ac:dyDescent="0.35">
      <c r="A175" t="s">
        <v>305</v>
      </c>
      <c r="B175" t="s">
        <v>307</v>
      </c>
      <c r="C175">
        <v>34</v>
      </c>
      <c r="D175">
        <v>81</v>
      </c>
      <c r="E175">
        <v>32</v>
      </c>
    </row>
    <row r="176" spans="1:9" x14ac:dyDescent="0.35">
      <c r="A176" t="s">
        <v>306</v>
      </c>
      <c r="B176" t="s">
        <v>307</v>
      </c>
      <c r="C176">
        <v>81</v>
      </c>
      <c r="D176" t="s">
        <v>307</v>
      </c>
      <c r="E176">
        <v>50</v>
      </c>
    </row>
    <row r="179" spans="1:9" x14ac:dyDescent="0.35">
      <c r="A179">
        <v>2016</v>
      </c>
      <c r="B179" s="2" t="s">
        <v>308</v>
      </c>
    </row>
    <row r="180" spans="1:9" x14ac:dyDescent="0.35">
      <c r="A180" t="s">
        <v>278</v>
      </c>
      <c r="B180" t="s">
        <v>310</v>
      </c>
    </row>
    <row r="181" spans="1:9" x14ac:dyDescent="0.35">
      <c r="B181" t="s">
        <v>309</v>
      </c>
    </row>
    <row r="182" spans="1:9" x14ac:dyDescent="0.35">
      <c r="B182" t="s">
        <v>315</v>
      </c>
    </row>
    <row r="183" spans="1:9" x14ac:dyDescent="0.35">
      <c r="B183">
        <v>1</v>
      </c>
      <c r="C183" t="s">
        <v>311</v>
      </c>
    </row>
    <row r="184" spans="1:9" x14ac:dyDescent="0.35">
      <c r="B184">
        <v>2</v>
      </c>
      <c r="C184" t="s">
        <v>312</v>
      </c>
      <c r="E184" t="s">
        <v>313</v>
      </c>
    </row>
    <row r="185" spans="1:9" x14ac:dyDescent="0.35">
      <c r="B185">
        <v>3</v>
      </c>
      <c r="C185" t="s">
        <v>314</v>
      </c>
    </row>
    <row r="186" spans="1:9" x14ac:dyDescent="0.35">
      <c r="B186" t="s">
        <v>316</v>
      </c>
      <c r="I186" s="78" t="s">
        <v>327</v>
      </c>
    </row>
    <row r="187" spans="1:9" x14ac:dyDescent="0.35">
      <c r="B187" t="s">
        <v>317</v>
      </c>
      <c r="C187" t="s">
        <v>318</v>
      </c>
    </row>
    <row r="188" spans="1:9" x14ac:dyDescent="0.35">
      <c r="C188" t="s">
        <v>319</v>
      </c>
    </row>
    <row r="189" spans="1:9" x14ac:dyDescent="0.35">
      <c r="C189" t="s">
        <v>320</v>
      </c>
    </row>
    <row r="190" spans="1:9" x14ac:dyDescent="0.35">
      <c r="B190" t="s">
        <v>321</v>
      </c>
      <c r="C190" t="s">
        <v>322</v>
      </c>
    </row>
    <row r="191" spans="1:9" x14ac:dyDescent="0.35">
      <c r="C191" t="s">
        <v>323</v>
      </c>
    </row>
    <row r="192" spans="1:9" x14ac:dyDescent="0.35">
      <c r="C192" t="s">
        <v>324</v>
      </c>
    </row>
    <row r="193" spans="1:3" x14ac:dyDescent="0.35">
      <c r="B193" t="s">
        <v>325</v>
      </c>
      <c r="C193" t="s">
        <v>340</v>
      </c>
    </row>
    <row r="194" spans="1:3" x14ac:dyDescent="0.35">
      <c r="C194" t="s">
        <v>326</v>
      </c>
    </row>
    <row r="196" spans="1:3" x14ac:dyDescent="0.35">
      <c r="A196">
        <v>2016</v>
      </c>
      <c r="B196" s="55" t="s">
        <v>328</v>
      </c>
    </row>
    <row r="197" spans="1:3" x14ac:dyDescent="0.35">
      <c r="A197" t="s">
        <v>329</v>
      </c>
      <c r="B197" s="19" t="s">
        <v>332</v>
      </c>
    </row>
    <row r="198" spans="1:3" x14ac:dyDescent="0.35">
      <c r="B198" s="19" t="s">
        <v>336</v>
      </c>
    </row>
    <row r="199" spans="1:3" x14ac:dyDescent="0.35">
      <c r="B199" t="s">
        <v>333</v>
      </c>
    </row>
    <row r="200" spans="1:3" x14ac:dyDescent="0.35">
      <c r="B200" t="s">
        <v>334</v>
      </c>
    </row>
    <row r="201" spans="1:3" x14ac:dyDescent="0.35">
      <c r="B201" t="s">
        <v>335</v>
      </c>
    </row>
    <row r="205" spans="1:3" x14ac:dyDescent="0.35">
      <c r="A205">
        <v>2016</v>
      </c>
      <c r="B205" s="55" t="s">
        <v>330</v>
      </c>
    </row>
    <row r="206" spans="1:3" x14ac:dyDescent="0.35">
      <c r="A206" t="s">
        <v>329</v>
      </c>
      <c r="B206" s="19" t="s">
        <v>331</v>
      </c>
    </row>
    <row r="207" spans="1:3" x14ac:dyDescent="0.35">
      <c r="B207" s="19" t="s">
        <v>341</v>
      </c>
    </row>
    <row r="208" spans="1:3" x14ac:dyDescent="0.35">
      <c r="B208" t="s">
        <v>337</v>
      </c>
    </row>
    <row r="209" spans="1:5" x14ac:dyDescent="0.35">
      <c r="B209" t="s">
        <v>338</v>
      </c>
    </row>
    <row r="210" spans="1:5" x14ac:dyDescent="0.35">
      <c r="B210" t="s">
        <v>339</v>
      </c>
    </row>
    <row r="211" spans="1:5" x14ac:dyDescent="0.35">
      <c r="B211" t="s">
        <v>341</v>
      </c>
      <c r="D211" t="s">
        <v>342</v>
      </c>
    </row>
    <row r="212" spans="1:5" x14ac:dyDescent="0.35">
      <c r="B212" t="s">
        <v>343</v>
      </c>
      <c r="C212" t="s">
        <v>344</v>
      </c>
      <c r="D212" t="s">
        <v>345</v>
      </c>
      <c r="E212" t="s">
        <v>346</v>
      </c>
    </row>
    <row r="213" spans="1:5" x14ac:dyDescent="0.35">
      <c r="A213" t="s">
        <v>347</v>
      </c>
      <c r="B213" s="9">
        <v>0.63</v>
      </c>
      <c r="C213" s="9">
        <v>0.87</v>
      </c>
      <c r="D213" s="9">
        <v>0.76</v>
      </c>
      <c r="E213" s="9">
        <v>0.87</v>
      </c>
    </row>
    <row r="222" spans="1:5" x14ac:dyDescent="0.35">
      <c r="A222">
        <v>2017</v>
      </c>
      <c r="B222" s="55" t="s">
        <v>113</v>
      </c>
    </row>
    <row r="223" spans="1:5" x14ac:dyDescent="0.35">
      <c r="B223" t="s">
        <v>114</v>
      </c>
    </row>
    <row r="224" spans="1:5" x14ac:dyDescent="0.35">
      <c r="B224" t="s">
        <v>115</v>
      </c>
    </row>
    <row r="226" spans="1:3" x14ac:dyDescent="0.35">
      <c r="A226">
        <v>2018</v>
      </c>
      <c r="B226" s="2" t="s">
        <v>116</v>
      </c>
    </row>
    <row r="227" spans="1:3" x14ac:dyDescent="0.35">
      <c r="B227" s="18" t="s">
        <v>117</v>
      </c>
    </row>
    <row r="228" spans="1:3" x14ac:dyDescent="0.35">
      <c r="B228" s="19" t="s">
        <v>118</v>
      </c>
    </row>
    <row r="229" spans="1:3" x14ac:dyDescent="0.35">
      <c r="B229" t="s">
        <v>119</v>
      </c>
    </row>
    <row r="230" spans="1:3" x14ac:dyDescent="0.35">
      <c r="B230" t="s">
        <v>120</v>
      </c>
    </row>
    <row r="231" spans="1:3" x14ac:dyDescent="0.35">
      <c r="C231" s="21" t="s">
        <v>121</v>
      </c>
    </row>
    <row r="232" spans="1:3" x14ac:dyDescent="0.35">
      <c r="B232" t="s">
        <v>122</v>
      </c>
    </row>
    <row r="233" spans="1:3" x14ac:dyDescent="0.35">
      <c r="B233" s="21" t="s">
        <v>123</v>
      </c>
    </row>
    <row r="234" spans="1:3" x14ac:dyDescent="0.35">
      <c r="B234" t="s">
        <v>124</v>
      </c>
    </row>
    <row r="238" spans="1:3" x14ac:dyDescent="0.35">
      <c r="A238">
        <v>2018</v>
      </c>
      <c r="B238" s="2" t="s">
        <v>233</v>
      </c>
    </row>
    <row r="239" spans="1:3" x14ac:dyDescent="0.35">
      <c r="B239" t="s">
        <v>234</v>
      </c>
    </row>
    <row r="240" spans="1:3" x14ac:dyDescent="0.35">
      <c r="C240" t="s">
        <v>235</v>
      </c>
    </row>
    <row r="241" spans="2:4" x14ac:dyDescent="0.35">
      <c r="B241" t="s">
        <v>236</v>
      </c>
    </row>
    <row r="242" spans="2:4" x14ac:dyDescent="0.35">
      <c r="B242" t="s">
        <v>237</v>
      </c>
      <c r="C242" t="s">
        <v>239</v>
      </c>
    </row>
    <row r="243" spans="2:4" x14ac:dyDescent="0.35">
      <c r="B243" t="s">
        <v>238</v>
      </c>
      <c r="C243" t="s">
        <v>349</v>
      </c>
    </row>
    <row r="247" spans="2:4" x14ac:dyDescent="0.35">
      <c r="B247" s="2" t="s">
        <v>228</v>
      </c>
    </row>
    <row r="248" spans="2:4" x14ac:dyDescent="0.35">
      <c r="B248" t="s">
        <v>350</v>
      </c>
    </row>
    <row r="249" spans="2:4" x14ac:dyDescent="0.35">
      <c r="B249" t="s">
        <v>351</v>
      </c>
    </row>
    <row r="250" spans="2:4" x14ac:dyDescent="0.35">
      <c r="C250" t="s">
        <v>352</v>
      </c>
    </row>
    <row r="251" spans="2:4" x14ac:dyDescent="0.35">
      <c r="D251" t="s">
        <v>353</v>
      </c>
    </row>
    <row r="252" spans="2:4" x14ac:dyDescent="0.35">
      <c r="B252" t="s">
        <v>354</v>
      </c>
    </row>
    <row r="253" spans="2:4" x14ac:dyDescent="0.35">
      <c r="C253" t="s">
        <v>355</v>
      </c>
      <c r="D253" s="7">
        <f>1-(323/365)</f>
        <v>0.1150684931506849</v>
      </c>
    </row>
    <row r="254" spans="2:4" x14ac:dyDescent="0.35">
      <c r="B254" t="s">
        <v>356</v>
      </c>
    </row>
    <row r="255" spans="2:4" x14ac:dyDescent="0.35">
      <c r="B255" t="s">
        <v>357</v>
      </c>
    </row>
    <row r="256" spans="2:4" x14ac:dyDescent="0.35">
      <c r="B256" t="s">
        <v>358</v>
      </c>
    </row>
    <row r="257" spans="1:2" x14ac:dyDescent="0.35">
      <c r="B257" s="20" t="s">
        <v>359</v>
      </c>
    </row>
    <row r="265" spans="1:2" x14ac:dyDescent="0.35">
      <c r="A265">
        <v>2020</v>
      </c>
      <c r="B265" s="55" t="s">
        <v>230</v>
      </c>
    </row>
    <row r="266" spans="1:2" x14ac:dyDescent="0.35">
      <c r="B266" t="s">
        <v>229</v>
      </c>
    </row>
    <row r="267" spans="1:2" x14ac:dyDescent="0.35">
      <c r="B267" t="s">
        <v>232</v>
      </c>
    </row>
    <row r="268" spans="1:2" x14ac:dyDescent="0.35">
      <c r="B268" t="s">
        <v>231</v>
      </c>
    </row>
    <row r="269" spans="1:2" x14ac:dyDescent="0.35">
      <c r="B269" t="s">
        <v>360</v>
      </c>
    </row>
    <row r="270" spans="1:2" x14ac:dyDescent="0.35">
      <c r="B270" t="s">
        <v>361</v>
      </c>
    </row>
    <row r="271" spans="1:2" x14ac:dyDescent="0.35">
      <c r="B271" t="s">
        <v>362</v>
      </c>
    </row>
    <row r="272" spans="1:2" x14ac:dyDescent="0.35">
      <c r="B272" t="s">
        <v>363</v>
      </c>
    </row>
    <row r="273" spans="1:2" x14ac:dyDescent="0.35">
      <c r="B273" t="s">
        <v>364</v>
      </c>
    </row>
    <row r="274" spans="1:2" x14ac:dyDescent="0.35">
      <c r="B274" t="s">
        <v>365</v>
      </c>
    </row>
    <row r="275" spans="1:2" x14ac:dyDescent="0.35">
      <c r="B275" t="s">
        <v>366</v>
      </c>
    </row>
    <row r="276" spans="1:2" x14ac:dyDescent="0.35">
      <c r="B276" t="s">
        <v>367</v>
      </c>
    </row>
    <row r="278" spans="1:2" x14ac:dyDescent="0.35">
      <c r="A278" s="2" t="s">
        <v>371</v>
      </c>
      <c r="B278" s="77" t="s">
        <v>360</v>
      </c>
    </row>
    <row r="279" spans="1:2" x14ac:dyDescent="0.35">
      <c r="A279" t="s">
        <v>303</v>
      </c>
      <c r="B279">
        <v>350</v>
      </c>
    </row>
    <row r="280" spans="1:2" x14ac:dyDescent="0.35">
      <c r="A280" t="s">
        <v>369</v>
      </c>
      <c r="B280">
        <v>50</v>
      </c>
    </row>
    <row r="281" spans="1:2" x14ac:dyDescent="0.35">
      <c r="A281" t="s">
        <v>370</v>
      </c>
      <c r="B281">
        <v>49</v>
      </c>
    </row>
    <row r="282" spans="1:2" x14ac:dyDescent="0.35">
      <c r="A282" t="s">
        <v>304</v>
      </c>
      <c r="B282">
        <v>251</v>
      </c>
    </row>
    <row r="283" spans="1:2" x14ac:dyDescent="0.35">
      <c r="B283" s="77" t="s">
        <v>368</v>
      </c>
    </row>
    <row r="284" spans="1:2" x14ac:dyDescent="0.35">
      <c r="A284" t="s">
        <v>303</v>
      </c>
      <c r="B284">
        <v>356</v>
      </c>
    </row>
    <row r="285" spans="1:2" x14ac:dyDescent="0.35">
      <c r="A285" t="s">
        <v>369</v>
      </c>
      <c r="B285">
        <v>15</v>
      </c>
    </row>
    <row r="286" spans="1:2" x14ac:dyDescent="0.35">
      <c r="A286" t="s">
        <v>370</v>
      </c>
      <c r="B286">
        <v>10</v>
      </c>
    </row>
    <row r="287" spans="1:2" x14ac:dyDescent="0.35">
      <c r="A287" t="s">
        <v>304</v>
      </c>
      <c r="B287">
        <v>331</v>
      </c>
    </row>
  </sheetData>
  <hyperlinks>
    <hyperlink ref="B228" r:id="rId1" xr:uid="{DCC84A14-6530-4AA7-8C4E-BE07713E7146}"/>
    <hyperlink ref="B73" r:id="rId2" display="https://doi.org/10.1158%2F1078-0432.CCR-13-3231" xr:uid="{B4771DDB-24E6-4D9E-910D-2E5DA4F08771}"/>
    <hyperlink ref="B124" r:id="rId3" display="https://doi.org/10.1182%2Fblood-2014-12-615757" xr:uid="{ADB5A3EA-FB5A-438E-A25F-83E5BA6B4319}"/>
    <hyperlink ref="B62" r:id="rId4" display="http://dx.doi.org/10.1126/scitranslmed.3003656" xr:uid="{2284A52E-2D7C-4B3E-A5F0-A1FFAF4A9227}"/>
    <hyperlink ref="B25" r:id="rId5" xr:uid="{2D44897D-081A-45CD-9A9A-719384D106FF}"/>
    <hyperlink ref="B49" r:id="rId6" xr:uid="{93B21AD3-E036-421B-9D6E-C285538E7482}"/>
    <hyperlink ref="B112" r:id="rId7" xr:uid="{99138697-CFA9-4EF3-88ED-7D4B7B165266}"/>
    <hyperlink ref="B141" r:id="rId8" tooltip="Persistent link using digital object identifier" xr:uid="{C38313E3-45B1-4B81-814F-DE9C1629F2C6}"/>
    <hyperlink ref="B135" r:id="rId9" tooltip="Persistent link using digital object identifier" xr:uid="{8C02DE42-4543-4BDE-BE0A-2D1F05ADD4C2}"/>
    <hyperlink ref="B206" r:id="rId10" tooltip="Persistent link using digital object identifier" xr:uid="{FBCD19EF-DCD7-4021-AA0C-8BDC3731E3AD}"/>
    <hyperlink ref="B197" r:id="rId11" tooltip="Persistent link using digital object identifier" xr:uid="{E1613C24-8C4B-4B93-B7B0-D7389EC5A69F}"/>
  </hyperlinks>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2100-FE7E-4AA1-B0F0-CB7D4767D1CA}">
  <dimension ref="A3:A15"/>
  <sheetViews>
    <sheetView workbookViewId="0">
      <selection activeCell="A12" sqref="A12"/>
    </sheetView>
  </sheetViews>
  <sheetFormatPr defaultRowHeight="14.5" x14ac:dyDescent="0.35"/>
  <sheetData>
    <row r="3" spans="1:1" x14ac:dyDescent="0.35">
      <c r="A3" s="2" t="s">
        <v>169</v>
      </c>
    </row>
    <row r="4" spans="1:1" x14ac:dyDescent="0.35">
      <c r="A4" t="s">
        <v>170</v>
      </c>
    </row>
    <row r="11" spans="1:1" x14ac:dyDescent="0.35">
      <c r="A11" t="s">
        <v>171</v>
      </c>
    </row>
    <row r="15" spans="1:1" x14ac:dyDescent="0.35">
      <c r="A15"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Financials</vt:lpstr>
      <vt:lpstr>Data pts</vt:lpstr>
      <vt:lpstr>Pubmed timeline</vt:lpstr>
      <vt:lpstr>Competitors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Aquanker</dc:creator>
  <cp:lastModifiedBy>Anthony S</cp:lastModifiedBy>
  <dcterms:created xsi:type="dcterms:W3CDTF">2023-05-31T03:09:01Z</dcterms:created>
  <dcterms:modified xsi:type="dcterms:W3CDTF">2024-09-19T02:43:07Z</dcterms:modified>
</cp:coreProperties>
</file>